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uxbiblioangelico\Desktop\paso a Repositorio\"/>
    </mc:Choice>
  </mc:AlternateContent>
  <bookViews>
    <workbookView xWindow="10800" yWindow="-150" windowWidth="7290" windowHeight="7320" tabRatio="801" activeTab="6"/>
  </bookViews>
  <sheets>
    <sheet name="Materiales" sheetId="22" r:id="rId1"/>
    <sheet name="C. Producción" sheetId="25" r:id="rId2"/>
    <sheet name="Produccion diseño" sheetId="30" r:id="rId3"/>
    <sheet name="C. fijos" sheetId="27" r:id="rId4"/>
    <sheet name="C. Inic. MP" sheetId="28" r:id="rId5"/>
    <sheet name="Inversion Inicial" sheetId="29" r:id="rId6"/>
    <sheet name="Resúmen" sheetId="18" r:id="rId7"/>
    <sheet name="Parámetros" sheetId="1" r:id="rId8"/>
    <sheet name="PUBLI." sheetId="5" state="hidden" r:id="rId9"/>
    <sheet name="FLUJO" sheetId="7" r:id="rId10"/>
    <sheet name="PyG" sheetId="8" r:id="rId11"/>
    <sheet name="BALANCE" sheetId="9" r:id="rId12"/>
    <sheet name="VEA" sheetId="10" r:id="rId13"/>
    <sheet name="INDICADORES" sheetId="11" r:id="rId14"/>
    <sheet name="FCLO" sheetId="14" r:id="rId15"/>
    <sheet name="Amortización" sheetId="21" r:id="rId16"/>
  </sheets>
  <definedNames>
    <definedName name="_xlnm.Print_Area" localSheetId="11">BALANCE!$A$1:$F$57</definedName>
    <definedName name="_xlnm.Print_Area" localSheetId="14">FCLO!$A$1:$G$46</definedName>
    <definedName name="_xlnm.Print_Area" localSheetId="9">FLUJO!$A$1:$F$41</definedName>
    <definedName name="_xlnm.Print_Area" localSheetId="13">INDICADORES!$A$1:$F$43</definedName>
    <definedName name="_xlnm.Print_Area" localSheetId="7">Parámetros!$A$1:$I$24</definedName>
    <definedName name="_xlnm.Print_Area" localSheetId="10">PyG!$A$1:$K$36</definedName>
    <definedName name="_xlnm.Print_Area" localSheetId="12">VEA!$A$1:$F$39</definedName>
  </definedNames>
  <calcPr calcId="152511"/>
</workbook>
</file>

<file path=xl/calcChain.xml><?xml version="1.0" encoding="utf-8"?>
<calcChain xmlns="http://schemas.openxmlformats.org/spreadsheetml/2006/main">
  <c r="H3" i="25" l="1"/>
  <c r="B4" i="27" l="1"/>
  <c r="C3" i="30"/>
  <c r="C4" i="30"/>
  <c r="C5" i="30"/>
  <c r="C2" i="30"/>
  <c r="B5" i="29"/>
  <c r="B10" i="29"/>
  <c r="C6" i="30" l="1"/>
  <c r="C49" i="11"/>
  <c r="B38" i="7"/>
  <c r="B11" i="21"/>
  <c r="G8" i="21"/>
  <c r="G9" i="21" s="1"/>
  <c r="O8" i="21"/>
  <c r="O9" i="21" s="1"/>
  <c r="O12" i="21" s="1"/>
  <c r="E11" i="1"/>
  <c r="F11" i="1" s="1"/>
  <c r="G11" i="1" s="1"/>
  <c r="H11" i="1" s="1"/>
  <c r="I11" i="1" s="1"/>
  <c r="B6" i="29"/>
  <c r="F129" i="18" s="1"/>
  <c r="B54" i="18"/>
  <c r="B53" i="18"/>
  <c r="B52" i="18"/>
  <c r="B51" i="18"/>
  <c r="B99" i="18"/>
  <c r="B8" i="29"/>
  <c r="B96" i="18"/>
  <c r="F30" i="18"/>
  <c r="F38" i="18" s="1"/>
  <c r="F29" i="18"/>
  <c r="F37" i="18" s="1"/>
  <c r="F28" i="18"/>
  <c r="F36" i="18" s="1"/>
  <c r="F27" i="18"/>
  <c r="B7" i="29"/>
  <c r="F136" i="18" s="1"/>
  <c r="B9" i="29"/>
  <c r="B6" i="30"/>
  <c r="B13" i="25"/>
  <c r="D13" i="25" s="1"/>
  <c r="F35" i="18" l="1"/>
  <c r="F43" i="18" s="1"/>
  <c r="F51" i="18" s="1"/>
  <c r="F59" i="18" s="1"/>
  <c r="F13" i="25"/>
  <c r="B95" i="18"/>
  <c r="G13" i="25"/>
  <c r="B8" i="27"/>
  <c r="C47" i="11" s="1"/>
  <c r="E44" i="11" s="1"/>
  <c r="E13" i="25"/>
  <c r="G12" i="21"/>
  <c r="G24" i="18"/>
  <c r="E35" i="18" l="1"/>
  <c r="E51" i="18"/>
  <c r="C35" i="18"/>
  <c r="C51" i="18"/>
  <c r="E4" i="25"/>
  <c r="F4" i="25"/>
  <c r="G4" i="25"/>
  <c r="D4" i="25"/>
  <c r="G21" i="25"/>
  <c r="G22" i="25"/>
  <c r="G23" i="25"/>
  <c r="G20" i="25"/>
  <c r="F24" i="25"/>
  <c r="H21" i="25" s="1"/>
  <c r="E24" i="25"/>
  <c r="B3" i="25"/>
  <c r="B4" i="22"/>
  <c r="D3" i="25" s="1"/>
  <c r="G19" i="18"/>
  <c r="E59" i="18"/>
  <c r="F5" i="28"/>
  <c r="E3" i="25" l="1"/>
  <c r="F3" i="25"/>
  <c r="G3" i="25"/>
  <c r="F45" i="18"/>
  <c r="F46" i="18"/>
  <c r="F44" i="18"/>
  <c r="H20" i="25"/>
  <c r="H22" i="25"/>
  <c r="H23" i="25"/>
  <c r="G24" i="25"/>
  <c r="F53" i="18" l="1"/>
  <c r="F54" i="18"/>
  <c r="F52" i="18"/>
  <c r="C52" i="18" s="1"/>
  <c r="G5" i="25"/>
  <c r="D5" i="25"/>
  <c r="F5" i="25"/>
  <c r="E5" i="25"/>
  <c r="E4" i="28" l="1"/>
  <c r="G15" i="25"/>
  <c r="C4" i="28"/>
  <c r="E15" i="25"/>
  <c r="D4" i="28"/>
  <c r="F15" i="25"/>
  <c r="E53" i="18"/>
  <c r="F61" i="18"/>
  <c r="E61" i="18" s="1"/>
  <c r="E54" i="18"/>
  <c r="F62" i="18"/>
  <c r="E62" i="18" s="1"/>
  <c r="C54" i="18"/>
  <c r="E52" i="18"/>
  <c r="F60" i="18"/>
  <c r="E60" i="18" s="1"/>
  <c r="C53" i="18"/>
  <c r="G48" i="18"/>
  <c r="H8" i="8" s="1"/>
  <c r="B4" i="28"/>
  <c r="D15" i="25"/>
  <c r="B3" i="28" l="1"/>
  <c r="C48" i="11"/>
  <c r="E45" i="11" s="1"/>
  <c r="G44" i="11" s="1"/>
  <c r="F19" i="18"/>
  <c r="F22" i="18"/>
  <c r="E3" i="28"/>
  <c r="F21" i="18"/>
  <c r="D3" i="28"/>
  <c r="F20" i="18"/>
  <c r="C3" i="28"/>
  <c r="F4" i="28"/>
  <c r="F6" i="28"/>
  <c r="F3" i="28" l="1"/>
  <c r="F7" i="28" s="1"/>
  <c r="B4" i="29" s="1"/>
  <c r="B92" i="18" s="1"/>
  <c r="B10" i="10"/>
  <c r="B20" i="9"/>
  <c r="B46" i="9"/>
  <c r="C46" i="9" s="1"/>
  <c r="D46" i="9" s="1"/>
  <c r="E46" i="9" s="1"/>
  <c r="F46" i="9" s="1"/>
  <c r="B14" i="14"/>
  <c r="B18" i="14" s="1"/>
  <c r="D38" i="7"/>
  <c r="L8" i="21"/>
  <c r="L9" i="21" s="1"/>
  <c r="M8" i="21"/>
  <c r="M9" i="21" s="1"/>
  <c r="N8" i="21"/>
  <c r="K8" i="21"/>
  <c r="K9" i="21" s="1"/>
  <c r="I18" i="21"/>
  <c r="I19" i="21" s="1"/>
  <c r="I20" i="21" s="1"/>
  <c r="I21" i="21" s="1"/>
  <c r="I22" i="21" s="1"/>
  <c r="I23" i="21" s="1"/>
  <c r="I24" i="21" s="1"/>
  <c r="I25" i="21" s="1"/>
  <c r="I26" i="21" s="1"/>
  <c r="I27" i="21" s="1"/>
  <c r="I28" i="21" s="1"/>
  <c r="I29" i="21" s="1"/>
  <c r="I35" i="21" s="1"/>
  <c r="I36" i="21" s="1"/>
  <c r="I37" i="21" s="1"/>
  <c r="I38" i="21" s="1"/>
  <c r="I39" i="21" s="1"/>
  <c r="I40" i="21" s="1"/>
  <c r="I41" i="21" s="1"/>
  <c r="I42" i="21" s="1"/>
  <c r="I43" i="21" s="1"/>
  <c r="I44" i="21" s="1"/>
  <c r="I45" i="21" s="1"/>
  <c r="I46" i="21" s="1"/>
  <c r="I52" i="21" s="1"/>
  <c r="I53" i="21" s="1"/>
  <c r="I54" i="21" s="1"/>
  <c r="I55" i="21" s="1"/>
  <c r="I56" i="21" s="1"/>
  <c r="I57" i="21" s="1"/>
  <c r="I58" i="21" s="1"/>
  <c r="I59" i="21" s="1"/>
  <c r="I60" i="21" s="1"/>
  <c r="I61" i="21" s="1"/>
  <c r="I62" i="21" s="1"/>
  <c r="I63" i="21" s="1"/>
  <c r="I69" i="21" s="1"/>
  <c r="I70" i="21" s="1"/>
  <c r="I71" i="21" s="1"/>
  <c r="I72" i="21" s="1"/>
  <c r="I73" i="21" s="1"/>
  <c r="I74" i="21" s="1"/>
  <c r="I75" i="21" s="1"/>
  <c r="I76" i="21" s="1"/>
  <c r="I77" i="21" s="1"/>
  <c r="I78" i="21" s="1"/>
  <c r="I79" i="21" s="1"/>
  <c r="I80" i="21" s="1"/>
  <c r="M17" i="21"/>
  <c r="N9" i="21"/>
  <c r="N12" i="21" s="1"/>
  <c r="B35" i="9"/>
  <c r="C11" i="7"/>
  <c r="B11" i="7"/>
  <c r="F8" i="21"/>
  <c r="F9" i="21" s="1"/>
  <c r="F12" i="21" s="1"/>
  <c r="E17" i="21"/>
  <c r="D8" i="21"/>
  <c r="E8" i="21"/>
  <c r="C8" i="21"/>
  <c r="C9" i="21" s="1"/>
  <c r="C12" i="21" s="1"/>
  <c r="A18" i="21"/>
  <c r="E28" i="9" l="1"/>
  <c r="C28" i="9"/>
  <c r="B28" i="9"/>
  <c r="B18" i="7"/>
  <c r="D28" i="9"/>
  <c r="B12" i="29"/>
  <c r="B37" i="7" s="1"/>
  <c r="K18" i="21"/>
  <c r="C18" i="21"/>
  <c r="A19" i="2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5" i="21" s="1"/>
  <c r="A36" i="21" s="1"/>
  <c r="A37" i="21" s="1"/>
  <c r="L18" i="21"/>
  <c r="L29" i="21"/>
  <c r="K29" i="21"/>
  <c r="L28" i="21"/>
  <c r="K28" i="21"/>
  <c r="L27" i="21"/>
  <c r="K27" i="21"/>
  <c r="L26" i="21"/>
  <c r="K26" i="21"/>
  <c r="L25" i="21"/>
  <c r="K25" i="21"/>
  <c r="L24" i="21"/>
  <c r="K24" i="21"/>
  <c r="L23" i="21"/>
  <c r="K23" i="21"/>
  <c r="L22" i="21"/>
  <c r="K22" i="21"/>
  <c r="L21" i="21"/>
  <c r="K21" i="21"/>
  <c r="L20" i="21"/>
  <c r="K20" i="21"/>
  <c r="L19" i="21"/>
  <c r="K19" i="21"/>
  <c r="K12" i="21"/>
  <c r="L46" i="21"/>
  <c r="K46" i="21"/>
  <c r="L45" i="21"/>
  <c r="K45" i="21"/>
  <c r="L44" i="21"/>
  <c r="K44" i="21"/>
  <c r="L43" i="21"/>
  <c r="K43" i="21"/>
  <c r="L42" i="21"/>
  <c r="K42" i="21"/>
  <c r="L41" i="21"/>
  <c r="K41" i="21"/>
  <c r="L40" i="21"/>
  <c r="K40" i="21"/>
  <c r="L39" i="21"/>
  <c r="K39" i="21"/>
  <c r="L38" i="21"/>
  <c r="K38" i="21"/>
  <c r="L37" i="21"/>
  <c r="K37" i="21"/>
  <c r="L36" i="21"/>
  <c r="K36" i="21"/>
  <c r="L35" i="21"/>
  <c r="K35" i="21"/>
  <c r="L12" i="21"/>
  <c r="L80" i="21"/>
  <c r="K80" i="21"/>
  <c r="L79" i="21"/>
  <c r="K79" i="21"/>
  <c r="L78" i="21"/>
  <c r="K78" i="21"/>
  <c r="L77" i="21"/>
  <c r="K77" i="21"/>
  <c r="L76" i="21"/>
  <c r="K76" i="21"/>
  <c r="L75" i="21"/>
  <c r="K75" i="21"/>
  <c r="L74" i="21"/>
  <c r="K74" i="21"/>
  <c r="L73" i="21"/>
  <c r="K73" i="21"/>
  <c r="L72" i="21"/>
  <c r="K72" i="21"/>
  <c r="L71" i="21"/>
  <c r="K71" i="21"/>
  <c r="L70" i="21"/>
  <c r="K70" i="21"/>
  <c r="L69" i="21"/>
  <c r="K69" i="21"/>
  <c r="L63" i="21"/>
  <c r="K63" i="21"/>
  <c r="L62" i="21"/>
  <c r="K62" i="21"/>
  <c r="L61" i="21"/>
  <c r="K61" i="21"/>
  <c r="L60" i="21"/>
  <c r="K60" i="21"/>
  <c r="L59" i="21"/>
  <c r="K59" i="21"/>
  <c r="L58" i="21"/>
  <c r="K58" i="21"/>
  <c r="L57" i="21"/>
  <c r="K57" i="21"/>
  <c r="L56" i="21"/>
  <c r="K56" i="21"/>
  <c r="L55" i="21"/>
  <c r="K55" i="21"/>
  <c r="J55" i="21" s="1"/>
  <c r="L54" i="21"/>
  <c r="K54" i="21"/>
  <c r="L53" i="21"/>
  <c r="K53" i="21"/>
  <c r="J53" i="21" s="1"/>
  <c r="L52" i="21"/>
  <c r="K52" i="21"/>
  <c r="M12" i="21"/>
  <c r="M18" i="21"/>
  <c r="M19" i="21" s="1"/>
  <c r="D20" i="21"/>
  <c r="D18" i="21"/>
  <c r="E9" i="21"/>
  <c r="D9" i="21"/>
  <c r="D12" i="21" s="1"/>
  <c r="C29" i="21"/>
  <c r="C28" i="21"/>
  <c r="C27" i="21"/>
  <c r="C26" i="21"/>
  <c r="C24" i="21"/>
  <c r="C23" i="21"/>
  <c r="C22" i="21"/>
  <c r="C21" i="21"/>
  <c r="C20" i="21"/>
  <c r="C19" i="21"/>
  <c r="D29" i="21"/>
  <c r="D27" i="21"/>
  <c r="D26" i="21"/>
  <c r="D25" i="21"/>
  <c r="D24" i="21"/>
  <c r="D23" i="21"/>
  <c r="D22" i="21"/>
  <c r="D21" i="21"/>
  <c r="A2" i="21"/>
  <c r="B22" i="9"/>
  <c r="B21" i="9"/>
  <c r="E24" i="7"/>
  <c r="D24" i="7"/>
  <c r="C24" i="7"/>
  <c r="B24" i="7"/>
  <c r="C121" i="18"/>
  <c r="D19" i="21" l="1"/>
  <c r="D30" i="21" s="1"/>
  <c r="D28" i="21"/>
  <c r="C25" i="21"/>
  <c r="C30" i="21" s="1"/>
  <c r="C25" i="7" s="1"/>
  <c r="B23" i="9"/>
  <c r="B24" i="9" s="1"/>
  <c r="B26" i="9" s="1"/>
  <c r="J70" i="21"/>
  <c r="J72" i="21"/>
  <c r="J74" i="21"/>
  <c r="J76" i="21"/>
  <c r="L64" i="21"/>
  <c r="L81" i="21"/>
  <c r="J57" i="21"/>
  <c r="J59" i="21"/>
  <c r="J78" i="21"/>
  <c r="E12" i="21"/>
  <c r="J61" i="21"/>
  <c r="J63" i="21"/>
  <c r="J80" i="21"/>
  <c r="J20" i="21"/>
  <c r="J22" i="21"/>
  <c r="J24" i="21"/>
  <c r="J26" i="21"/>
  <c r="J28" i="21"/>
  <c r="L30" i="21"/>
  <c r="J18" i="21"/>
  <c r="J37" i="21"/>
  <c r="J39" i="21"/>
  <c r="J41" i="21"/>
  <c r="J43" i="21"/>
  <c r="J45" i="21"/>
  <c r="J54" i="21"/>
  <c r="J58" i="21"/>
  <c r="J62" i="21"/>
  <c r="J71" i="21"/>
  <c r="J75" i="21"/>
  <c r="J79" i="21"/>
  <c r="B18" i="21"/>
  <c r="J36" i="21"/>
  <c r="J38" i="21"/>
  <c r="J40" i="21"/>
  <c r="J42" i="21"/>
  <c r="J44" i="21"/>
  <c r="J46" i="21"/>
  <c r="J19" i="21"/>
  <c r="J21" i="21"/>
  <c r="J23" i="21"/>
  <c r="J25" i="21"/>
  <c r="J27" i="21"/>
  <c r="J29" i="21"/>
  <c r="J56" i="21"/>
  <c r="J60" i="21"/>
  <c r="J73" i="21"/>
  <c r="J77" i="21"/>
  <c r="M20" i="21"/>
  <c r="M21" i="21" s="1"/>
  <c r="M22" i="21" s="1"/>
  <c r="M23" i="21" s="1"/>
  <c r="M24" i="21" s="1"/>
  <c r="M25" i="21" s="1"/>
  <c r="M26" i="21" s="1"/>
  <c r="M27" i="21" s="1"/>
  <c r="M28" i="21" s="1"/>
  <c r="M29" i="21" s="1"/>
  <c r="M34" i="21" s="1"/>
  <c r="M35" i="21" s="1"/>
  <c r="M36" i="21" s="1"/>
  <c r="M37" i="21" s="1"/>
  <c r="M38" i="21" s="1"/>
  <c r="M39" i="21" s="1"/>
  <c r="M40" i="21" s="1"/>
  <c r="M41" i="21" s="1"/>
  <c r="M42" i="21" s="1"/>
  <c r="M43" i="21" s="1"/>
  <c r="M44" i="21" s="1"/>
  <c r="M45" i="21" s="1"/>
  <c r="M46" i="21" s="1"/>
  <c r="L47" i="21"/>
  <c r="K64" i="21"/>
  <c r="J52" i="21"/>
  <c r="K81" i="21"/>
  <c r="J69" i="21"/>
  <c r="K47" i="21"/>
  <c r="J35" i="21"/>
  <c r="K30" i="21"/>
  <c r="E18" i="21"/>
  <c r="E19" i="21" s="1"/>
  <c r="E20" i="21" s="1"/>
  <c r="E21" i="21" s="1"/>
  <c r="E22" i="21" s="1"/>
  <c r="E23" i="21" s="1"/>
  <c r="E24" i="21" s="1"/>
  <c r="D36" i="21"/>
  <c r="D37" i="21"/>
  <c r="D35" i="21"/>
  <c r="C36" i="21"/>
  <c r="C37" i="21"/>
  <c r="C35" i="21"/>
  <c r="A38" i="21"/>
  <c r="D38" i="21" s="1"/>
  <c r="B19" i="21"/>
  <c r="B20" i="21"/>
  <c r="B21" i="21"/>
  <c r="B22" i="21"/>
  <c r="B23" i="21"/>
  <c r="B24" i="21"/>
  <c r="B26" i="21"/>
  <c r="B27" i="21"/>
  <c r="B28" i="21"/>
  <c r="B29" i="21"/>
  <c r="B100" i="18"/>
  <c r="C94" i="18" s="1"/>
  <c r="F96" i="18" s="1"/>
  <c r="B12" i="8" s="1"/>
  <c r="B20" i="18"/>
  <c r="B19" i="18"/>
  <c r="B41" i="9"/>
  <c r="C22" i="9"/>
  <c r="D22" i="9" s="1"/>
  <c r="E22" i="9" s="1"/>
  <c r="F22" i="9" s="1"/>
  <c r="C21" i="9"/>
  <c r="D21" i="9" s="1"/>
  <c r="E21" i="9" s="1"/>
  <c r="F21" i="9" s="1"/>
  <c r="C20" i="9"/>
  <c r="F24" i="7"/>
  <c r="F21" i="7"/>
  <c r="E21" i="7"/>
  <c r="D21" i="7"/>
  <c r="C21" i="7"/>
  <c r="B21" i="7"/>
  <c r="F11" i="7"/>
  <c r="E11" i="7"/>
  <c r="D11" i="7"/>
  <c r="C5" i="1"/>
  <c r="D5" i="1" s="1"/>
  <c r="F5" i="1" s="1"/>
  <c r="G5" i="1" s="1"/>
  <c r="H5" i="1" s="1"/>
  <c r="I5" i="1" s="1"/>
  <c r="B6" i="7"/>
  <c r="C6" i="7" s="1"/>
  <c r="D6" i="7" s="1"/>
  <c r="E6" i="7" s="1"/>
  <c r="F6" i="7" s="1"/>
  <c r="C82" i="18"/>
  <c r="C83" i="18"/>
  <c r="C84" i="18"/>
  <c r="C85" i="18"/>
  <c r="C81" i="18"/>
  <c r="C75" i="18"/>
  <c r="C76" i="18"/>
  <c r="C77" i="18"/>
  <c r="C78" i="18"/>
  <c r="C74" i="18"/>
  <c r="C68" i="18"/>
  <c r="C69" i="18"/>
  <c r="C70" i="18"/>
  <c r="C71" i="18"/>
  <c r="C67" i="18"/>
  <c r="B67" i="18"/>
  <c r="B74" i="18" s="1"/>
  <c r="E44" i="18"/>
  <c r="E45" i="18"/>
  <c r="E46" i="18"/>
  <c r="E43" i="18"/>
  <c r="E36" i="18"/>
  <c r="E37" i="18"/>
  <c r="E38" i="18"/>
  <c r="E27" i="18"/>
  <c r="E28" i="18"/>
  <c r="E29" i="18"/>
  <c r="E30" i="18"/>
  <c r="E25" i="21" l="1"/>
  <c r="E26" i="21" s="1"/>
  <c r="E27" i="21" s="1"/>
  <c r="E28" i="21" s="1"/>
  <c r="E29" i="21" s="1"/>
  <c r="C41" i="9"/>
  <c r="B25" i="21"/>
  <c r="C23" i="9"/>
  <c r="B35" i="21"/>
  <c r="F97" i="18"/>
  <c r="M30" i="21"/>
  <c r="B37" i="21"/>
  <c r="J30" i="21"/>
  <c r="C24" i="9"/>
  <c r="C26" i="9" s="1"/>
  <c r="B14" i="8"/>
  <c r="C10" i="14" s="1"/>
  <c r="J81" i="21"/>
  <c r="B36" i="21"/>
  <c r="J47" i="21"/>
  <c r="J64" i="21"/>
  <c r="B27" i="9"/>
  <c r="M51" i="21"/>
  <c r="M52" i="21" s="1"/>
  <c r="M53" i="21" s="1"/>
  <c r="M54" i="21" s="1"/>
  <c r="M55" i="21" s="1"/>
  <c r="M56" i="21" s="1"/>
  <c r="M57" i="21" s="1"/>
  <c r="M58" i="21" s="1"/>
  <c r="M59" i="21" s="1"/>
  <c r="M60" i="21" s="1"/>
  <c r="M61" i="21" s="1"/>
  <c r="M62" i="21" s="1"/>
  <c r="M63" i="21" s="1"/>
  <c r="M47" i="21"/>
  <c r="D20" i="9"/>
  <c r="D23" i="9" s="1"/>
  <c r="E34" i="21"/>
  <c r="E35" i="21" s="1"/>
  <c r="E36" i="21" s="1"/>
  <c r="E37" i="21" s="1"/>
  <c r="E30" i="21"/>
  <c r="C38" i="21"/>
  <c r="B38" i="21" s="1"/>
  <c r="B30" i="21"/>
  <c r="A39" i="21"/>
  <c r="B81" i="18"/>
  <c r="B75" i="18"/>
  <c r="B76" i="18" s="1"/>
  <c r="B77" i="18" s="1"/>
  <c r="B78" i="18" s="1"/>
  <c r="B68" i="18"/>
  <c r="B69" i="18" s="1"/>
  <c r="B70" i="18" s="1"/>
  <c r="B71" i="18" s="1"/>
  <c r="B10" i="1"/>
  <c r="C11" i="1" s="1"/>
  <c r="C10" i="1"/>
  <c r="C19" i="1"/>
  <c r="D19" i="1" s="1"/>
  <c r="C107" i="18"/>
  <c r="C60" i="18"/>
  <c r="C61" i="18"/>
  <c r="C62" i="18"/>
  <c r="C59" i="18"/>
  <c r="C44" i="18"/>
  <c r="C45" i="18"/>
  <c r="C46" i="18"/>
  <c r="C43" i="18"/>
  <c r="C38" i="18"/>
  <c r="C37" i="18"/>
  <c r="C36" i="18"/>
  <c r="B22" i="14"/>
  <c r="A1" i="10"/>
  <c r="A1" i="11" s="1"/>
  <c r="A1" i="14" s="1"/>
  <c r="G32" i="18"/>
  <c r="C32" i="18" s="1"/>
  <c r="B8" i="8"/>
  <c r="G40" i="18"/>
  <c r="G56" i="18"/>
  <c r="B22" i="18"/>
  <c r="B21" i="18"/>
  <c r="B62" i="18"/>
  <c r="B61" i="18"/>
  <c r="B60" i="18"/>
  <c r="B59" i="18"/>
  <c r="B46" i="18"/>
  <c r="B45" i="18"/>
  <c r="B44" i="18"/>
  <c r="B43" i="18"/>
  <c r="B38" i="18"/>
  <c r="B37" i="18"/>
  <c r="B36" i="18"/>
  <c r="B35" i="18"/>
  <c r="B30" i="18"/>
  <c r="B29" i="18"/>
  <c r="B28" i="18"/>
  <c r="B27" i="18"/>
  <c r="B6" i="8"/>
  <c r="D6" i="8" s="1"/>
  <c r="F6" i="8" s="1"/>
  <c r="H6" i="8" s="1"/>
  <c r="J6" i="8" s="1"/>
  <c r="C116" i="18"/>
  <c r="C102" i="18"/>
  <c r="F150" i="18"/>
  <c r="F151" i="18"/>
  <c r="C22" i="7" s="1"/>
  <c r="F152" i="18"/>
  <c r="D22" i="7" s="1"/>
  <c r="F153" i="18"/>
  <c r="E22" i="7" s="1"/>
  <c r="F154" i="18"/>
  <c r="F22" i="7" s="1"/>
  <c r="B129" i="18"/>
  <c r="B136" i="18" s="1"/>
  <c r="B135" i="18"/>
  <c r="B142" i="18" s="1"/>
  <c r="B149" i="18" s="1"/>
  <c r="A2" i="14"/>
  <c r="D10" i="1"/>
  <c r="B26" i="18"/>
  <c r="A2" i="11"/>
  <c r="A2" i="10"/>
  <c r="A2" i="9"/>
  <c r="A2" i="8"/>
  <c r="A2" i="7"/>
  <c r="A2" i="1"/>
  <c r="B6" i="11"/>
  <c r="C6" i="11" s="1"/>
  <c r="D6" i="11" s="1"/>
  <c r="E6" i="11" s="1"/>
  <c r="F6" i="11" s="1"/>
  <c r="B6" i="10"/>
  <c r="C6" i="10" s="1"/>
  <c r="D6" i="10" s="1"/>
  <c r="E6" i="10" s="1"/>
  <c r="F6" i="10" s="1"/>
  <c r="B6" i="9"/>
  <c r="C6" i="9" s="1"/>
  <c r="D6" i="9" s="1"/>
  <c r="E6" i="9" s="1"/>
  <c r="F6" i="9" s="1"/>
  <c r="E6" i="14"/>
  <c r="F6" i="14" s="1"/>
  <c r="G6" i="14" s="1"/>
  <c r="T11" i="5"/>
  <c r="R11" i="5"/>
  <c r="P11" i="5"/>
  <c r="N11" i="5"/>
  <c r="L11" i="5"/>
  <c r="J11" i="5"/>
  <c r="H11" i="5"/>
  <c r="F11" i="5"/>
  <c r="D11" i="5"/>
  <c r="B11" i="5"/>
  <c r="D22" i="14"/>
  <c r="C22" i="14"/>
  <c r="F12" i="14"/>
  <c r="F98" i="18" l="1"/>
  <c r="D12" i="8"/>
  <c r="E22" i="14"/>
  <c r="J8" i="8"/>
  <c r="F9" i="7" s="1"/>
  <c r="F12" i="7" s="1"/>
  <c r="C56" i="18"/>
  <c r="F8" i="8"/>
  <c r="F15" i="8" s="1"/>
  <c r="C48" i="18"/>
  <c r="B130" i="18"/>
  <c r="B131" i="18" s="1"/>
  <c r="B132" i="18" s="1"/>
  <c r="B133" i="18" s="1"/>
  <c r="B34" i="18"/>
  <c r="B42" i="18" s="1"/>
  <c r="B50" i="18" s="1"/>
  <c r="B58" i="18" s="1"/>
  <c r="C7" i="21"/>
  <c r="I21" i="8"/>
  <c r="D51" i="18"/>
  <c r="D52" i="18"/>
  <c r="D53" i="18"/>
  <c r="D54" i="18"/>
  <c r="D8" i="8"/>
  <c r="C9" i="7" s="1"/>
  <c r="F99" i="18"/>
  <c r="F12" i="8"/>
  <c r="I23" i="8"/>
  <c r="I8" i="8"/>
  <c r="E38" i="21"/>
  <c r="D24" i="9"/>
  <c r="D26" i="9" s="1"/>
  <c r="B143" i="18"/>
  <c r="B137" i="18"/>
  <c r="C12" i="14"/>
  <c r="D12" i="14"/>
  <c r="G12" i="14"/>
  <c r="E12" i="14"/>
  <c r="G20" i="18"/>
  <c r="J20" i="18" s="1"/>
  <c r="G21" i="18"/>
  <c r="J21" i="18" s="1"/>
  <c r="G22" i="18"/>
  <c r="J22" i="18" s="1"/>
  <c r="I30" i="18" s="1"/>
  <c r="I38" i="18" s="1"/>
  <c r="J19" i="18"/>
  <c r="I27" i="18" s="1"/>
  <c r="J27" i="18" s="1"/>
  <c r="B15" i="8"/>
  <c r="C11" i="14" s="1"/>
  <c r="B13" i="8"/>
  <c r="B82" i="18"/>
  <c r="C97" i="18" s="1"/>
  <c r="C96" i="18"/>
  <c r="M68" i="21"/>
  <c r="M69" i="21" s="1"/>
  <c r="M70" i="21" s="1"/>
  <c r="M71" i="21" s="1"/>
  <c r="M72" i="21" s="1"/>
  <c r="M73" i="21" s="1"/>
  <c r="M74" i="21" s="1"/>
  <c r="M75" i="21" s="1"/>
  <c r="M76" i="21" s="1"/>
  <c r="M77" i="21" s="1"/>
  <c r="M78" i="21" s="1"/>
  <c r="M79" i="21" s="1"/>
  <c r="M80" i="21" s="1"/>
  <c r="M64" i="21"/>
  <c r="I22" i="8"/>
  <c r="H15" i="8"/>
  <c r="E20" i="9"/>
  <c r="E23" i="9" s="1"/>
  <c r="D39" i="21"/>
  <c r="C39" i="21"/>
  <c r="A40" i="21"/>
  <c r="D14" i="8"/>
  <c r="D10" i="14" s="1"/>
  <c r="C22" i="8"/>
  <c r="C14" i="8"/>
  <c r="H13" i="8"/>
  <c r="F28" i="9"/>
  <c r="E11" i="9"/>
  <c r="E17" i="11" s="1"/>
  <c r="D44" i="18"/>
  <c r="D45" i="18"/>
  <c r="D46" i="18"/>
  <c r="D43" i="18"/>
  <c r="C40" i="18"/>
  <c r="D27" i="18"/>
  <c r="D28" i="18"/>
  <c r="D29" i="18"/>
  <c r="D30" i="18"/>
  <c r="D60" i="18"/>
  <c r="D61" i="18"/>
  <c r="D62" i="18"/>
  <c r="D59" i="18"/>
  <c r="D35" i="18"/>
  <c r="D36" i="18"/>
  <c r="D37" i="18"/>
  <c r="D38" i="18"/>
  <c r="B83" i="18" l="1"/>
  <c r="D15" i="8"/>
  <c r="E39" i="21"/>
  <c r="F13" i="8"/>
  <c r="G22" i="8"/>
  <c r="E9" i="7"/>
  <c r="E12" i="7" s="1"/>
  <c r="D13" i="8"/>
  <c r="E22" i="8"/>
  <c r="C11" i="9"/>
  <c r="C17" i="11" s="1"/>
  <c r="C16" i="9"/>
  <c r="B39" i="21"/>
  <c r="I46" i="18"/>
  <c r="I62" i="18" s="1"/>
  <c r="I54" i="18"/>
  <c r="J54" i="18" s="1"/>
  <c r="I35" i="18"/>
  <c r="I51" i="18" s="1"/>
  <c r="J51" i="18" s="1"/>
  <c r="F100" i="18"/>
  <c r="J12" i="8" s="1"/>
  <c r="K12" i="8" s="1"/>
  <c r="F36" i="11" s="1"/>
  <c r="H12" i="8"/>
  <c r="E16" i="7" s="1"/>
  <c r="I29" i="18"/>
  <c r="I37" i="18" s="1"/>
  <c r="I28" i="18"/>
  <c r="I36" i="18" s="1"/>
  <c r="C15" i="8"/>
  <c r="E14" i="8"/>
  <c r="B138" i="18"/>
  <c r="B144" i="18"/>
  <c r="B145" i="18" s="1"/>
  <c r="B146" i="18" s="1"/>
  <c r="B147" i="18" s="1"/>
  <c r="B150" i="18"/>
  <c r="B151" i="18" s="1"/>
  <c r="B152" i="18" s="1"/>
  <c r="B153" i="18" s="1"/>
  <c r="B154" i="18" s="1"/>
  <c r="J30" i="18"/>
  <c r="B16" i="8"/>
  <c r="B16" i="7"/>
  <c r="E15" i="8"/>
  <c r="D11" i="14"/>
  <c r="G15" i="8"/>
  <c r="E11" i="14"/>
  <c r="I15" i="8"/>
  <c r="F11" i="14"/>
  <c r="M81" i="21"/>
  <c r="K22" i="8"/>
  <c r="J15" i="8"/>
  <c r="F20" i="9"/>
  <c r="F23" i="9" s="1"/>
  <c r="F22" i="14"/>
  <c r="D40" i="21"/>
  <c r="C40" i="21"/>
  <c r="E40" i="21" s="1"/>
  <c r="A41" i="21"/>
  <c r="B51" i="9"/>
  <c r="F14" i="8"/>
  <c r="E10" i="14" s="1"/>
  <c r="J13" i="8"/>
  <c r="E24" i="9"/>
  <c r="E26" i="9" s="1"/>
  <c r="B84" i="18"/>
  <c r="C98" i="18"/>
  <c r="K21" i="8"/>
  <c r="K8" i="8"/>
  <c r="K23" i="8"/>
  <c r="F11" i="9"/>
  <c r="F17" i="11" s="1"/>
  <c r="E17" i="7"/>
  <c r="I13" i="8"/>
  <c r="D11" i="9"/>
  <c r="D17" i="11" s="1"/>
  <c r="G8" i="8"/>
  <c r="G21" i="8"/>
  <c r="G23" i="8"/>
  <c r="D9" i="7"/>
  <c r="D12" i="7" s="1"/>
  <c r="E21" i="8"/>
  <c r="E23" i="8"/>
  <c r="E8" i="8"/>
  <c r="B11" i="9"/>
  <c r="B17" i="11" s="1"/>
  <c r="C12" i="7"/>
  <c r="B9" i="7"/>
  <c r="B12" i="7" s="1"/>
  <c r="B16" i="9"/>
  <c r="C23" i="8"/>
  <c r="C8" i="8"/>
  <c r="C21" i="8"/>
  <c r="D16" i="9"/>
  <c r="E16" i="9"/>
  <c r="F16" i="9"/>
  <c r="J38" i="18"/>
  <c r="C12" i="8"/>
  <c r="F16" i="7" l="1"/>
  <c r="J35" i="18"/>
  <c r="I43" i="18"/>
  <c r="I59" i="18" s="1"/>
  <c r="F17" i="7"/>
  <c r="I44" i="18"/>
  <c r="I60" i="18" s="1"/>
  <c r="I52" i="18"/>
  <c r="J52" i="18" s="1"/>
  <c r="I45" i="18"/>
  <c r="I61" i="18" s="1"/>
  <c r="I53" i="18"/>
  <c r="J53" i="18" s="1"/>
  <c r="J36" i="18"/>
  <c r="J37" i="18"/>
  <c r="I12" i="8"/>
  <c r="E36" i="11" s="1"/>
  <c r="J28" i="18"/>
  <c r="J29" i="18"/>
  <c r="G14" i="8"/>
  <c r="K13" i="8"/>
  <c r="D7" i="21"/>
  <c r="A15" i="21"/>
  <c r="K7" i="21"/>
  <c r="B139" i="18"/>
  <c r="B140" i="18" s="1"/>
  <c r="B40" i="21"/>
  <c r="D16" i="8"/>
  <c r="C27" i="9"/>
  <c r="C51" i="9"/>
  <c r="K15" i="8"/>
  <c r="G11" i="14"/>
  <c r="G22" i="14"/>
  <c r="D41" i="21"/>
  <c r="C41" i="21"/>
  <c r="E41" i="21" s="1"/>
  <c r="A42" i="21"/>
  <c r="H14" i="8"/>
  <c r="F10" i="14" s="1"/>
  <c r="B85" i="18"/>
  <c r="C100" i="18" s="1"/>
  <c r="C99" i="18"/>
  <c r="D17" i="7"/>
  <c r="G13" i="8"/>
  <c r="C17" i="7"/>
  <c r="E13" i="8"/>
  <c r="B17" i="7"/>
  <c r="C13" i="8"/>
  <c r="C16" i="8"/>
  <c r="J46" i="18"/>
  <c r="D27" i="9"/>
  <c r="J45" i="18" l="1"/>
  <c r="J43" i="18"/>
  <c r="J44" i="18"/>
  <c r="K48" i="18"/>
  <c r="H9" i="8" s="1"/>
  <c r="B41" i="21"/>
  <c r="K32" i="18"/>
  <c r="D9" i="8" s="1"/>
  <c r="D24" i="8" s="1"/>
  <c r="C23" i="7" s="1"/>
  <c r="K24" i="18"/>
  <c r="B9" i="8" s="1"/>
  <c r="B24" i="8" s="1"/>
  <c r="E7" i="21"/>
  <c r="A32" i="21"/>
  <c r="I14" i="8"/>
  <c r="I15" i="21"/>
  <c r="L7" i="21"/>
  <c r="J14" i="8"/>
  <c r="J16" i="8" s="1"/>
  <c r="K16" i="8" s="1"/>
  <c r="H16" i="8"/>
  <c r="I16" i="8" s="1"/>
  <c r="F16" i="8"/>
  <c r="G16" i="8" s="1"/>
  <c r="D16" i="7"/>
  <c r="G12" i="8"/>
  <c r="D36" i="11" s="1"/>
  <c r="C16" i="7"/>
  <c r="E12" i="8"/>
  <c r="E16" i="8"/>
  <c r="F24" i="9"/>
  <c r="F26" i="9" s="1"/>
  <c r="D42" i="21"/>
  <c r="C42" i="21"/>
  <c r="E42" i="21" s="1"/>
  <c r="A43" i="21"/>
  <c r="J60" i="18"/>
  <c r="J61" i="18"/>
  <c r="J62" i="18"/>
  <c r="J59" i="18"/>
  <c r="D51" i="9"/>
  <c r="E27" i="9"/>
  <c r="K40" i="18" l="1"/>
  <c r="F9" i="8" s="1"/>
  <c r="F10" i="8" s="1"/>
  <c r="G10" i="8" s="1"/>
  <c r="D35" i="11" s="1"/>
  <c r="B10" i="8"/>
  <c r="B19" i="8" s="1"/>
  <c r="C9" i="14" s="1"/>
  <c r="C14" i="14" s="1"/>
  <c r="C12" i="9"/>
  <c r="C18" i="11" s="1"/>
  <c r="D10" i="8"/>
  <c r="D19" i="8" s="1"/>
  <c r="D9" i="14" s="1"/>
  <c r="D14" i="14" s="1"/>
  <c r="E9" i="8"/>
  <c r="C9" i="8"/>
  <c r="B12" i="9"/>
  <c r="B15" i="7" s="1"/>
  <c r="C10" i="8"/>
  <c r="B35" i="11" s="1"/>
  <c r="G9" i="8"/>
  <c r="E24" i="8"/>
  <c r="K56" i="18"/>
  <c r="K14" i="8"/>
  <c r="G10" i="14"/>
  <c r="M7" i="21"/>
  <c r="I32" i="21"/>
  <c r="A49" i="21"/>
  <c r="F7" i="21"/>
  <c r="G7" i="21" s="1"/>
  <c r="A83" i="21" s="1"/>
  <c r="B42" i="21"/>
  <c r="D43" i="21"/>
  <c r="C43" i="21"/>
  <c r="E43" i="21" s="1"/>
  <c r="A44" i="21"/>
  <c r="E51" i="9"/>
  <c r="F27" i="9"/>
  <c r="C19" i="8" l="1"/>
  <c r="B36" i="11" s="1"/>
  <c r="B29" i="10"/>
  <c r="B31" i="10" s="1"/>
  <c r="B33" i="10" s="1"/>
  <c r="B26" i="8"/>
  <c r="B29" i="8" s="1"/>
  <c r="B48" i="9" s="1"/>
  <c r="D12" i="9"/>
  <c r="D18" i="11" s="1"/>
  <c r="D26" i="8"/>
  <c r="D28" i="8" s="1"/>
  <c r="E10" i="8"/>
  <c r="C35" i="11" s="1"/>
  <c r="C29" i="10"/>
  <c r="C31" i="10" s="1"/>
  <c r="C33" i="10" s="1"/>
  <c r="J9" i="8"/>
  <c r="F12" i="9" s="1"/>
  <c r="F18" i="11" s="1"/>
  <c r="E19" i="8"/>
  <c r="C36" i="11" s="1"/>
  <c r="C31" i="11"/>
  <c r="B18" i="11"/>
  <c r="B31" i="11"/>
  <c r="B34" i="9"/>
  <c r="C20" i="7" s="1"/>
  <c r="C24" i="8"/>
  <c r="B23" i="7"/>
  <c r="B26" i="7" s="1"/>
  <c r="B28" i="7" s="1"/>
  <c r="B34" i="7" s="1"/>
  <c r="B40" i="7" s="1"/>
  <c r="B10" i="9" s="1"/>
  <c r="B18" i="9" s="1"/>
  <c r="B30" i="9" s="1"/>
  <c r="B23" i="10" s="1"/>
  <c r="B27" i="10" s="1"/>
  <c r="C26" i="8"/>
  <c r="E12" i="9"/>
  <c r="E18" i="11" s="1"/>
  <c r="F19" i="8"/>
  <c r="D29" i="10" s="1"/>
  <c r="B20" i="14"/>
  <c r="B24" i="14" s="1"/>
  <c r="B47" i="9"/>
  <c r="C47" i="9" s="1"/>
  <c r="H10" i="8"/>
  <c r="H19" i="8" s="1"/>
  <c r="I9" i="8"/>
  <c r="B43" i="21"/>
  <c r="I49" i="21"/>
  <c r="N7" i="21"/>
  <c r="O7" i="21" s="1"/>
  <c r="A66" i="21"/>
  <c r="D44" i="21"/>
  <c r="C44" i="21"/>
  <c r="E44" i="21" s="1"/>
  <c r="A45" i="21"/>
  <c r="F51" i="9"/>
  <c r="C29" i="8"/>
  <c r="B35" i="10" l="1"/>
  <c r="E26" i="8"/>
  <c r="D29" i="8"/>
  <c r="E29" i="8" s="1"/>
  <c r="J10" i="8"/>
  <c r="J19" i="8" s="1"/>
  <c r="G9" i="14" s="1"/>
  <c r="G14" i="14" s="1"/>
  <c r="K9" i="8"/>
  <c r="C32" i="7"/>
  <c r="B19" i="11"/>
  <c r="B21" i="11" s="1"/>
  <c r="C15" i="7"/>
  <c r="C34" i="9" s="1"/>
  <c r="E9" i="14"/>
  <c r="E14" i="14" s="1"/>
  <c r="I10" i="8"/>
  <c r="E35" i="11" s="1"/>
  <c r="G19" i="8"/>
  <c r="I66" i="21"/>
  <c r="B44" i="21"/>
  <c r="D47" i="9"/>
  <c r="D45" i="21"/>
  <c r="C45" i="21"/>
  <c r="E45" i="21" s="1"/>
  <c r="A46" i="21"/>
  <c r="E29" i="10"/>
  <c r="D31" i="10"/>
  <c r="D33" i="10" s="1"/>
  <c r="F9" i="14"/>
  <c r="F14" i="14" s="1"/>
  <c r="I19" i="8"/>
  <c r="B23" i="11"/>
  <c r="K10" i="8" l="1"/>
  <c r="F35" i="11" s="1"/>
  <c r="F29" i="10"/>
  <c r="C48" i="9"/>
  <c r="K19" i="8"/>
  <c r="D20" i="7"/>
  <c r="C19" i="11"/>
  <c r="C21" i="11" s="1"/>
  <c r="D15" i="7"/>
  <c r="D34" i="9" s="1"/>
  <c r="E15" i="7" s="1"/>
  <c r="E34" i="9" s="1"/>
  <c r="B45" i="21"/>
  <c r="E47" i="9"/>
  <c r="A52" i="21"/>
  <c r="D46" i="21"/>
  <c r="D47" i="21" s="1"/>
  <c r="C46" i="21"/>
  <c r="C47" i="21" s="1"/>
  <c r="D25" i="7" s="1"/>
  <c r="D41" i="9" s="1"/>
  <c r="E31" i="10"/>
  <c r="E33" i="10" s="1"/>
  <c r="F31" i="10"/>
  <c r="F33" i="10" s="1"/>
  <c r="E20" i="7" l="1"/>
  <c r="D19" i="11"/>
  <c r="D21" i="11" s="1"/>
  <c r="F24" i="8"/>
  <c r="F26" i="8" s="1"/>
  <c r="F28" i="8" s="1"/>
  <c r="E46" i="21"/>
  <c r="E51" i="21" s="1"/>
  <c r="B46" i="21"/>
  <c r="B47" i="21" s="1"/>
  <c r="F47" i="9"/>
  <c r="A53" i="21"/>
  <c r="D52" i="21"/>
  <c r="C52" i="21"/>
  <c r="E47" i="21" l="1"/>
  <c r="D23" i="7"/>
  <c r="D31" i="11"/>
  <c r="G24" i="8"/>
  <c r="E52" i="21"/>
  <c r="F29" i="8"/>
  <c r="G26" i="8"/>
  <c r="B52" i="21"/>
  <c r="A54" i="21"/>
  <c r="D53" i="21"/>
  <c r="C53" i="21"/>
  <c r="F20" i="7"/>
  <c r="F15" i="7"/>
  <c r="F34" i="9" s="1"/>
  <c r="E19" i="11"/>
  <c r="E21" i="11" s="1"/>
  <c r="B53" i="21" l="1"/>
  <c r="E53" i="21"/>
  <c r="G29" i="8"/>
  <c r="D48" i="9"/>
  <c r="D54" i="21"/>
  <c r="C54" i="21"/>
  <c r="A55" i="21"/>
  <c r="F19" i="11"/>
  <c r="F21" i="11" s="1"/>
  <c r="E54" i="21" l="1"/>
  <c r="B54" i="21"/>
  <c r="D55" i="21"/>
  <c r="C55" i="21"/>
  <c r="E55" i="21" s="1"/>
  <c r="A56" i="21"/>
  <c r="C28" i="8"/>
  <c r="C16" i="14"/>
  <c r="C18" i="14" s="1"/>
  <c r="B31" i="8"/>
  <c r="B36" i="9"/>
  <c r="C19" i="7" s="1"/>
  <c r="C26" i="7" s="1"/>
  <c r="C28" i="7" s="1"/>
  <c r="C34" i="7" s="1"/>
  <c r="C40" i="7" s="1"/>
  <c r="C31" i="8" l="1"/>
  <c r="B37" i="11" s="1"/>
  <c r="B50" i="9"/>
  <c r="B53" i="9" s="1"/>
  <c r="B55" i="21"/>
  <c r="D56" i="21"/>
  <c r="C56" i="21"/>
  <c r="E56" i="21" s="1"/>
  <c r="A57" i="21"/>
  <c r="C10" i="9"/>
  <c r="C18" i="9" s="1"/>
  <c r="C30" i="9" s="1"/>
  <c r="B39" i="9"/>
  <c r="B38" i="11"/>
  <c r="B16" i="10" l="1"/>
  <c r="B39" i="11"/>
  <c r="C49" i="9"/>
  <c r="B24" i="11"/>
  <c r="C36" i="14"/>
  <c r="B56" i="21"/>
  <c r="D57" i="21"/>
  <c r="C57" i="21"/>
  <c r="A58" i="21"/>
  <c r="C20" i="14"/>
  <c r="C24" i="14" s="1"/>
  <c r="B12" i="11"/>
  <c r="B43" i="9"/>
  <c r="B12" i="10" s="1"/>
  <c r="B25" i="10" s="1"/>
  <c r="D32" i="7"/>
  <c r="B55" i="9" l="1"/>
  <c r="B57" i="21"/>
  <c r="E57" i="21"/>
  <c r="D58" i="21"/>
  <c r="C58" i="21"/>
  <c r="A59" i="21"/>
  <c r="B14" i="10"/>
  <c r="B59" i="9"/>
  <c r="B58" i="21" l="1"/>
  <c r="B18" i="10"/>
  <c r="B37" i="10" s="1"/>
  <c r="E58" i="21"/>
  <c r="D59" i="21"/>
  <c r="C59" i="21"/>
  <c r="A60" i="21"/>
  <c r="B29" i="11"/>
  <c r="C23" i="11"/>
  <c r="C23" i="10"/>
  <c r="C27" i="10" s="1"/>
  <c r="C35" i="10" s="1"/>
  <c r="B28" i="11"/>
  <c r="B59" i="21" l="1"/>
  <c r="E59" i="21"/>
  <c r="D60" i="21"/>
  <c r="C60" i="21"/>
  <c r="A61" i="21"/>
  <c r="E28" i="8"/>
  <c r="D31" i="8"/>
  <c r="D16" i="14"/>
  <c r="D18" i="14" s="1"/>
  <c r="C36" i="9"/>
  <c r="C39" i="9" s="1"/>
  <c r="C43" i="9" s="1"/>
  <c r="C12" i="10" s="1"/>
  <c r="C25" i="10" s="1"/>
  <c r="E60" i="21" l="1"/>
  <c r="B60" i="21"/>
  <c r="D61" i="21"/>
  <c r="C61" i="21"/>
  <c r="A62" i="21"/>
  <c r="D19" i="7"/>
  <c r="D26" i="7" s="1"/>
  <c r="C50" i="9"/>
  <c r="C53" i="9" s="1"/>
  <c r="C38" i="11"/>
  <c r="E31" i="8"/>
  <c r="C37" i="11" s="1"/>
  <c r="B61" i="21" l="1"/>
  <c r="E61" i="21"/>
  <c r="D28" i="7"/>
  <c r="D34" i="7" s="1"/>
  <c r="D40" i="7" s="1"/>
  <c r="D62" i="21"/>
  <c r="C62" i="21"/>
  <c r="A63" i="21"/>
  <c r="A69" i="21" s="1"/>
  <c r="D49" i="9"/>
  <c r="D20" i="14"/>
  <c r="D24" i="14" s="1"/>
  <c r="C55" i="9"/>
  <c r="C12" i="11"/>
  <c r="C11" i="11"/>
  <c r="C10" i="11"/>
  <c r="E62" i="21" l="1"/>
  <c r="B62" i="21"/>
  <c r="A70" i="21"/>
  <c r="C69" i="21"/>
  <c r="D69" i="21"/>
  <c r="D63" i="21"/>
  <c r="D64" i="21" s="1"/>
  <c r="C63" i="21"/>
  <c r="E63" i="21" s="1"/>
  <c r="E68" i="21" s="1"/>
  <c r="C14" i="10"/>
  <c r="C59" i="9"/>
  <c r="E32" i="7"/>
  <c r="D10" i="9"/>
  <c r="C16" i="10"/>
  <c r="D36" i="14"/>
  <c r="C24" i="11"/>
  <c r="C39" i="11"/>
  <c r="E69" i="21" l="1"/>
  <c r="H24" i="8"/>
  <c r="H26" i="8" s="1"/>
  <c r="H28" i="8" s="1"/>
  <c r="C18" i="10"/>
  <c r="C37" i="10" s="1"/>
  <c r="D18" i="9"/>
  <c r="D30" i="9" s="1"/>
  <c r="B69" i="21"/>
  <c r="A71" i="21"/>
  <c r="D70" i="21"/>
  <c r="C70" i="21"/>
  <c r="E64" i="21"/>
  <c r="B63" i="21"/>
  <c r="B64" i="21" s="1"/>
  <c r="C64" i="21"/>
  <c r="C29" i="11"/>
  <c r="C28" i="11"/>
  <c r="B70" i="21" l="1"/>
  <c r="I24" i="8"/>
  <c r="E31" i="11"/>
  <c r="E23" i="7"/>
  <c r="E70" i="21"/>
  <c r="E25" i="7"/>
  <c r="E41" i="9" s="1"/>
  <c r="I26" i="8"/>
  <c r="H29" i="8"/>
  <c r="A72" i="21"/>
  <c r="D71" i="21"/>
  <c r="C71" i="21"/>
  <c r="D23" i="11"/>
  <c r="D23" i="10"/>
  <c r="D27" i="10" s="1"/>
  <c r="D35" i="10" s="1"/>
  <c r="B71" i="21" l="1"/>
  <c r="E71" i="21"/>
  <c r="I29" i="8"/>
  <c r="E48" i="9"/>
  <c r="A73" i="21"/>
  <c r="D72" i="21"/>
  <c r="C72" i="21"/>
  <c r="G28" i="8"/>
  <c r="F31" i="8"/>
  <c r="E16" i="14"/>
  <c r="E18" i="14" s="1"/>
  <c r="D36" i="9"/>
  <c r="E72" i="21" l="1"/>
  <c r="B72" i="21"/>
  <c r="A74" i="21"/>
  <c r="D73" i="21"/>
  <c r="C73" i="21"/>
  <c r="D39" i="9"/>
  <c r="E19" i="7"/>
  <c r="D50" i="9"/>
  <c r="D53" i="9" s="1"/>
  <c r="D38" i="11"/>
  <c r="G31" i="8"/>
  <c r="D37" i="11" s="1"/>
  <c r="B73" i="21" l="1"/>
  <c r="E73" i="21"/>
  <c r="A75" i="21"/>
  <c r="D74" i="21"/>
  <c r="C74" i="21"/>
  <c r="E26" i="7"/>
  <c r="E28" i="7" s="1"/>
  <c r="E34" i="7" s="1"/>
  <c r="E40" i="7" s="1"/>
  <c r="E49" i="9"/>
  <c r="E20" i="14"/>
  <c r="E24" i="14" s="1"/>
  <c r="D43" i="9"/>
  <c r="D12" i="10" s="1"/>
  <c r="D25" i="10" s="1"/>
  <c r="D12" i="11"/>
  <c r="D11" i="11"/>
  <c r="D10" i="11"/>
  <c r="B74" i="21" l="1"/>
  <c r="E74" i="21"/>
  <c r="A76" i="21"/>
  <c r="D75" i="21"/>
  <c r="C75" i="21"/>
  <c r="D14" i="10"/>
  <c r="D55" i="9"/>
  <c r="F32" i="7"/>
  <c r="E10" i="9"/>
  <c r="D16" i="10"/>
  <c r="E36" i="14"/>
  <c r="D24" i="11"/>
  <c r="D39" i="11"/>
  <c r="E75" i="21" l="1"/>
  <c r="D18" i="10"/>
  <c r="D37" i="10" s="1"/>
  <c r="E18" i="9"/>
  <c r="E30" i="9" s="1"/>
  <c r="B75" i="21"/>
  <c r="A77" i="21"/>
  <c r="D76" i="21"/>
  <c r="C76" i="21"/>
  <c r="D59" i="9"/>
  <c r="D29" i="11"/>
  <c r="D28" i="11"/>
  <c r="B76" i="21" l="1"/>
  <c r="E76" i="21"/>
  <c r="A78" i="21"/>
  <c r="D77" i="21"/>
  <c r="C77" i="21"/>
  <c r="E23" i="11"/>
  <c r="E23" i="10"/>
  <c r="E27" i="10" s="1"/>
  <c r="E35" i="10" s="1"/>
  <c r="B77" i="21" l="1"/>
  <c r="E77" i="21"/>
  <c r="A79" i="21"/>
  <c r="D78" i="21"/>
  <c r="C78" i="21"/>
  <c r="I28" i="8"/>
  <c r="H31" i="8"/>
  <c r="F16" i="14"/>
  <c r="F18" i="14" s="1"/>
  <c r="E36" i="9"/>
  <c r="B78" i="21" l="1"/>
  <c r="E78" i="21"/>
  <c r="A80" i="21"/>
  <c r="A86" i="21" s="1"/>
  <c r="D79" i="21"/>
  <c r="C79" i="21"/>
  <c r="E39" i="9"/>
  <c r="F19" i="7"/>
  <c r="E50" i="9"/>
  <c r="E53" i="9" s="1"/>
  <c r="E38" i="11"/>
  <c r="I31" i="8"/>
  <c r="E37" i="11" s="1"/>
  <c r="A87" i="21" l="1"/>
  <c r="D86" i="21"/>
  <c r="C86" i="21"/>
  <c r="B79" i="21"/>
  <c r="E79" i="21"/>
  <c r="D80" i="21"/>
  <c r="D81" i="21" s="1"/>
  <c r="J24" i="8" s="1"/>
  <c r="C80" i="21"/>
  <c r="F49" i="9"/>
  <c r="F20" i="14"/>
  <c r="F24" i="14" s="1"/>
  <c r="E43" i="9"/>
  <c r="E12" i="10" s="1"/>
  <c r="E25" i="10" s="1"/>
  <c r="E12" i="11"/>
  <c r="E11" i="11"/>
  <c r="E10" i="11"/>
  <c r="B86" i="21" l="1"/>
  <c r="A88" i="21"/>
  <c r="D87" i="21"/>
  <c r="C87" i="21"/>
  <c r="J26" i="8"/>
  <c r="J28" i="8" s="1"/>
  <c r="E80" i="21"/>
  <c r="E85" i="21" s="1"/>
  <c r="E86" i="21" s="1"/>
  <c r="B80" i="21"/>
  <c r="B81" i="21" s="1"/>
  <c r="C81" i="21"/>
  <c r="F25" i="7" s="1"/>
  <c r="F41" i="9" s="1"/>
  <c r="E14" i="10"/>
  <c r="E55" i="9"/>
  <c r="E16" i="10"/>
  <c r="F36" i="14"/>
  <c r="E24" i="11"/>
  <c r="E39" i="11"/>
  <c r="B87" i="21" l="1"/>
  <c r="E87" i="21"/>
  <c r="E81" i="21"/>
  <c r="A89" i="21"/>
  <c r="D88" i="21"/>
  <c r="C88" i="21"/>
  <c r="K24" i="8"/>
  <c r="F31" i="11"/>
  <c r="F23" i="7"/>
  <c r="F26" i="7" s="1"/>
  <c r="F28" i="7" s="1"/>
  <c r="F34" i="7" s="1"/>
  <c r="E18" i="10"/>
  <c r="E37" i="10" s="1"/>
  <c r="J29" i="8"/>
  <c r="K26" i="8"/>
  <c r="E59" i="9"/>
  <c r="E29" i="11"/>
  <c r="E28" i="11"/>
  <c r="B88" i="21" l="1"/>
  <c r="A90" i="21"/>
  <c r="D89" i="21"/>
  <c r="C89" i="21"/>
  <c r="E88" i="21"/>
  <c r="F40" i="7"/>
  <c r="F10" i="9" s="1"/>
  <c r="F18" i="9" s="1"/>
  <c r="F30" i="9" s="1"/>
  <c r="K29" i="8"/>
  <c r="F48" i="9"/>
  <c r="K28" i="8"/>
  <c r="J31" i="8"/>
  <c r="G16" i="14"/>
  <c r="G18" i="14" s="1"/>
  <c r="F36" i="9"/>
  <c r="B89" i="21" l="1"/>
  <c r="A91" i="21"/>
  <c r="D90" i="21"/>
  <c r="C90" i="21"/>
  <c r="E89" i="21"/>
  <c r="F23" i="11"/>
  <c r="F23" i="10"/>
  <c r="F27" i="10" s="1"/>
  <c r="F35" i="10" s="1"/>
  <c r="F39" i="9"/>
  <c r="F50" i="9"/>
  <c r="F53" i="9" s="1"/>
  <c r="F39" i="11" s="1"/>
  <c r="F38" i="11"/>
  <c r="K31" i="8"/>
  <c r="F37" i="11" s="1"/>
  <c r="B90" i="21" l="1"/>
  <c r="A92" i="21"/>
  <c r="D91" i="21"/>
  <c r="C91" i="21"/>
  <c r="E90" i="21"/>
  <c r="F16" i="10"/>
  <c r="F24" i="11"/>
  <c r="G36" i="14"/>
  <c r="C39" i="14" s="1"/>
  <c r="G20" i="14"/>
  <c r="G24" i="14" s="1"/>
  <c r="C32" i="14" s="1"/>
  <c r="F43" i="9"/>
  <c r="F12" i="10" s="1"/>
  <c r="F25" i="10" s="1"/>
  <c r="F12" i="11"/>
  <c r="F11" i="11"/>
  <c r="F10" i="11"/>
  <c r="B91" i="21" l="1"/>
  <c r="A93" i="21"/>
  <c r="D92" i="21"/>
  <c r="C92" i="21"/>
  <c r="E91" i="21"/>
  <c r="F14" i="10"/>
  <c r="F18" i="10" s="1"/>
  <c r="F37" i="10" s="1"/>
  <c r="F55" i="9"/>
  <c r="B92" i="21" l="1"/>
  <c r="E92" i="21"/>
  <c r="A94" i="21"/>
  <c r="D93" i="21"/>
  <c r="C93" i="21"/>
  <c r="F59" i="9"/>
  <c r="F29" i="11"/>
  <c r="F28" i="11"/>
  <c r="B93" i="21" l="1"/>
  <c r="A95" i="21"/>
  <c r="D94" i="21"/>
  <c r="C94" i="21"/>
  <c r="E93" i="21"/>
  <c r="B94" i="21" l="1"/>
  <c r="A96" i="21"/>
  <c r="D95" i="21"/>
  <c r="C95" i="21"/>
  <c r="B95" i="21" s="1"/>
  <c r="E94" i="21"/>
  <c r="A97" i="21" l="1"/>
  <c r="D96" i="21"/>
  <c r="C96" i="21"/>
  <c r="E95" i="21"/>
  <c r="B96" i="21" l="1"/>
  <c r="D97" i="21"/>
  <c r="D98" i="21" s="1"/>
  <c r="C97" i="21"/>
  <c r="E96" i="21"/>
  <c r="E97" i="21" l="1"/>
  <c r="E98" i="21" s="1"/>
  <c r="B97" i="21"/>
  <c r="B98" i="21" s="1"/>
  <c r="C98" i="21"/>
</calcChain>
</file>

<file path=xl/comments1.xml><?xml version="1.0" encoding="utf-8"?>
<comments xmlns="http://schemas.openxmlformats.org/spreadsheetml/2006/main">
  <authors>
    <author>C Esfera 4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C Esfera 4:</t>
        </r>
        <r>
          <rPr>
            <sz val="9"/>
            <color indexed="81"/>
            <rFont val="Tahoma"/>
            <family val="2"/>
          </rPr>
          <t xml:space="preserve">
Cantidad de bolsas a usar por tipo de bolso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C Esfera 4:</t>
        </r>
        <r>
          <rPr>
            <sz val="9"/>
            <color indexed="81"/>
            <rFont val="Tahoma"/>
            <family val="2"/>
          </rPr>
          <t xml:space="preserve">
Estimado producción mensual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C Esfera 4:</t>
        </r>
        <r>
          <rPr>
            <sz val="9"/>
            <color indexed="81"/>
            <rFont val="Tahoma"/>
            <family val="2"/>
          </rPr>
          <t xml:space="preserve">
Uso de bolsas al mes para la producción por bolso</t>
        </r>
      </text>
    </comment>
  </commentList>
</comments>
</file>

<file path=xl/comments2.xml><?xml version="1.0" encoding="utf-8"?>
<comments xmlns="http://schemas.openxmlformats.org/spreadsheetml/2006/main">
  <authors>
    <author>USUARIO</author>
    <author>WALTER MORENO</author>
  </authors>
  <commentList>
    <comment ref="G7" authorId="0" shapeId="0">
      <text>
        <r>
          <rPr>
            <sz val="10"/>
            <color indexed="81"/>
            <rFont val="Tahoma"/>
            <family val="2"/>
          </rPr>
          <t>Ingrese los productos o servicios</t>
        </r>
      </text>
    </comment>
    <comment ref="F66" authorId="0" shapeId="0">
      <text>
        <r>
          <rPr>
            <sz val="10"/>
            <color indexed="81"/>
            <rFont val="Tahoma"/>
            <family val="2"/>
          </rPr>
          <t>Digite el Nº meses de recaudo de cartera</t>
        </r>
      </text>
    </comment>
    <comment ref="F73" authorId="0" shapeId="0">
      <text>
        <r>
          <rPr>
            <sz val="10"/>
            <color indexed="81"/>
            <rFont val="Tahoma"/>
            <family val="2"/>
          </rPr>
          <t>Digite el Nº meses de pago a proveedores</t>
        </r>
      </text>
    </comment>
    <comment ref="F80" authorId="0" shapeId="0">
      <text>
        <r>
          <rPr>
            <sz val="10"/>
            <color indexed="81"/>
            <rFont val="Tahoma"/>
            <family val="2"/>
          </rPr>
          <t>Digite el Nº meses de inventarios</t>
        </r>
      </text>
    </comment>
    <comment ref="B89" authorId="1" shapeId="0">
      <text>
        <r>
          <rPr>
            <sz val="10"/>
            <color indexed="81"/>
            <rFont val="Tahoma"/>
            <family val="2"/>
          </rPr>
          <t>INGRESE EL % DE GASTOS QUE SE CALCULA PARA TRAMITAR LA EXPORTACIÓN.</t>
        </r>
      </text>
    </comment>
    <comment ref="B94" authorId="0" shapeId="0">
      <text>
        <r>
          <rPr>
            <sz val="10"/>
            <color indexed="81"/>
            <rFont val="Tahoma"/>
            <family val="2"/>
          </rPr>
          <t>Ingrese el valor proyectado para el 1 año en miles de pesos</t>
        </r>
      </text>
    </comment>
  </commentList>
</comments>
</file>

<file path=xl/sharedStrings.xml><?xml version="1.0" encoding="utf-8"?>
<sst xmlns="http://schemas.openxmlformats.org/spreadsheetml/2006/main" count="551" uniqueCount="339">
  <si>
    <t>Inflación</t>
  </si>
  <si>
    <t>Inflación Mundial</t>
  </si>
  <si>
    <t>Devaluación</t>
  </si>
  <si>
    <t>Tasa de Cambio Prom.</t>
  </si>
  <si>
    <t>Tasa Pasiva Dolares</t>
  </si>
  <si>
    <t>Tasa Pasiva Pesos</t>
  </si>
  <si>
    <t>Spread Largo Plazo</t>
  </si>
  <si>
    <t>IVA</t>
  </si>
  <si>
    <t>Impuesto de Renta</t>
  </si>
  <si>
    <t>TOTAL</t>
  </si>
  <si>
    <t>GASTO DE PUBLICIDAD PARA LOS ALMACENES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</si>
  <si>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</si>
  <si>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</si>
  <si>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</si>
  <si>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</si>
  <si>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</si>
  <si>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</si>
  <si>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</si>
  <si>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</si>
  <si>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</si>
  <si>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</si>
  <si>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ALMACEN 1</t>
  </si>
  <si>
    <t>ALMACEN 2</t>
  </si>
  <si>
    <t>ALMACEN 3</t>
  </si>
  <si>
    <t>ALMACEN 4</t>
  </si>
  <si>
    <t>ALMACEN 5</t>
  </si>
  <si>
    <t>ALMACEN 6</t>
  </si>
  <si>
    <t>ALMACEN 7</t>
  </si>
  <si>
    <t>INGRESOS</t>
  </si>
  <si>
    <t>Intereses</t>
  </si>
  <si>
    <t>Otros Ingresos</t>
  </si>
  <si>
    <t>TOTAL INGRESOS</t>
  </si>
  <si>
    <t>EGRESOS</t>
  </si>
  <si>
    <t>Gastos Administración</t>
  </si>
  <si>
    <t>Gastos de Ventas</t>
  </si>
  <si>
    <t>Pago Pasivos</t>
  </si>
  <si>
    <t>TOTAL EGRESOS</t>
  </si>
  <si>
    <t>SALDO OPERACIONAL</t>
  </si>
  <si>
    <t>Inversiones Operativas</t>
  </si>
  <si>
    <t>EFECTIVO INICIAL</t>
  </si>
  <si>
    <t>Financiación Largo Plazo :</t>
  </si>
  <si>
    <t>Gastos Financieros</t>
  </si>
  <si>
    <t>EFECTIVO FINAL</t>
  </si>
  <si>
    <t xml:space="preserve"> </t>
  </si>
  <si>
    <t>Ventas Netas</t>
  </si>
  <si>
    <t>Costo de Ventas</t>
  </si>
  <si>
    <t>UTILIDAD BRUTA</t>
  </si>
  <si>
    <t>Gastos Ventas</t>
  </si>
  <si>
    <t>Total Gastos Operación</t>
  </si>
  <si>
    <t>UTILIDAD OPERACIONAL</t>
  </si>
  <si>
    <t>Corrección Monetaria</t>
  </si>
  <si>
    <t>UTILIDAD NETA FINAL</t>
  </si>
  <si>
    <t>ACTIVOS</t>
  </si>
  <si>
    <t>Efectivo</t>
  </si>
  <si>
    <t>Cartera</t>
  </si>
  <si>
    <t>Inventarios</t>
  </si>
  <si>
    <t>Provisiones</t>
  </si>
  <si>
    <t xml:space="preserve">     Depreciación acumulada</t>
  </si>
  <si>
    <t>Diferidos</t>
  </si>
  <si>
    <t>Valorizaciones</t>
  </si>
  <si>
    <t>Total Fijos :</t>
  </si>
  <si>
    <t>TOTAL ACTIVO</t>
  </si>
  <si>
    <t>PASIVO</t>
  </si>
  <si>
    <t>Obligaciones Bancarias</t>
  </si>
  <si>
    <t>Impuestos por pagar</t>
  </si>
  <si>
    <t>Otros Pasivos Corrientes</t>
  </si>
  <si>
    <t>TOTAL PASIVO CORRIENTE</t>
  </si>
  <si>
    <t>Obligaciones Financieras Largo Plazo</t>
  </si>
  <si>
    <t>TOTAL PASIVO</t>
  </si>
  <si>
    <t>PATRIMONIO</t>
  </si>
  <si>
    <t>Capital Pagado</t>
  </si>
  <si>
    <t>Reservas</t>
  </si>
  <si>
    <t>Utilidades Anteriores</t>
  </si>
  <si>
    <t>Utilidad del Periodo</t>
  </si>
  <si>
    <t>TOTAL PATRIMONIO</t>
  </si>
  <si>
    <t>TOTAL PASIVO + PATRIMONIO</t>
  </si>
  <si>
    <t>DIFERENCIA</t>
  </si>
  <si>
    <t>Pasivos Operativos</t>
  </si>
  <si>
    <t>Pasivos Bancarios</t>
  </si>
  <si>
    <t>Patrimonio</t>
  </si>
  <si>
    <t>Costo de Capital :</t>
  </si>
  <si>
    <t>Activos Operativos :</t>
  </si>
  <si>
    <t>Pasivos Operativos :</t>
  </si>
  <si>
    <t>Capital Invertido :</t>
  </si>
  <si>
    <t>Utilidad Operativa:</t>
  </si>
  <si>
    <t>Impuestos Operativos :</t>
  </si>
  <si>
    <t>R.S.C.I :</t>
  </si>
  <si>
    <t>Razón Corriente :</t>
  </si>
  <si>
    <t>Prueba Acida :</t>
  </si>
  <si>
    <t>Capital de Trabajo :</t>
  </si>
  <si>
    <t>Cobertura CT a Cartera :</t>
  </si>
  <si>
    <t>Periodo Medio de Cobro :</t>
  </si>
  <si>
    <t>Periodo Medio de Existencias :</t>
  </si>
  <si>
    <t>Periodo Medio de Pago :</t>
  </si>
  <si>
    <t>Ciclo Operacional :</t>
  </si>
  <si>
    <t>Rotación del Activo :</t>
  </si>
  <si>
    <t>Rotación del Patrimonio :</t>
  </si>
  <si>
    <t>Endeudamiento Total :</t>
  </si>
  <si>
    <t>Endeudamiento Operativo  :</t>
  </si>
  <si>
    <t>Cobertura Intereses :</t>
  </si>
  <si>
    <t>Margen Bruto :</t>
  </si>
  <si>
    <t>Margen Operacional :</t>
  </si>
  <si>
    <t>Margen Neto :</t>
  </si>
  <si>
    <t>Rentabilidad Activo :</t>
  </si>
  <si>
    <t>Rentabilidad Patrimonio :</t>
  </si>
  <si>
    <t>Proveedores</t>
  </si>
  <si>
    <t>Materìa Prima</t>
  </si>
  <si>
    <t>Producto Terminado</t>
  </si>
  <si>
    <t>Insumos Agrìcolas</t>
  </si>
  <si>
    <t xml:space="preserve">Valor neto </t>
  </si>
  <si>
    <t>Variación Capital de Trabajo</t>
  </si>
  <si>
    <t>Costo real del patrimonio :</t>
  </si>
  <si>
    <t>Otros Egresos</t>
  </si>
  <si>
    <t>Otros egresos</t>
  </si>
  <si>
    <t>UODI :</t>
  </si>
  <si>
    <t>Utilidad Operacional</t>
  </si>
  <si>
    <t xml:space="preserve"> + Depreciación</t>
  </si>
  <si>
    <t xml:space="preserve"> + Provisiones</t>
  </si>
  <si>
    <t>Inversiones</t>
  </si>
  <si>
    <t>TOTAL ACTIVO CORRIENTE</t>
  </si>
  <si>
    <t>Compra (Venta) Activos Fijos</t>
  </si>
  <si>
    <t>Reserva</t>
  </si>
  <si>
    <t>Muebles</t>
  </si>
  <si>
    <t>AUTOMOTORES</t>
  </si>
  <si>
    <t>Automotores</t>
  </si>
  <si>
    <t>Pago Costo de Ventas</t>
  </si>
  <si>
    <t>SUPERAVIT (DÉFICIT)</t>
  </si>
  <si>
    <t>UTILIDAD ANTES DE IMP (EBT)</t>
  </si>
  <si>
    <t>%</t>
  </si>
  <si>
    <t>COSTO DE CAPITAL</t>
  </si>
  <si>
    <t>RENTABILIDAD SOBRE CAPITAL INVERTIDO (RSCI)</t>
  </si>
  <si>
    <t>LIQUIDEZ</t>
  </si>
  <si>
    <t>ACTIVIDAD</t>
  </si>
  <si>
    <t>ENDEUDAMIENTO</t>
  </si>
  <si>
    <t>RENTABILIDAD</t>
  </si>
  <si>
    <t>FLUJO DE CAJA LIBRE OPERATIVO</t>
  </si>
  <si>
    <t>EBITDA</t>
  </si>
  <si>
    <t>VALOR DEL PATRIMONIO</t>
  </si>
  <si>
    <t>VALOR ACTUAL DEL PATRIMONIO</t>
  </si>
  <si>
    <t>TASA DE DESCUENTO (TASA PATRIMONIAL)</t>
  </si>
  <si>
    <t>Generación Operativa de Fondos (G.O.F.)</t>
  </si>
  <si>
    <t>Variación Activos Fijo y Otros</t>
  </si>
  <si>
    <t>AÑO</t>
  </si>
  <si>
    <t>Valor Económico Agregado (EVA)</t>
  </si>
  <si>
    <t>DETALLE</t>
  </si>
  <si>
    <t>DATO</t>
  </si>
  <si>
    <t>TASA INTERNA DE RETORNO (TIR)</t>
  </si>
  <si>
    <t xml:space="preserve">VALOR VENTAS AÑO </t>
  </si>
  <si>
    <t xml:space="preserve"> - VENTAS PRODUCTO 1</t>
  </si>
  <si>
    <t>LISTA DE LÍNEAS O PRODUCTOS</t>
  </si>
  <si>
    <t xml:space="preserve"> - VENTAS PRODUCTO 2</t>
  </si>
  <si>
    <t xml:space="preserve"> - VENTAS PRODUCTO 3</t>
  </si>
  <si>
    <t xml:space="preserve"> - VENTAS PRODUCTO 4</t>
  </si>
  <si>
    <t>PRODUCTO O LÍNEA</t>
  </si>
  <si>
    <t>ANEXO No. 1 SUPUESTOS DE PROYECCIÓN</t>
  </si>
  <si>
    <t>ROTACIÓN DE CARTERA</t>
  </si>
  <si>
    <t>DÍAS</t>
  </si>
  <si>
    <t>ROTACIÓN DE PROVEEDORES</t>
  </si>
  <si>
    <t>ROTACIÓN DE INVENTARIOS</t>
  </si>
  <si>
    <t>MESES DE FINANCIACIÓN CON PROVEEDORES</t>
  </si>
  <si>
    <t>MESES DE PLAZO A CLIENTES</t>
  </si>
  <si>
    <t>IMPUESTOS</t>
  </si>
  <si>
    <t>COSTO UNITARIO</t>
  </si>
  <si>
    <t>COSTO TOTAL</t>
  </si>
  <si>
    <t>COSTO TOTAL x LÍNEA</t>
  </si>
  <si>
    <t>PART %</t>
  </si>
  <si>
    <t>VIAJES (TIQUETES, HOTELES, VIÁTICOS, OTROS)</t>
  </si>
  <si>
    <t>HONORARIOS</t>
  </si>
  <si>
    <t>PERSONAL (INCLUYE PRESTACIONES SOCIALES)</t>
  </si>
  <si>
    <t xml:space="preserve">GASTOS DE INMUEBLES (ARRIENDOS, SERVICIOS, ADMÓN) </t>
  </si>
  <si>
    <t>TRANSPORTE URBANO</t>
  </si>
  <si>
    <t>PUBLICIDAD (% SOBRE VENTAS)</t>
  </si>
  <si>
    <t>PROMOCIÓN (% SOBRE VENTAS)</t>
  </si>
  <si>
    <t>COMISIONES (% SOBRE VENTAS)</t>
  </si>
  <si>
    <t>GASTOS DE ADMINISTRACIÓN 1er AÑO</t>
  </si>
  <si>
    <t>PROVISIONES DE CARTERA (% SOBRE VENTAS)</t>
  </si>
  <si>
    <t>MESES DE INVENTARIO</t>
  </si>
  <si>
    <t>ANEXO No. 2 PROYECCION MACROECONOMICA</t>
  </si>
  <si>
    <t>EQUIPOS DE OFICINA</t>
  </si>
  <si>
    <t>MUEBLES</t>
  </si>
  <si>
    <t>DESCRIPCIÓN</t>
  </si>
  <si>
    <t>(Computadores e Impresoras)</t>
  </si>
  <si>
    <t>TOTAL INVERSIÓN ACTIVOS FIJOS</t>
  </si>
  <si>
    <t>Equipos de Oficina</t>
  </si>
  <si>
    <t>VALOR $000</t>
  </si>
  <si>
    <t>OTROS (IMPUESTOS, PAPELERÍA, VARIOS)</t>
  </si>
  <si>
    <t>ANEXO No.3 FLUJO DE CAJA ($000)</t>
  </si>
  <si>
    <t>ANEXO No. 4 ESTADO DE RESULTADOS ($000)</t>
  </si>
  <si>
    <t>ANEXO No. 5 BALANCE GENERAL ($000)</t>
  </si>
  <si>
    <t>ANEXO No. 6 ANÁLISIS DE GENERACIÓN DE VALOR</t>
  </si>
  <si>
    <t>ANEXO No. 7 INDICADORES FINANCIEROS</t>
  </si>
  <si>
    <t>ANEXO No.8 FLUJO DE CAJA LIBRE ($000)</t>
  </si>
  <si>
    <t>Capital (Aporte de Socios)</t>
  </si>
  <si>
    <t xml:space="preserve"> - Fotos, brochure y catálogo</t>
  </si>
  <si>
    <t xml:space="preserve"> - Página WEB</t>
  </si>
  <si>
    <t xml:space="preserve"> - Estudio de mercado</t>
  </si>
  <si>
    <t xml:space="preserve"> - Constitución de Empresa</t>
  </si>
  <si>
    <t xml:space="preserve"> - Publicidad </t>
  </si>
  <si>
    <t xml:space="preserve"> - Muestras</t>
  </si>
  <si>
    <t xml:space="preserve"> - Ferias (stand, viajes, estadia)</t>
  </si>
  <si>
    <t xml:space="preserve"> - Otros </t>
  </si>
  <si>
    <t xml:space="preserve"> - Otros</t>
  </si>
  <si>
    <t>Preoperativos</t>
  </si>
  <si>
    <t>GASTOS PREOPERATIVOS ($000)</t>
  </si>
  <si>
    <t xml:space="preserve"> + Amortizaciones</t>
  </si>
  <si>
    <t xml:space="preserve"> - Otros (Software)</t>
  </si>
  <si>
    <t>VALORACIÓN POR DESCUENTO DE PATRIMONIO PROYECTADO</t>
  </si>
  <si>
    <t>Modelo Financiero</t>
  </si>
  <si>
    <t>OTROS GASTOS</t>
  </si>
  <si>
    <t xml:space="preserve"> - Diseño</t>
  </si>
  <si>
    <t xml:space="preserve"> - Mantenimiento de marca</t>
  </si>
  <si>
    <t>REFERENCIA</t>
  </si>
  <si>
    <t>1. PRODUCTOS O SERVICIOS</t>
  </si>
  <si>
    <t>2. VENTAS PRIMER AÑO</t>
  </si>
  <si>
    <t>VAR %</t>
  </si>
  <si>
    <t>UNID</t>
  </si>
  <si>
    <t>VALOR</t>
  </si>
  <si>
    <t>3. VENTAS SEGUNDO AÑO</t>
  </si>
  <si>
    <t>4. VENTAS TERCER AÑO</t>
  </si>
  <si>
    <t>5. VENTAS CUARTO AÑO</t>
  </si>
  <si>
    <t>6. VENTAS QUINTO AÑO</t>
  </si>
  <si>
    <t>1 AÑO OPERACIÓN</t>
  </si>
  <si>
    <t>AÑOS</t>
  </si>
  <si>
    <t>MESES</t>
  </si>
  <si>
    <t>PRECIOS UNITARIOS POR PRODUCTO</t>
  </si>
  <si>
    <t>PRODUCTO</t>
  </si>
  <si>
    <t>PRECIOS DE VENTA UNITARIOS PRIMER AÑO</t>
  </si>
  <si>
    <t>2. CV PRIMER AÑO</t>
  </si>
  <si>
    <t>3. CV SEGUNDO AÑO</t>
  </si>
  <si>
    <t>4. CV TERCER AÑO</t>
  </si>
  <si>
    <t>5. CV CUARTO AÑO</t>
  </si>
  <si>
    <t>6. CV QUINTO AÑO</t>
  </si>
  <si>
    <t>COSTOS UNITARIOS</t>
  </si>
  <si>
    <t>COMPRA PESOS</t>
  </si>
  <si>
    <t>PORCENTAJE DE GASTOS CIF</t>
  </si>
  <si>
    <t>BOGOTÁ ($000)</t>
  </si>
  <si>
    <r>
      <t xml:space="preserve">GASTOS DE VENTAS -  </t>
    </r>
    <r>
      <rPr>
        <b/>
        <sz val="16"/>
        <color theme="0"/>
        <rFont val="Calibri"/>
        <family val="2"/>
        <scheme val="minor"/>
      </rPr>
      <t>%</t>
    </r>
  </si>
  <si>
    <t>RESERVA LEGAL (%)</t>
  </si>
  <si>
    <t>GASTOS DE TIPO COMERCIAL</t>
  </si>
  <si>
    <t>($000)</t>
  </si>
  <si>
    <t>GASTOS DE TIPO TÉCNICO</t>
  </si>
  <si>
    <t>GASTOS DE INICIACIÓN</t>
  </si>
  <si>
    <t>TIPO DE ACTIVO</t>
  </si>
  <si>
    <r>
      <t xml:space="preserve"> (*) </t>
    </r>
    <r>
      <rPr>
        <sz val="10"/>
        <rFont val="Calibri"/>
        <family val="2"/>
        <scheme val="minor"/>
      </rPr>
      <t>Cálculos del Autor</t>
    </r>
  </si>
  <si>
    <t>2. PRECIOS Y COSTOS UNITARIOS</t>
  </si>
  <si>
    <t xml:space="preserve"> - Imporenta</t>
  </si>
  <si>
    <t>VALOR MILES</t>
  </si>
  <si>
    <t>VALOR PESOS</t>
  </si>
  <si>
    <t>Computadores</t>
  </si>
  <si>
    <t>Depreciación</t>
  </si>
  <si>
    <t>ANEXO No. 10 Amortización Préstamos</t>
  </si>
  <si>
    <t>Plazo</t>
  </si>
  <si>
    <t>Abono Capital</t>
  </si>
  <si>
    <t>Pago Intereses</t>
  </si>
  <si>
    <t>Crédito Nº</t>
  </si>
  <si>
    <t>Valor</t>
  </si>
  <si>
    <t>Inicio</t>
  </si>
  <si>
    <t>Tasa DTF +</t>
  </si>
  <si>
    <t>Nº Cuota</t>
  </si>
  <si>
    <t>Cuota</t>
  </si>
  <si>
    <t>Saldo</t>
  </si>
  <si>
    <t>Tasa Nominal Anual</t>
  </si>
  <si>
    <t>Pago Obligaciones financieras</t>
  </si>
  <si>
    <t>Capital (Voluntario)</t>
  </si>
  <si>
    <t>Voluntario</t>
  </si>
  <si>
    <t>7. INDICADORES DE OPERACION</t>
  </si>
  <si>
    <t>8. GASTOS</t>
  </si>
  <si>
    <t>9. INVERSIÓN</t>
  </si>
  <si>
    <t>CREC ANUAL</t>
  </si>
  <si>
    <t>Materiales</t>
  </si>
  <si>
    <t>Precio</t>
  </si>
  <si>
    <t>Unidad</t>
  </si>
  <si>
    <t>Proveedor</t>
  </si>
  <si>
    <t>Etiqueta</t>
  </si>
  <si>
    <t>Und</t>
  </si>
  <si>
    <t>Costos materiales</t>
  </si>
  <si>
    <t>Mano de obra</t>
  </si>
  <si>
    <t>Mes</t>
  </si>
  <si>
    <t>Costos fijos</t>
  </si>
  <si>
    <t>Servicios</t>
  </si>
  <si>
    <t>Total</t>
  </si>
  <si>
    <t>Producción 1</t>
  </si>
  <si>
    <t>Inventario MP</t>
  </si>
  <si>
    <t>Inventario PP</t>
  </si>
  <si>
    <t>Inventario Final</t>
  </si>
  <si>
    <t>INVERSION INICIAL</t>
  </si>
  <si>
    <t>Patente (inicial)</t>
  </si>
  <si>
    <t>Registro de marca (inicial)</t>
  </si>
  <si>
    <t>Materiales iniciales</t>
  </si>
  <si>
    <t>Insumos (tijeras, bisturi, carton…)</t>
  </si>
  <si>
    <t>Ventas</t>
  </si>
  <si>
    <t>LISTA DE MATERIALES PARA FABRICACION DE BOLSOS</t>
  </si>
  <si>
    <t xml:space="preserve">Bolsas Plásticas </t>
  </si>
  <si>
    <t>Carviplast Ltda.</t>
  </si>
  <si>
    <t>50 kg</t>
  </si>
  <si>
    <t>Especificaciones</t>
  </si>
  <si>
    <t>2500 bolsas en 50 kg color recuperable diametro 2,5</t>
  </si>
  <si>
    <t>COSTOS DE PRODUCCION BOLSO</t>
  </si>
  <si>
    <t>TIPO 1</t>
  </si>
  <si>
    <t>TIPO 2</t>
  </si>
  <si>
    <t>TIPO 3</t>
  </si>
  <si>
    <t>TIPO 4</t>
  </si>
  <si>
    <t>Servicio Transporte</t>
  </si>
  <si>
    <t>Servicios Contratados</t>
  </si>
  <si>
    <t>Arriendo Bodega</t>
  </si>
  <si>
    <t>Nomina Administrativa</t>
  </si>
  <si>
    <t>Honorarios</t>
  </si>
  <si>
    <t>Aseo y Cafeteria</t>
  </si>
  <si>
    <t>Papeleria</t>
  </si>
  <si>
    <t>CANTIDAD</t>
  </si>
  <si>
    <t>COSTOS DE PRODUCCION INICIALES PARA 88 BOLSOS</t>
  </si>
  <si>
    <t>Equipo de Computo y Com</t>
  </si>
  <si>
    <t>Muebles y Enseres</t>
  </si>
  <si>
    <t>Arriendo Local 4 meses</t>
  </si>
  <si>
    <t>BOLSOS</t>
  </si>
  <si>
    <t>Crecimiento PIB Real Variación %</t>
  </si>
  <si>
    <t>Spread Corto Plazo</t>
  </si>
  <si>
    <t>Impuesto de Cree</t>
  </si>
  <si>
    <t>PIB - cifras en millones de pesos (*)</t>
  </si>
  <si>
    <t>Impuesto de renta y Cree</t>
  </si>
  <si>
    <t>Nómina 2 mes</t>
  </si>
  <si>
    <t>Servicios 3 meses</t>
  </si>
  <si>
    <t>Impuesto a la Renta y CREE</t>
  </si>
  <si>
    <t>2016-1</t>
  </si>
  <si>
    <t>2016-11</t>
  </si>
  <si>
    <t>MAT * BOL</t>
  </si>
  <si>
    <t>PROD</t>
  </si>
  <si>
    <t>MAT * PRO</t>
  </si>
  <si>
    <t>PRODUCCION MATERIALES</t>
  </si>
  <si>
    <t>CF</t>
  </si>
  <si>
    <t>CVT</t>
  </si>
  <si>
    <t>VT</t>
  </si>
  <si>
    <t>1 - (CVT/VT)</t>
  </si>
  <si>
    <t>PUNTO DE EQUILIBRIO   =</t>
  </si>
  <si>
    <t>=</t>
  </si>
  <si>
    <t xml:space="preserve">Capital Operación </t>
  </si>
  <si>
    <t xml:space="preserve">Costos Indirectos </t>
  </si>
  <si>
    <t>Agujas y Tijeras</t>
  </si>
  <si>
    <t>Todos estos valores corresponden a recursos en efectivo aportados por los socios necesarios para la operación de los primeros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</si>
</sst>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\ #,##0_);[Red]\(&quot;$&quot;\ #,##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\ #,##0;[Red]&quot;$&quot;\ \-#,##0"/>
    <numFmt numFmtId="166" formatCode="_(&quot;$&quot;* #,##0.00_);_(&quot;$&quot;* \(#,##0.00\);_(&quot;$&quot;* &quot;-&quot;??_);_(@_)"/>
    <numFmt numFmtId="167" formatCode="0.0%"/>
    <numFmt numFmtId="168" formatCode="0.0"/>
    <numFmt numFmtId="169" formatCode="_(* #,##0_);_(* \(#,##0\);_(* &quot;-&quot;??_);_(@_)"/>
    <numFmt numFmtId="170" formatCode="#,##0.0"/>
    <numFmt numFmtId="171" formatCode="#,##0_ ;[Red]\-#,##0\ "/>
    <numFmt numFmtId="172" formatCode="[$USD]\ #,##0.00;[Red][$USD]\ \-#,##0.00"/>
    <numFmt numFmtId="173" formatCode="#,##0.00_ ;[Red]\-#,##0.00\ "/>
    <numFmt numFmtId="174" formatCode="#,##0.00\ [$USD];[Red]\-#,##0.00\ [$USD]"/>
    <numFmt numFmtId="175" formatCode="[$$-240A]\ #,##0"/>
    <numFmt numFmtId="176" formatCode="_-[$$-240A]\ * #,##0_ ;_-[$$-240A]\ * \-#,##0\ ;_-[$$-240A]\ * &quot;-&quot;_ ;_-@_ "/>
    <numFmt numFmtId="177" formatCode="_(&quot;$&quot;\ * #,##0_);_(&quot;$&quot;\ * \(#,##0\);_(&quot;$&quot;\ * &quot;-&quot;??_);_(@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6"/>
      <name val="Calibri"/>
      <family val="2"/>
      <scheme val="minor"/>
    </font>
    <font>
      <b/>
      <sz val="24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1"/>
      <name val="Tahoma"/>
      <family val="2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b/>
      <sz val="22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6"/>
      <name val="Calibri"/>
      <family val="2"/>
      <scheme val="minor"/>
    </font>
    <font>
      <b/>
      <sz val="18"/>
      <color theme="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</cellStyleXfs>
  <cellXfs count="404">
    <xf numFmtId="0" fontId="0" fillId="0" borderId="0" xfId="0"/>
    <xf numFmtId="0" fontId="7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7" fontId="6" fillId="0" borderId="1" xfId="4" applyNumberFormat="1" applyBorder="1"/>
    <xf numFmtId="0" fontId="8" fillId="0" borderId="0" xfId="0" applyFont="1"/>
    <xf numFmtId="167" fontId="7" fillId="0" borderId="1" xfId="4" applyNumberFormat="1" applyFont="1" applyBorder="1"/>
    <xf numFmtId="0" fontId="9" fillId="0" borderId="0" xfId="0" applyFont="1"/>
    <xf numFmtId="0" fontId="0" fillId="0" borderId="0" xfId="0" applyFill="1" applyBorder="1"/>
    <xf numFmtId="0" fontId="8" fillId="0" borderId="0" xfId="0" applyFont="1" applyFill="1" applyBorder="1"/>
    <xf numFmtId="0" fontId="0" fillId="0" borderId="0" xfId="0" applyFill="1"/>
    <xf numFmtId="0" fontId="13" fillId="0" borderId="0" xfId="0" applyFont="1" applyBorder="1" applyAlignment="1">
      <alignment horizontal="left"/>
    </xf>
    <xf numFmtId="0" fontId="14" fillId="0" borderId="0" xfId="0" applyFont="1"/>
    <xf numFmtId="0" fontId="16" fillId="0" borderId="0" xfId="0" applyFont="1" applyBorder="1"/>
    <xf numFmtId="0" fontId="17" fillId="0" borderId="0" xfId="0" applyFont="1" applyAlignment="1">
      <alignment horizontal="center"/>
    </xf>
    <xf numFmtId="9" fontId="17" fillId="0" borderId="0" xfId="4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/>
    <xf numFmtId="9" fontId="19" fillId="0" borderId="0" xfId="4" applyFont="1"/>
    <xf numFmtId="3" fontId="19" fillId="0" borderId="0" xfId="4" applyNumberFormat="1" applyFont="1"/>
    <xf numFmtId="0" fontId="20" fillId="0" borderId="0" xfId="0" applyFont="1"/>
    <xf numFmtId="172" fontId="20" fillId="0" borderId="0" xfId="0" applyNumberFormat="1" applyFont="1" applyBorder="1"/>
    <xf numFmtId="165" fontId="18" fillId="0" borderId="0" xfId="0" applyNumberFormat="1" applyFont="1"/>
    <xf numFmtId="172" fontId="17" fillId="0" borderId="0" xfId="0" applyNumberFormat="1" applyFont="1" applyBorder="1"/>
    <xf numFmtId="174" fontId="18" fillId="0" borderId="0" xfId="0" applyNumberFormat="1" applyFont="1"/>
    <xf numFmtId="165" fontId="18" fillId="0" borderId="0" xfId="0" applyNumberFormat="1" applyFont="1" applyFill="1"/>
    <xf numFmtId="0" fontId="21" fillId="0" borderId="0" xfId="0" applyFont="1" applyAlignment="1">
      <alignment horizontal="center"/>
    </xf>
    <xf numFmtId="9" fontId="21" fillId="0" borderId="2" xfId="4" applyFont="1" applyBorder="1" applyAlignment="1">
      <alignment horizontal="center"/>
    </xf>
    <xf numFmtId="172" fontId="18" fillId="0" borderId="0" xfId="0" applyNumberFormat="1" applyFont="1"/>
    <xf numFmtId="165" fontId="20" fillId="0" borderId="2" xfId="0" applyNumberFormat="1" applyFont="1" applyBorder="1"/>
    <xf numFmtId="165" fontId="22" fillId="0" borderId="0" xfId="0" applyNumberFormat="1" applyFont="1" applyFill="1" applyBorder="1"/>
    <xf numFmtId="172" fontId="22" fillId="0" borderId="0" xfId="0" applyNumberFormat="1" applyFont="1" applyFill="1" applyBorder="1"/>
    <xf numFmtId="0" fontId="17" fillId="0" borderId="0" xfId="0" applyFont="1"/>
    <xf numFmtId="172" fontId="22" fillId="0" borderId="0" xfId="0" applyNumberFormat="1" applyFont="1" applyBorder="1"/>
    <xf numFmtId="173" fontId="17" fillId="0" borderId="0" xfId="0" applyNumberFormat="1" applyFont="1" applyBorder="1" applyAlignment="1">
      <alignment horizontal="center"/>
    </xf>
    <xf numFmtId="0" fontId="19" fillId="0" borderId="0" xfId="0" applyFont="1"/>
    <xf numFmtId="3" fontId="17" fillId="0" borderId="1" xfId="0" applyNumberFormat="1" applyFont="1" applyBorder="1"/>
    <xf numFmtId="165" fontId="17" fillId="0" borderId="7" xfId="0" applyNumberFormat="1" applyFont="1" applyBorder="1" applyAlignment="1">
      <alignment horizontal="center"/>
    </xf>
    <xf numFmtId="165" fontId="17" fillId="0" borderId="0" xfId="0" applyNumberFormat="1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71" fontId="17" fillId="0" borderId="0" xfId="0" applyNumberFormat="1" applyFont="1" applyAlignment="1"/>
    <xf numFmtId="171" fontId="17" fillId="0" borderId="0" xfId="0" applyNumberFormat="1" applyFont="1" applyAlignment="1">
      <alignment horizontal="center"/>
    </xf>
    <xf numFmtId="171" fontId="17" fillId="0" borderId="0" xfId="0" applyNumberFormat="1" applyFont="1"/>
    <xf numFmtId="9" fontId="19" fillId="0" borderId="0" xfId="4" applyFont="1" applyFill="1" applyBorder="1"/>
    <xf numFmtId="9" fontId="25" fillId="0" borderId="0" xfId="4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6" fillId="0" borderId="0" xfId="0" applyFont="1" applyFill="1" applyBorder="1"/>
    <xf numFmtId="3" fontId="23" fillId="0" borderId="0" xfId="0" applyNumberFormat="1" applyFont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3" fontId="25" fillId="0" borderId="0" xfId="0" applyNumberFormat="1" applyFont="1" applyFill="1" applyBorder="1"/>
    <xf numFmtId="3" fontId="16" fillId="0" borderId="0" xfId="0" applyNumberFormat="1" applyFont="1"/>
    <xf numFmtId="3" fontId="18" fillId="0" borderId="0" xfId="0" applyNumberFormat="1" applyFont="1" applyAlignment="1">
      <alignment horizontal="center"/>
    </xf>
    <xf numFmtId="9" fontId="25" fillId="0" borderId="0" xfId="4" applyFont="1"/>
    <xf numFmtId="3" fontId="25" fillId="0" borderId="0" xfId="4" applyNumberFormat="1" applyFont="1"/>
    <xf numFmtId="0" fontId="15" fillId="0" borderId="0" xfId="0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6" fillId="0" borderId="0" xfId="0" applyFont="1" applyFill="1"/>
    <xf numFmtId="0" fontId="21" fillId="0" borderId="0" xfId="0" applyFont="1" applyAlignment="1"/>
    <xf numFmtId="0" fontId="20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/>
    <xf numFmtId="0" fontId="18" fillId="0" borderId="1" xfId="0" applyFont="1" applyBorder="1"/>
    <xf numFmtId="9" fontId="19" fillId="0" borderId="1" xfId="4" applyFont="1" applyBorder="1"/>
    <xf numFmtId="3" fontId="19" fillId="0" borderId="1" xfId="4" applyNumberFormat="1" applyFont="1" applyBorder="1"/>
    <xf numFmtId="49" fontId="18" fillId="0" borderId="1" xfId="0" applyNumberFormat="1" applyFont="1" applyBorder="1"/>
    <xf numFmtId="0" fontId="21" fillId="0" borderId="0" xfId="0" applyFont="1" applyAlignment="1">
      <alignment horizontal="right"/>
    </xf>
    <xf numFmtId="0" fontId="18" fillId="0" borderId="0" xfId="0" applyFont="1" applyBorder="1"/>
    <xf numFmtId="49" fontId="18" fillId="0" borderId="0" xfId="0" applyNumberFormat="1" applyFont="1" applyBorder="1"/>
    <xf numFmtId="9" fontId="19" fillId="0" borderId="0" xfId="4" applyFont="1" applyBorder="1"/>
    <xf numFmtId="3" fontId="19" fillId="0" borderId="0" xfId="4" applyNumberFormat="1" applyFont="1" applyBorder="1"/>
    <xf numFmtId="172" fontId="25" fillId="0" borderId="0" xfId="0" applyNumberFormat="1" applyFont="1" applyFill="1" applyBorder="1"/>
    <xf numFmtId="165" fontId="22" fillId="0" borderId="1" xfId="0" applyNumberFormat="1" applyFont="1" applyFill="1" applyBorder="1"/>
    <xf numFmtId="9" fontId="17" fillId="0" borderId="1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9" fontId="26" fillId="0" borderId="0" xfId="4" applyFont="1" applyFill="1" applyBorder="1" applyAlignment="1">
      <alignment horizontal="center"/>
    </xf>
    <xf numFmtId="0" fontId="18" fillId="0" borderId="0" xfId="0" applyFont="1" applyFill="1"/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1" fontId="19" fillId="0" borderId="0" xfId="4" applyNumberFormat="1" applyFont="1" applyBorder="1" applyAlignment="1">
      <alignment horizontal="center"/>
    </xf>
    <xf numFmtId="173" fontId="17" fillId="0" borderId="0" xfId="0" applyNumberFormat="1" applyFont="1" applyFill="1" applyBorder="1" applyAlignment="1">
      <alignment horizontal="center"/>
    </xf>
    <xf numFmtId="49" fontId="18" fillId="0" borderId="7" xfId="0" applyNumberFormat="1" applyFont="1" applyBorder="1"/>
    <xf numFmtId="171" fontId="17" fillId="0" borderId="1" xfId="0" applyNumberFormat="1" applyFont="1" applyBorder="1" applyAlignment="1"/>
    <xf numFmtId="0" fontId="17" fillId="0" borderId="1" xfId="0" applyFont="1" applyBorder="1" applyAlignment="1">
      <alignment horizontal="center"/>
    </xf>
    <xf numFmtId="43" fontId="17" fillId="0" borderId="1" xfId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9" fillId="0" borderId="0" xfId="0" applyFont="1" applyBorder="1"/>
    <xf numFmtId="10" fontId="16" fillId="0" borderId="0" xfId="4" applyNumberFormat="1" applyFont="1" applyBorder="1"/>
    <xf numFmtId="170" fontId="29" fillId="0" borderId="0" xfId="0" applyNumberFormat="1" applyFont="1" applyBorder="1"/>
    <xf numFmtId="170" fontId="16" fillId="0" borderId="0" xfId="1" applyNumberFormat="1" applyFont="1" applyBorder="1"/>
    <xf numFmtId="170" fontId="16" fillId="0" borderId="0" xfId="0" applyNumberFormat="1" applyFont="1"/>
    <xf numFmtId="3" fontId="29" fillId="0" borderId="0" xfId="0" applyNumberFormat="1" applyFont="1" applyFill="1" applyBorder="1"/>
    <xf numFmtId="3" fontId="16" fillId="0" borderId="0" xfId="0" applyNumberFormat="1" applyFont="1" applyBorder="1"/>
    <xf numFmtId="0" fontId="16" fillId="0" borderId="3" xfId="0" applyFont="1" applyBorder="1"/>
    <xf numFmtId="0" fontId="25" fillId="0" borderId="0" xfId="0" applyFont="1"/>
    <xf numFmtId="0" fontId="25" fillId="0" borderId="0" xfId="0" applyFont="1" applyFill="1" applyBorder="1" applyAlignment="1">
      <alignment horizontal="left"/>
    </xf>
    <xf numFmtId="41" fontId="12" fillId="0" borderId="0" xfId="2" applyFont="1"/>
    <xf numFmtId="0" fontId="12" fillId="0" borderId="0" xfId="0" applyFont="1"/>
    <xf numFmtId="41" fontId="30" fillId="0" borderId="0" xfId="2" applyFont="1"/>
    <xf numFmtId="0" fontId="30" fillId="0" borderId="0" xfId="0" applyFont="1"/>
    <xf numFmtId="0" fontId="23" fillId="0" borderId="0" xfId="0" quotePrefix="1" applyFont="1" applyAlignment="1">
      <alignment horizontal="centerContinuous"/>
    </xf>
    <xf numFmtId="41" fontId="17" fillId="0" borderId="0" xfId="2" applyFont="1" applyAlignment="1">
      <alignment horizontal="centerContinuous"/>
    </xf>
    <xf numFmtId="41" fontId="17" fillId="0" borderId="0" xfId="2" applyFont="1"/>
    <xf numFmtId="41" fontId="16" fillId="0" borderId="3" xfId="2" applyFont="1" applyBorder="1"/>
    <xf numFmtId="41" fontId="16" fillId="0" borderId="0" xfId="2" applyFont="1"/>
    <xf numFmtId="41" fontId="19" fillId="0" borderId="0" xfId="2" applyFont="1"/>
    <xf numFmtId="0" fontId="19" fillId="0" borderId="0" xfId="0" applyFont="1" applyBorder="1"/>
    <xf numFmtId="41" fontId="19" fillId="0" borderId="0" xfId="2" applyFont="1" applyBorder="1" applyAlignment="1">
      <alignment horizontal="center"/>
    </xf>
    <xf numFmtId="41" fontId="16" fillId="0" borderId="0" xfId="2" applyFont="1" applyFill="1" applyBorder="1"/>
    <xf numFmtId="41" fontId="16" fillId="0" borderId="0" xfId="0" applyNumberFormat="1" applyFont="1" applyFill="1" applyBorder="1"/>
    <xf numFmtId="41" fontId="16" fillId="0" borderId="0" xfId="2" applyFont="1" applyFill="1"/>
    <xf numFmtId="1" fontId="16" fillId="0" borderId="0" xfId="2" applyNumberFormat="1" applyFont="1" applyFill="1" applyBorder="1"/>
    <xf numFmtId="41" fontId="25" fillId="0" borderId="0" xfId="2" applyFont="1"/>
    <xf numFmtId="41" fontId="25" fillId="0" borderId="0" xfId="0" applyNumberFormat="1" applyFont="1" applyFill="1"/>
    <xf numFmtId="0" fontId="25" fillId="0" borderId="0" xfId="0" applyFont="1" applyFill="1"/>
    <xf numFmtId="41" fontId="25" fillId="0" borderId="0" xfId="2" applyFont="1" applyFill="1"/>
    <xf numFmtId="0" fontId="19" fillId="0" borderId="0" xfId="0" applyFont="1" applyFill="1" applyBorder="1"/>
    <xf numFmtId="41" fontId="19" fillId="0" borderId="0" xfId="2" applyFont="1" applyFill="1" applyBorder="1"/>
    <xf numFmtId="0" fontId="19" fillId="0" borderId="0" xfId="0" applyFont="1" applyFill="1"/>
    <xf numFmtId="41" fontId="19" fillId="0" borderId="0" xfId="2" applyFont="1" applyFill="1"/>
    <xf numFmtId="169" fontId="16" fillId="0" borderId="0" xfId="1" applyNumberFormat="1" applyFont="1" applyFill="1" applyBorder="1"/>
    <xf numFmtId="41" fontId="16" fillId="0" borderId="0" xfId="2" applyFont="1" applyBorder="1"/>
    <xf numFmtId="0" fontId="25" fillId="0" borderId="0" xfId="0" applyFont="1" applyBorder="1"/>
    <xf numFmtId="41" fontId="18" fillId="0" borderId="0" xfId="2" applyFont="1"/>
    <xf numFmtId="41" fontId="25" fillId="0" borderId="0" xfId="2" applyFont="1" applyFill="1" applyBorder="1"/>
    <xf numFmtId="0" fontId="25" fillId="0" borderId="0" xfId="0" applyFont="1" applyFill="1" applyBorder="1"/>
    <xf numFmtId="0" fontId="16" fillId="0" borderId="3" xfId="0" applyFont="1" applyFill="1" applyBorder="1"/>
    <xf numFmtId="41" fontId="16" fillId="0" borderId="3" xfId="2" applyFont="1" applyFill="1" applyBorder="1"/>
    <xf numFmtId="41" fontId="19" fillId="0" borderId="3" xfId="2" applyFont="1" applyFill="1" applyBorder="1"/>
    <xf numFmtId="9" fontId="16" fillId="0" borderId="0" xfId="4" applyFont="1"/>
    <xf numFmtId="0" fontId="21" fillId="0" borderId="0" xfId="0" applyFont="1" applyBorder="1"/>
    <xf numFmtId="0" fontId="29" fillId="0" borderId="0" xfId="0" applyFont="1" applyFill="1" applyBorder="1"/>
    <xf numFmtId="0" fontId="21" fillId="0" borderId="0" xfId="0" applyFont="1" applyFill="1" applyBorder="1"/>
    <xf numFmtId="0" fontId="21" fillId="0" borderId="3" xfId="0" applyFont="1" applyBorder="1"/>
    <xf numFmtId="0" fontId="31" fillId="0" borderId="0" xfId="0" applyFont="1" applyFill="1" applyBorder="1"/>
    <xf numFmtId="0" fontId="30" fillId="0" borderId="0" xfId="0" applyFont="1" applyFill="1" applyBorder="1"/>
    <xf numFmtId="0" fontId="23" fillId="0" borderId="0" xfId="0" applyFont="1" applyFill="1" applyBorder="1" applyAlignment="1">
      <alignment horizontal="left"/>
    </xf>
    <xf numFmtId="41" fontId="23" fillId="0" borderId="0" xfId="2" applyFont="1" applyFill="1" applyBorder="1" applyAlignment="1">
      <alignment horizontal="centerContinuous"/>
    </xf>
    <xf numFmtId="9" fontId="23" fillId="0" borderId="0" xfId="4" applyFont="1" applyFill="1" applyBorder="1" applyAlignment="1">
      <alignment horizontal="centerContinuous"/>
    </xf>
    <xf numFmtId="0" fontId="23" fillId="0" borderId="0" xfId="0" applyFont="1" applyFill="1" applyBorder="1"/>
    <xf numFmtId="0" fontId="16" fillId="0" borderId="3" xfId="0" quotePrefix="1" applyFont="1" applyFill="1" applyBorder="1"/>
    <xf numFmtId="9" fontId="16" fillId="0" borderId="3" xfId="4" applyFont="1" applyFill="1" applyBorder="1"/>
    <xf numFmtId="0" fontId="25" fillId="0" borderId="0" xfId="0" applyFont="1" applyFill="1" applyBorder="1" applyAlignment="1">
      <alignment horizontal="center"/>
    </xf>
    <xf numFmtId="41" fontId="25" fillId="0" borderId="0" xfId="2" applyFont="1" applyFill="1" applyBorder="1" applyAlignment="1">
      <alignment horizontal="center"/>
    </xf>
    <xf numFmtId="9" fontId="16" fillId="0" borderId="0" xfId="4" applyFont="1" applyFill="1" applyBorder="1"/>
    <xf numFmtId="41" fontId="19" fillId="0" borderId="0" xfId="0" applyNumberFormat="1" applyFont="1" applyFill="1" applyBorder="1"/>
    <xf numFmtId="10" fontId="16" fillId="0" borderId="0" xfId="4" applyNumberFormat="1" applyFont="1" applyFill="1" applyBorder="1"/>
    <xf numFmtId="0" fontId="19" fillId="0" borderId="3" xfId="0" applyFont="1" applyFill="1" applyBorder="1"/>
    <xf numFmtId="9" fontId="19" fillId="0" borderId="3" xfId="4" applyFont="1" applyFill="1" applyBorder="1"/>
    <xf numFmtId="41" fontId="16" fillId="0" borderId="0" xfId="2" applyNumberFormat="1" applyFont="1" applyFill="1" applyBorder="1"/>
    <xf numFmtId="9" fontId="16" fillId="0" borderId="0" xfId="0" applyNumberFormat="1" applyFont="1" applyFill="1" applyBorder="1"/>
    <xf numFmtId="0" fontId="12" fillId="0" borderId="0" xfId="0" applyFont="1" applyFill="1" applyBorder="1"/>
    <xf numFmtId="0" fontId="12" fillId="0" borderId="3" xfId="0" applyFont="1" applyFill="1" applyBorder="1" applyAlignment="1">
      <alignment horizontal="center"/>
    </xf>
    <xf numFmtId="169" fontId="16" fillId="0" borderId="0" xfId="0" applyNumberFormat="1" applyFont="1" applyFill="1" applyBorder="1"/>
    <xf numFmtId="41" fontId="25" fillId="0" borderId="0" xfId="0" applyNumberFormat="1" applyFont="1" applyFill="1" applyBorder="1"/>
    <xf numFmtId="41" fontId="16" fillId="0" borderId="3" xfId="0" applyNumberFormat="1" applyFont="1" applyFill="1" applyBorder="1"/>
    <xf numFmtId="43" fontId="21" fillId="0" borderId="0" xfId="0" applyNumberFormat="1" applyFont="1" applyFill="1" applyBorder="1"/>
    <xf numFmtId="1" fontId="16" fillId="0" borderId="0" xfId="0" applyNumberFormat="1" applyFont="1" applyFill="1" applyBorder="1"/>
    <xf numFmtId="0" fontId="17" fillId="0" borderId="0" xfId="0" applyFont="1" applyFill="1" applyBorder="1"/>
    <xf numFmtId="169" fontId="19" fillId="0" borderId="0" xfId="1" applyNumberFormat="1" applyFont="1" applyFill="1" applyBorder="1"/>
    <xf numFmtId="0" fontId="12" fillId="0" borderId="0" xfId="0" applyFont="1" applyAlignment="1">
      <alignment horizontal="center"/>
    </xf>
    <xf numFmtId="0" fontId="32" fillId="0" borderId="3" xfId="0" applyFont="1" applyBorder="1"/>
    <xf numFmtId="0" fontId="29" fillId="0" borderId="0" xfId="0" applyFont="1"/>
    <xf numFmtId="0" fontId="32" fillId="0" borderId="0" xfId="0" applyFont="1"/>
    <xf numFmtId="0" fontId="25" fillId="0" borderId="0" xfId="0" applyFont="1" applyAlignment="1"/>
    <xf numFmtId="167" fontId="19" fillId="0" borderId="2" xfId="4" applyNumberFormat="1" applyFont="1" applyBorder="1"/>
    <xf numFmtId="0" fontId="32" fillId="0" borderId="0" xfId="0" applyFont="1" applyBorder="1"/>
    <xf numFmtId="169" fontId="32" fillId="0" borderId="0" xfId="1" applyNumberFormat="1" applyFont="1" applyBorder="1"/>
    <xf numFmtId="10" fontId="32" fillId="0" borderId="0" xfId="4" applyNumberFormat="1" applyFont="1" applyBorder="1"/>
    <xf numFmtId="0" fontId="25" fillId="0" borderId="3" xfId="0" applyFont="1" applyBorder="1"/>
    <xf numFmtId="169" fontId="21" fillId="0" borderId="3" xfId="1" applyNumberFormat="1" applyFont="1" applyBorder="1"/>
    <xf numFmtId="0" fontId="12" fillId="0" borderId="0" xfId="0" applyFont="1" applyBorder="1" applyAlignment="1">
      <alignment horizontal="center"/>
    </xf>
    <xf numFmtId="0" fontId="23" fillId="0" borderId="0" xfId="0" applyFont="1" applyBorder="1"/>
    <xf numFmtId="41" fontId="18" fillId="0" borderId="0" xfId="0" applyNumberFormat="1" applyFont="1" applyBorder="1"/>
    <xf numFmtId="1" fontId="18" fillId="0" borderId="0" xfId="3" applyNumberFormat="1" applyFont="1" applyBorder="1"/>
    <xf numFmtId="43" fontId="18" fillId="0" borderId="0" xfId="0" applyNumberFormat="1" applyFont="1" applyBorder="1"/>
    <xf numFmtId="9" fontId="18" fillId="0" borderId="0" xfId="4" applyFont="1" applyBorder="1"/>
    <xf numFmtId="169" fontId="18" fillId="0" borderId="0" xfId="0" applyNumberFormat="1" applyFont="1" applyBorder="1"/>
    <xf numFmtId="168" fontId="18" fillId="0" borderId="0" xfId="0" applyNumberFormat="1" applyFont="1" applyBorder="1"/>
    <xf numFmtId="9" fontId="19" fillId="0" borderId="0" xfId="0" applyNumberFormat="1" applyFont="1" applyBorder="1"/>
    <xf numFmtId="9" fontId="18" fillId="0" borderId="0" xfId="4" applyNumberFormat="1" applyFont="1" applyBorder="1"/>
    <xf numFmtId="9" fontId="18" fillId="0" borderId="0" xfId="0" applyNumberFormat="1" applyFont="1" applyBorder="1"/>
    <xf numFmtId="9" fontId="16" fillId="0" borderId="0" xfId="0" applyNumberFormat="1" applyFont="1" applyBorder="1"/>
    <xf numFmtId="10" fontId="25" fillId="0" borderId="0" xfId="0" applyNumberFormat="1" applyFont="1" applyBorder="1"/>
    <xf numFmtId="0" fontId="15" fillId="0" borderId="0" xfId="0" applyFont="1" applyAlignment="1">
      <alignment horizontal="center"/>
    </xf>
    <xf numFmtId="0" fontId="25" fillId="0" borderId="0" xfId="0" applyFont="1" applyBorder="1" applyAlignment="1"/>
    <xf numFmtId="3" fontId="25" fillId="0" borderId="0" xfId="0" applyNumberFormat="1" applyFont="1" applyBorder="1" applyAlignment="1">
      <alignment horizontal="center"/>
    </xf>
    <xf numFmtId="0" fontId="16" fillId="0" borderId="0" xfId="0" applyFont="1" applyAlignment="1"/>
    <xf numFmtId="41" fontId="16" fillId="0" borderId="0" xfId="0" applyNumberFormat="1" applyFont="1" applyBorder="1"/>
    <xf numFmtId="171" fontId="29" fillId="0" borderId="0" xfId="0" applyNumberFormat="1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29" fillId="0" borderId="3" xfId="0" applyNumberFormat="1" applyFont="1" applyBorder="1" applyAlignment="1">
      <alignment horizontal="center"/>
    </xf>
    <xf numFmtId="171" fontId="29" fillId="0" borderId="3" xfId="0" applyNumberFormat="1" applyFont="1" applyFill="1" applyBorder="1" applyAlignment="1">
      <alignment horizontal="center"/>
    </xf>
    <xf numFmtId="171" fontId="21" fillId="0" borderId="3" xfId="0" applyNumberFormat="1" applyFont="1" applyBorder="1" applyAlignment="1">
      <alignment horizontal="center"/>
    </xf>
    <xf numFmtId="171" fontId="29" fillId="0" borderId="0" xfId="0" applyNumberFormat="1" applyFont="1" applyBorder="1" applyAlignment="1">
      <alignment horizontal="center"/>
    </xf>
    <xf numFmtId="169" fontId="29" fillId="0" borderId="0" xfId="1" applyNumberFormat="1" applyFont="1"/>
    <xf numFmtId="0" fontId="29" fillId="0" borderId="0" xfId="0" applyFont="1" applyAlignment="1"/>
    <xf numFmtId="171" fontId="16" fillId="0" borderId="3" xfId="0" applyNumberFormat="1" applyFont="1" applyBorder="1" applyAlignment="1">
      <alignment horizontal="center"/>
    </xf>
    <xf numFmtId="0" fontId="17" fillId="0" borderId="3" xfId="0" applyFont="1" applyBorder="1"/>
    <xf numFmtId="171" fontId="17" fillId="0" borderId="3" xfId="0" applyNumberFormat="1" applyFont="1" applyBorder="1" applyAlignment="1">
      <alignment horizontal="center"/>
    </xf>
    <xf numFmtId="41" fontId="16" fillId="0" borderId="0" xfId="0" applyNumberFormat="1" applyFont="1"/>
    <xf numFmtId="169" fontId="16" fillId="0" borderId="3" xfId="0" applyNumberFormat="1" applyFont="1" applyBorder="1"/>
    <xf numFmtId="41" fontId="16" fillId="0" borderId="3" xfId="0" applyNumberFormat="1" applyFont="1" applyBorder="1"/>
    <xf numFmtId="167" fontId="17" fillId="0" borderId="2" xfId="4" applyNumberFormat="1" applyFont="1" applyBorder="1"/>
    <xf numFmtId="169" fontId="21" fillId="0" borderId="0" xfId="1" applyNumberFormat="1" applyFont="1" applyBorder="1"/>
    <xf numFmtId="10" fontId="29" fillId="0" borderId="0" xfId="0" applyNumberFormat="1" applyFont="1"/>
    <xf numFmtId="41" fontId="17" fillId="0" borderId="0" xfId="2" applyFont="1" applyBorder="1"/>
    <xf numFmtId="41" fontId="17" fillId="0" borderId="2" xfId="2" applyFont="1" applyBorder="1"/>
    <xf numFmtId="171" fontId="17" fillId="0" borderId="0" xfId="0" applyNumberFormat="1" applyFont="1" applyAlignment="1">
      <alignment horizontal="center"/>
    </xf>
    <xf numFmtId="176" fontId="17" fillId="0" borderId="2" xfId="0" applyNumberFormat="1" applyFont="1" applyBorder="1"/>
    <xf numFmtId="9" fontId="17" fillId="0" borderId="0" xfId="4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75" fontId="17" fillId="0" borderId="1" xfId="1" applyNumberFormat="1" applyFont="1" applyFill="1" applyBorder="1" applyAlignment="1">
      <alignment horizontal="center"/>
    </xf>
    <xf numFmtId="0" fontId="11" fillId="0" borderId="0" xfId="0" applyFont="1" applyFill="1" applyBorder="1"/>
    <xf numFmtId="169" fontId="0" fillId="0" borderId="0" xfId="1" applyNumberFormat="1" applyFont="1" applyFill="1" applyBorder="1"/>
    <xf numFmtId="14" fontId="0" fillId="0" borderId="0" xfId="0" applyNumberFormat="1" applyFill="1" applyBorder="1"/>
    <xf numFmtId="0" fontId="34" fillId="0" borderId="0" xfId="0" applyFont="1" applyFill="1" applyBorder="1"/>
    <xf numFmtId="10" fontId="0" fillId="0" borderId="0" xfId="0" applyNumberFormat="1" applyFill="1" applyBorder="1"/>
    <xf numFmtId="0" fontId="0" fillId="0" borderId="0" xfId="0" applyNumberFormat="1" applyFill="1" applyBorder="1"/>
    <xf numFmtId="0" fontId="0" fillId="0" borderId="1" xfId="0" applyBorder="1"/>
    <xf numFmtId="169" fontId="0" fillId="0" borderId="1" xfId="0" applyNumberFormat="1" applyBorder="1"/>
    <xf numFmtId="169" fontId="0" fillId="0" borderId="1" xfId="1" applyNumberFormat="1" applyFont="1" applyBorder="1"/>
    <xf numFmtId="169" fontId="0" fillId="0" borderId="0" xfId="0" applyNumberFormat="1" applyBorder="1"/>
    <xf numFmtId="169" fontId="0" fillId="0" borderId="0" xfId="0" applyNumberFormat="1" applyFill="1" applyBorder="1"/>
    <xf numFmtId="0" fontId="36" fillId="0" borderId="0" xfId="0" applyFont="1"/>
    <xf numFmtId="169" fontId="0" fillId="0" borderId="0" xfId="0" applyNumberFormat="1" applyFill="1"/>
    <xf numFmtId="0" fontId="4" fillId="0" borderId="0" xfId="5"/>
    <xf numFmtId="0" fontId="38" fillId="0" borderId="3" xfId="5" applyFont="1" applyBorder="1" applyAlignment="1">
      <alignment horizontal="center"/>
    </xf>
    <xf numFmtId="0" fontId="37" fillId="0" borderId="25" xfId="5" applyFont="1" applyBorder="1"/>
    <xf numFmtId="0" fontId="37" fillId="0" borderId="26" xfId="5" applyFont="1" applyBorder="1"/>
    <xf numFmtId="0" fontId="37" fillId="0" borderId="27" xfId="5" applyFont="1" applyFill="1" applyBorder="1"/>
    <xf numFmtId="177" fontId="0" fillId="0" borderId="20" xfId="6" applyNumberFormat="1" applyFont="1" applyFill="1" applyBorder="1"/>
    <xf numFmtId="177" fontId="0" fillId="0" borderId="1" xfId="6" applyNumberFormat="1" applyFont="1" applyFill="1" applyBorder="1"/>
    <xf numFmtId="0" fontId="4" fillId="0" borderId="1" xfId="5" applyFill="1" applyBorder="1"/>
    <xf numFmtId="0" fontId="4" fillId="0" borderId="1" xfId="5" applyBorder="1"/>
    <xf numFmtId="177" fontId="0" fillId="0" borderId="1" xfId="6" applyNumberFormat="1" applyFont="1" applyBorder="1"/>
    <xf numFmtId="0" fontId="4" fillId="0" borderId="0" xfId="5" applyFill="1" applyBorder="1"/>
    <xf numFmtId="0" fontId="4" fillId="0" borderId="0" xfId="5" applyBorder="1"/>
    <xf numFmtId="177" fontId="4" fillId="0" borderId="1" xfId="5" applyNumberFormat="1" applyFill="1" applyBorder="1"/>
    <xf numFmtId="0" fontId="4" fillId="0" borderId="0" xfId="5" applyFill="1"/>
    <xf numFmtId="0" fontId="38" fillId="0" borderId="1" xfId="5" applyFont="1" applyFill="1" applyBorder="1"/>
    <xf numFmtId="0" fontId="39" fillId="0" borderId="1" xfId="5" applyFont="1" applyFill="1" applyBorder="1"/>
    <xf numFmtId="177" fontId="38" fillId="0" borderId="1" xfId="5" applyNumberFormat="1" applyFont="1" applyFill="1" applyBorder="1"/>
    <xf numFmtId="177" fontId="4" fillId="0" borderId="1" xfId="5" applyNumberFormat="1" applyBorder="1"/>
    <xf numFmtId="0" fontId="37" fillId="0" borderId="1" xfId="5" applyFont="1" applyBorder="1"/>
    <xf numFmtId="44" fontId="0" fillId="0" borderId="0" xfId="6" applyFont="1"/>
    <xf numFmtId="0" fontId="38" fillId="0" borderId="25" xfId="5" applyFont="1" applyBorder="1"/>
    <xf numFmtId="0" fontId="38" fillId="0" borderId="26" xfId="5" applyFont="1" applyBorder="1"/>
    <xf numFmtId="177" fontId="38" fillId="0" borderId="26" xfId="5" applyNumberFormat="1" applyFont="1" applyBorder="1"/>
    <xf numFmtId="177" fontId="4" fillId="0" borderId="0" xfId="5" applyNumberFormat="1"/>
    <xf numFmtId="177" fontId="4" fillId="0" borderId="0" xfId="5" applyNumberFormat="1" applyBorder="1"/>
    <xf numFmtId="6" fontId="4" fillId="0" borderId="1" xfId="5" applyNumberFormat="1" applyBorder="1"/>
    <xf numFmtId="0" fontId="37" fillId="0" borderId="35" xfId="5" applyFont="1" applyBorder="1"/>
    <xf numFmtId="0" fontId="37" fillId="0" borderId="36" xfId="5" applyFont="1" applyBorder="1"/>
    <xf numFmtId="0" fontId="37" fillId="0" borderId="32" xfId="5" applyFont="1" applyBorder="1"/>
    <xf numFmtId="0" fontId="37" fillId="0" borderId="33" xfId="5" applyFont="1" applyFill="1" applyBorder="1"/>
    <xf numFmtId="0" fontId="4" fillId="0" borderId="37" xfId="5" applyFill="1" applyBorder="1"/>
    <xf numFmtId="177" fontId="0" fillId="0" borderId="29" xfId="6" applyNumberFormat="1" applyFont="1" applyFill="1" applyBorder="1"/>
    <xf numFmtId="177" fontId="0" fillId="0" borderId="9" xfId="6" applyNumberFormat="1" applyFont="1" applyFill="1" applyBorder="1"/>
    <xf numFmtId="177" fontId="4" fillId="0" borderId="5" xfId="5" applyNumberFormat="1" applyBorder="1"/>
    <xf numFmtId="177" fontId="0" fillId="0" borderId="17" xfId="6" applyNumberFormat="1" applyFont="1" applyFill="1" applyBorder="1"/>
    <xf numFmtId="177" fontId="4" fillId="0" borderId="7" xfId="5" applyNumberFormat="1" applyBorder="1"/>
    <xf numFmtId="0" fontId="4" fillId="0" borderId="38" xfId="5" applyFill="1" applyBorder="1"/>
    <xf numFmtId="177" fontId="0" fillId="0" borderId="28" xfId="6" applyNumberFormat="1" applyFont="1" applyFill="1" applyBorder="1"/>
    <xf numFmtId="177" fontId="0" fillId="0" borderId="10" xfId="6" applyNumberFormat="1" applyFont="1" applyFill="1" applyBorder="1"/>
    <xf numFmtId="177" fontId="4" fillId="0" borderId="8" xfId="5" applyNumberFormat="1" applyBorder="1"/>
    <xf numFmtId="177" fontId="0" fillId="0" borderId="0" xfId="6" applyNumberFormat="1" applyFont="1" applyFill="1" applyBorder="1"/>
    <xf numFmtId="177" fontId="38" fillId="0" borderId="0" xfId="5" applyNumberFormat="1" applyFont="1"/>
    <xf numFmtId="0" fontId="38" fillId="0" borderId="0" xfId="5" applyFont="1" applyFill="1" applyBorder="1"/>
    <xf numFmtId="177" fontId="37" fillId="0" borderId="0" xfId="6" applyNumberFormat="1" applyFont="1" applyFill="1" applyBorder="1"/>
    <xf numFmtId="177" fontId="37" fillId="0" borderId="0" xfId="5" applyNumberFormat="1" applyFont="1"/>
    <xf numFmtId="0" fontId="37" fillId="0" borderId="0" xfId="5" applyFont="1" applyAlignment="1"/>
    <xf numFmtId="177" fontId="37" fillId="0" borderId="1" xfId="5" applyNumberFormat="1" applyFont="1" applyBorder="1"/>
    <xf numFmtId="0" fontId="26" fillId="5" borderId="1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left"/>
    </xf>
    <xf numFmtId="0" fontId="26" fillId="5" borderId="4" xfId="0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165" fontId="17" fillId="6" borderId="6" xfId="0" applyNumberFormat="1" applyFont="1" applyFill="1" applyBorder="1" applyAlignment="1">
      <alignment horizontal="center"/>
    </xf>
    <xf numFmtId="0" fontId="26" fillId="5" borderId="3" xfId="0" applyFont="1" applyFill="1" applyBorder="1" applyAlignment="1">
      <alignment horizontal="center"/>
    </xf>
    <xf numFmtId="173" fontId="17" fillId="6" borderId="1" xfId="0" applyNumberFormat="1" applyFont="1" applyFill="1" applyBorder="1" applyAlignment="1">
      <alignment horizontal="center"/>
    </xf>
    <xf numFmtId="171" fontId="17" fillId="6" borderId="1" xfId="0" applyNumberFormat="1" applyFont="1" applyFill="1" applyBorder="1" applyAlignment="1"/>
    <xf numFmtId="9" fontId="18" fillId="6" borderId="1" xfId="4" applyFont="1" applyFill="1" applyBorder="1" applyAlignment="1">
      <alignment horizontal="center"/>
    </xf>
    <xf numFmtId="9" fontId="17" fillId="6" borderId="1" xfId="4" applyFont="1" applyFill="1" applyBorder="1" applyAlignment="1">
      <alignment horizontal="center"/>
    </xf>
    <xf numFmtId="0" fontId="25" fillId="6" borderId="1" xfId="0" applyFont="1" applyFill="1" applyBorder="1" applyAlignment="1">
      <alignment horizontal="left"/>
    </xf>
    <xf numFmtId="3" fontId="23" fillId="6" borderId="1" xfId="0" applyNumberFormat="1" applyFont="1" applyFill="1" applyBorder="1" applyAlignment="1">
      <alignment horizontal="center"/>
    </xf>
    <xf numFmtId="43" fontId="17" fillId="6" borderId="1" xfId="1" applyFont="1" applyFill="1" applyBorder="1"/>
    <xf numFmtId="0" fontId="35" fillId="5" borderId="1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/>
    </xf>
    <xf numFmtId="0" fontId="38" fillId="0" borderId="3" xfId="5" applyFont="1" applyBorder="1" applyAlignment="1">
      <alignment horizontal="center"/>
    </xf>
    <xf numFmtId="0" fontId="37" fillId="0" borderId="1" xfId="5" applyFont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3" fillId="0" borderId="20" xfId="5" applyFont="1" applyFill="1" applyBorder="1"/>
    <xf numFmtId="0" fontId="3" fillId="0" borderId="20" xfId="5" applyFont="1" applyBorder="1"/>
    <xf numFmtId="0" fontId="3" fillId="0" borderId="0" xfId="5" applyFont="1"/>
    <xf numFmtId="0" fontId="3" fillId="0" borderId="1" xfId="5" applyFont="1" applyBorder="1"/>
    <xf numFmtId="0" fontId="3" fillId="0" borderId="1" xfId="5" applyFont="1" applyFill="1" applyBorder="1"/>
    <xf numFmtId="9" fontId="4" fillId="0" borderId="0" xfId="4" applyFont="1"/>
    <xf numFmtId="43" fontId="4" fillId="0" borderId="0" xfId="1" applyFont="1"/>
    <xf numFmtId="0" fontId="3" fillId="0" borderId="0" xfId="8" applyFill="1"/>
    <xf numFmtId="0" fontId="3" fillId="0" borderId="0" xfId="8"/>
    <xf numFmtId="0" fontId="3" fillId="3" borderId="0" xfId="8" applyFill="1"/>
    <xf numFmtId="0" fontId="3" fillId="0" borderId="1" xfId="8" applyFill="1" applyBorder="1"/>
    <xf numFmtId="0" fontId="3" fillId="4" borderId="0" xfId="8" applyFill="1"/>
    <xf numFmtId="0" fontId="3" fillId="0" borderId="1" xfId="8" applyBorder="1"/>
    <xf numFmtId="0" fontId="40" fillId="3" borderId="1" xfId="8" applyFont="1" applyFill="1" applyBorder="1"/>
    <xf numFmtId="0" fontId="40" fillId="0" borderId="1" xfId="8" applyFont="1" applyBorder="1" applyAlignment="1">
      <alignment horizontal="center"/>
    </xf>
    <xf numFmtId="0" fontId="4" fillId="0" borderId="1" xfId="5" applyBorder="1" applyAlignment="1">
      <alignment horizontal="center"/>
    </xf>
    <xf numFmtId="0" fontId="37" fillId="0" borderId="1" xfId="8" applyFont="1" applyFill="1" applyBorder="1" applyAlignment="1">
      <alignment horizontal="center"/>
    </xf>
    <xf numFmtId="0" fontId="3" fillId="0" borderId="0" xfId="8" applyFill="1" applyAlignment="1">
      <alignment horizontal="center"/>
    </xf>
    <xf numFmtId="0" fontId="3" fillId="0" borderId="0" xfId="8" applyAlignment="1">
      <alignment horizontal="center"/>
    </xf>
    <xf numFmtId="0" fontId="3" fillId="3" borderId="1" xfId="5" applyFont="1" applyFill="1" applyBorder="1"/>
    <xf numFmtId="6" fontId="4" fillId="0" borderId="0" xfId="5" applyNumberFormat="1"/>
    <xf numFmtId="43" fontId="25" fillId="0" borderId="0" xfId="1" applyFont="1" applyBorder="1"/>
    <xf numFmtId="43" fontId="25" fillId="0" borderId="34" xfId="0" applyNumberFormat="1" applyFont="1" applyBorder="1"/>
    <xf numFmtId="0" fontId="2" fillId="3" borderId="1" xfId="5" applyFont="1" applyFill="1" applyBorder="1"/>
    <xf numFmtId="177" fontId="0" fillId="3" borderId="1" xfId="6" applyNumberFormat="1" applyFont="1" applyFill="1" applyBorder="1"/>
    <xf numFmtId="0" fontId="2" fillId="0" borderId="1" xfId="5" applyFont="1" applyBorder="1"/>
    <xf numFmtId="43" fontId="3" fillId="0" borderId="0" xfId="1" applyFont="1" applyFill="1"/>
    <xf numFmtId="177" fontId="1" fillId="0" borderId="1" xfId="5" applyNumberFormat="1" applyFont="1" applyFill="1" applyBorder="1"/>
    <xf numFmtId="177" fontId="1" fillId="0" borderId="1" xfId="5" applyNumberFormat="1" applyFont="1" applyBorder="1"/>
    <xf numFmtId="0" fontId="38" fillId="0" borderId="3" xfId="5" applyFont="1" applyBorder="1" applyAlignment="1">
      <alignment horizontal="center"/>
    </xf>
    <xf numFmtId="0" fontId="37" fillId="0" borderId="30" xfId="5" applyFont="1" applyBorder="1" applyAlignment="1">
      <alignment horizontal="center"/>
    </xf>
    <xf numFmtId="0" fontId="37" fillId="0" borderId="31" xfId="5" applyFont="1" applyBorder="1" applyAlignment="1">
      <alignment horizontal="center"/>
    </xf>
    <xf numFmtId="0" fontId="37" fillId="0" borderId="0" xfId="5" applyFont="1" applyAlignment="1">
      <alignment horizontal="center"/>
    </xf>
    <xf numFmtId="0" fontId="37" fillId="0" borderId="34" xfId="5" applyFont="1" applyBorder="1" applyAlignment="1">
      <alignment horizontal="center"/>
    </xf>
    <xf numFmtId="0" fontId="37" fillId="0" borderId="3" xfId="5" applyFont="1" applyBorder="1" applyAlignment="1">
      <alignment horizontal="center"/>
    </xf>
    <xf numFmtId="0" fontId="37" fillId="0" borderId="1" xfId="5" applyFont="1" applyBorder="1" applyAlignment="1">
      <alignment horizontal="center"/>
    </xf>
    <xf numFmtId="0" fontId="1" fillId="3" borderId="0" xfId="5" applyFont="1" applyFill="1" applyAlignment="1">
      <alignment horizontal="left" wrapText="1"/>
    </xf>
    <xf numFmtId="0" fontId="2" fillId="3" borderId="0" xfId="5" applyFont="1" applyFill="1" applyAlignment="1">
      <alignment horizontal="left" wrapText="1"/>
    </xf>
    <xf numFmtId="9" fontId="17" fillId="0" borderId="0" xfId="4" applyFont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/>
    </xf>
    <xf numFmtId="3" fontId="23" fillId="6" borderId="1" xfId="0" applyNumberFormat="1" applyFont="1" applyFill="1" applyBorder="1" applyAlignment="1">
      <alignment horizontal="center"/>
    </xf>
    <xf numFmtId="0" fontId="26" fillId="5" borderId="17" xfId="0" applyFont="1" applyFill="1" applyBorder="1" applyAlignment="1">
      <alignment horizontal="center"/>
    </xf>
    <xf numFmtId="0" fontId="26" fillId="5" borderId="12" xfId="0" applyFont="1" applyFill="1" applyBorder="1" applyAlignment="1">
      <alignment horizontal="center"/>
    </xf>
    <xf numFmtId="171" fontId="19" fillId="0" borderId="12" xfId="4" applyNumberFormat="1" applyFont="1" applyBorder="1" applyAlignment="1">
      <alignment horizontal="center"/>
    </xf>
    <xf numFmtId="171" fontId="19" fillId="0" borderId="16" xfId="4" applyNumberFormat="1" applyFont="1" applyBorder="1" applyAlignment="1">
      <alignment horizontal="center"/>
    </xf>
    <xf numFmtId="171" fontId="19" fillId="0" borderId="17" xfId="4" applyNumberFormat="1" applyFont="1" applyBorder="1" applyAlignment="1">
      <alignment horizontal="center"/>
    </xf>
    <xf numFmtId="171" fontId="19" fillId="0" borderId="1" xfId="4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176" fontId="17" fillId="6" borderId="21" xfId="1" applyNumberFormat="1" applyFont="1" applyFill="1" applyBorder="1" applyAlignment="1">
      <alignment horizontal="center"/>
    </xf>
    <xf numFmtId="176" fontId="17" fillId="6" borderId="16" xfId="1" applyNumberFormat="1" applyFont="1" applyFill="1" applyBorder="1" applyAlignment="1">
      <alignment horizontal="center"/>
    </xf>
    <xf numFmtId="176" fontId="17" fillId="6" borderId="22" xfId="1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73" fontId="26" fillId="5" borderId="4" xfId="0" applyNumberFormat="1" applyFont="1" applyFill="1" applyBorder="1" applyAlignment="1">
      <alignment horizontal="center"/>
    </xf>
    <xf numFmtId="173" fontId="26" fillId="5" borderId="9" xfId="0" applyNumberFormat="1" applyFont="1" applyFill="1" applyBorder="1" applyAlignment="1">
      <alignment horizontal="center"/>
    </xf>
    <xf numFmtId="173" fontId="26" fillId="5" borderId="5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1" fontId="25" fillId="6" borderId="1" xfId="4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71" fontId="17" fillId="0" borderId="24" xfId="0" applyNumberFormat="1" applyFont="1" applyBorder="1" applyAlignment="1">
      <alignment horizontal="center"/>
    </xf>
    <xf numFmtId="171" fontId="17" fillId="0" borderId="0" xfId="0" applyNumberFormat="1" applyFont="1" applyBorder="1" applyAlignment="1">
      <alignment horizontal="center"/>
    </xf>
    <xf numFmtId="171" fontId="17" fillId="0" borderId="0" xfId="0" applyNumberFormat="1" applyFont="1" applyAlignment="1">
      <alignment horizontal="center"/>
    </xf>
    <xf numFmtId="0" fontId="26" fillId="5" borderId="18" xfId="0" applyFont="1" applyFill="1" applyBorder="1" applyAlignment="1">
      <alignment horizontal="center"/>
    </xf>
    <xf numFmtId="0" fontId="26" fillId="5" borderId="23" xfId="0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171" fontId="17" fillId="0" borderId="1" xfId="4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5" borderId="14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6" fillId="5" borderId="15" xfId="0" applyFont="1" applyFill="1" applyBorder="1" applyAlignment="1">
      <alignment horizontal="center"/>
    </xf>
    <xf numFmtId="9" fontId="19" fillId="0" borderId="0" xfId="4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16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</cellXfs>
  <cellStyles count="9">
    <cellStyle name="Millares" xfId="1" builtinId="3"/>
    <cellStyle name="Millares [0]" xfId="2" builtinId="6"/>
    <cellStyle name="Moneda" xfId="3" builtinId="4"/>
    <cellStyle name="Moneda 2" xfId="6"/>
    <cellStyle name="Normal" xfId="0" builtinId="0"/>
    <cellStyle name="Normal 2" xfId="5"/>
    <cellStyle name="Normal 2 2" xfId="8"/>
    <cellStyle name="Porcentaje" xfId="4" builtinId="5"/>
    <cellStyle name="Porcentual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632734407619589E-2"/>
          <c:y val="0.21276743106875512"/>
          <c:w val="0.86530698472076539"/>
          <c:h val="0.61702555009939131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FCLO!#REF!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D3-46CD-B940-C52DD75784E7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FCLO!#REF!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41920"/>
        <c:axId val="315642480"/>
      </c:barChart>
      <c:catAx>
        <c:axId val="315641920"/>
        <c:scaling>
          <c:orientation val="minMax"/>
        </c:scaling>
        <c:delete val="0"/>
        <c:axPos val="b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s-ES"/>
            </a:pPr>
            <a:endParaRPr lang="es-CO"/>
          </a:p>
        </c:txPr>
        <c:crossAx val="315642480"/>
        <c:crosses val="autoZero"/>
        <c:auto val="0"/>
        <c:lblAlgn val="ctr"/>
        <c:lblOffset val="100"/>
        <c:tickMarkSkip val="1"/>
        <c:noMultiLvlLbl val="0"/>
      </c:catAx>
      <c:valAx>
        <c:axId val="3156424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64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000000000000178" r="0.75000000000000178" t="1" header="0.511811024" footer="0.5118110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561975</xdr:colOff>
      <xdr:row>22</xdr:row>
      <xdr:rowOff>47625</xdr:rowOff>
    </xdr:from>
    <xdr:to>
      <xdr:col>29</xdr:col>
      <xdr:colOff>657225</xdr:colOff>
      <xdr:row>30</xdr:row>
      <xdr:rowOff>0</xdr:rowOff>
    </xdr:to>
    <xdr:graphicFrame macro="">
      <xdr:nvGraphicFramePr>
        <xdr:cNvPr id="41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showGridLines="0" workbookViewId="0">
      <selection activeCell="C12" sqref="C12"/>
    </sheetView>
  </sheetViews>
  <sheetFormatPr baseColWidth="10" defaultColWidth="11.42578125" defaultRowHeight="15" x14ac:dyDescent="0.25"/>
  <cols>
    <col min="1" max="1" width="25.140625" style="237" bestFit="1" customWidth="1"/>
    <col min="2" max="2" width="11.42578125" style="237"/>
    <col min="3" max="3" width="11.85546875" style="237" bestFit="1" customWidth="1"/>
    <col min="4" max="4" width="15.7109375" style="237" bestFit="1" customWidth="1"/>
    <col min="5" max="5" width="100" style="237" bestFit="1" customWidth="1"/>
    <col min="6" max="16384" width="11.42578125" style="237"/>
  </cols>
  <sheetData>
    <row r="1" spans="1:12" ht="16.5" thickBot="1" x14ac:dyDescent="0.3">
      <c r="A1" s="335" t="s">
        <v>291</v>
      </c>
      <c r="B1" s="335"/>
      <c r="C1" s="335"/>
      <c r="D1" s="335"/>
      <c r="E1" s="335"/>
    </row>
    <row r="2" spans="1:12" ht="16.5" thickBot="1" x14ac:dyDescent="0.3">
      <c r="A2" s="238"/>
      <c r="B2" s="238"/>
      <c r="C2" s="238"/>
      <c r="D2" s="303"/>
      <c r="E2" s="238"/>
    </row>
    <row r="3" spans="1:12" ht="15.75" thickBot="1" x14ac:dyDescent="0.3">
      <c r="A3" s="239" t="s">
        <v>269</v>
      </c>
      <c r="B3" s="240" t="s">
        <v>270</v>
      </c>
      <c r="C3" s="240" t="s">
        <v>271</v>
      </c>
      <c r="D3" s="241" t="s">
        <v>272</v>
      </c>
      <c r="E3" s="241" t="s">
        <v>295</v>
      </c>
    </row>
    <row r="4" spans="1:12" x14ac:dyDescent="0.25">
      <c r="A4" s="306" t="s">
        <v>292</v>
      </c>
      <c r="B4" s="242">
        <f>2500*140</f>
        <v>350000</v>
      </c>
      <c r="C4" s="306" t="s">
        <v>294</v>
      </c>
      <c r="D4" s="307" t="s">
        <v>293</v>
      </c>
      <c r="E4" s="307" t="s">
        <v>296</v>
      </c>
      <c r="G4" s="308"/>
      <c r="I4" s="308"/>
      <c r="K4" s="308"/>
      <c r="L4" s="308"/>
    </row>
    <row r="5" spans="1:12" x14ac:dyDescent="0.25">
      <c r="A5" s="244" t="s">
        <v>273</v>
      </c>
      <c r="B5" s="243">
        <v>30</v>
      </c>
      <c r="C5" s="244" t="s">
        <v>274</v>
      </c>
      <c r="D5" s="245"/>
      <c r="E5" s="245"/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topLeftCell="A17" zoomScale="115" zoomScaleNormal="115" workbookViewId="0">
      <selection sqref="A1:F40"/>
    </sheetView>
  </sheetViews>
  <sheetFormatPr baseColWidth="10" defaultColWidth="11.42578125" defaultRowHeight="12.75" x14ac:dyDescent="0.2"/>
  <cols>
    <col min="1" max="1" width="27.5703125" style="17" customWidth="1"/>
    <col min="2" max="3" width="13.7109375" style="115" customWidth="1"/>
    <col min="4" max="4" width="15.42578125" style="115" customWidth="1"/>
    <col min="5" max="6" width="15.7109375" style="115" bestFit="1" customWidth="1"/>
    <col min="7" max="24" width="11.42578125" style="115"/>
    <col min="25" max="16384" width="11.42578125" style="17"/>
  </cols>
  <sheetData>
    <row r="1" spans="1:24" s="108" customFormat="1" ht="33.75" x14ac:dyDescent="0.5">
      <c r="A1" s="389" t="s">
        <v>207</v>
      </c>
      <c r="B1" s="389"/>
      <c r="C1" s="389"/>
      <c r="D1" s="389"/>
      <c r="E1" s="389"/>
      <c r="F1" s="389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s="110" customFormat="1" ht="23.25" x14ac:dyDescent="0.35">
      <c r="A2" s="391" t="str">
        <f>+Resúmen!A2:G2</f>
        <v>BOLSOS</v>
      </c>
      <c r="B2" s="391"/>
      <c r="C2" s="391"/>
      <c r="D2" s="391"/>
      <c r="E2" s="391"/>
      <c r="F2" s="391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s="110" customFormat="1" ht="23.25" x14ac:dyDescent="0.35">
      <c r="A3" s="390" t="s">
        <v>186</v>
      </c>
      <c r="B3" s="390"/>
      <c r="C3" s="390"/>
      <c r="D3" s="390"/>
      <c r="E3" s="390"/>
      <c r="F3" s="390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s="35" customFormat="1" ht="18.75" x14ac:dyDescent="0.3">
      <c r="A4" s="111"/>
      <c r="B4" s="112"/>
      <c r="C4" s="112"/>
      <c r="D4" s="11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13.5" thickBot="1" x14ac:dyDescent="0.25">
      <c r="A5" s="104"/>
      <c r="B5" s="114"/>
      <c r="C5" s="114"/>
      <c r="D5" s="104"/>
      <c r="E5" s="104"/>
      <c r="F5" s="114"/>
    </row>
    <row r="6" spans="1:24" s="38" customFormat="1" ht="19.5" thickBot="1" x14ac:dyDescent="0.35">
      <c r="A6" s="293" t="s">
        <v>142</v>
      </c>
      <c r="B6" s="293">
        <f>Resúmen!G5</f>
        <v>2016</v>
      </c>
      <c r="C6" s="293">
        <f>B6+1</f>
        <v>2017</v>
      </c>
      <c r="D6" s="293">
        <f>C6+1</f>
        <v>2018</v>
      </c>
      <c r="E6" s="293">
        <f>D6+1</f>
        <v>2019</v>
      </c>
      <c r="F6" s="293">
        <f>E6+1</f>
        <v>2020</v>
      </c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</row>
    <row r="7" spans="1:24" s="38" customFormat="1" ht="15" x14ac:dyDescent="0.25">
      <c r="A7" s="117"/>
      <c r="B7" s="118"/>
      <c r="C7" s="118"/>
      <c r="D7" s="118"/>
      <c r="E7" s="118"/>
      <c r="F7" s="118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1:24" ht="15.75" x14ac:dyDescent="0.25">
      <c r="A8" s="141" t="s">
        <v>28</v>
      </c>
      <c r="B8" s="119"/>
      <c r="C8" s="119"/>
      <c r="D8" s="119"/>
      <c r="E8" s="119"/>
      <c r="F8" s="119"/>
    </row>
    <row r="9" spans="1:24" s="63" customFormat="1" ht="15.75" x14ac:dyDescent="0.25">
      <c r="A9" s="142" t="s">
        <v>290</v>
      </c>
      <c r="B9" s="120">
        <f>PyG!B8*((12-Resúmen!F67)/12)</f>
        <v>90960</v>
      </c>
      <c r="C9" s="120">
        <f>PyG!B8*((Resúmen!F67)/12)+PyG!D8*((12-Resúmen!F68)/12)</f>
        <v>122796</v>
      </c>
      <c r="D9" s="120">
        <f>PyG!F8*((12-Resúmen!F69)/12)+PyG!D8*((Resúmen!F68)/12)</f>
        <v>147355.20000000001</v>
      </c>
      <c r="E9" s="120">
        <f>PyG!H8*((12-Resúmen!F70)/12)+PyG!F8*((Resúmen!F69)/12)</f>
        <v>176826.23999999999</v>
      </c>
      <c r="F9" s="120">
        <f>PyG!J8*((12-Resúmen!F71)/12)+PyG!H8*((Resúmen!F70)/12)</f>
        <v>221032.8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</row>
    <row r="10" spans="1:24" s="105" customFormat="1" ht="15.75" x14ac:dyDescent="0.25">
      <c r="A10" s="97" t="s">
        <v>29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s="125" customFormat="1" ht="15.75" x14ac:dyDescent="0.25">
      <c r="A11" s="142" t="s">
        <v>30</v>
      </c>
      <c r="B11" s="119">
        <f>PyG!B21</f>
        <v>0</v>
      </c>
      <c r="C11" s="119">
        <f>PyG!D21</f>
        <v>0</v>
      </c>
      <c r="D11" s="119">
        <f>PyG!F21</f>
        <v>0</v>
      </c>
      <c r="E11" s="119">
        <f>PyG!H21</f>
        <v>0</v>
      </c>
      <c r="F11" s="119">
        <f>PyG!J21</f>
        <v>0</v>
      </c>
      <c r="G11" s="124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s="129" customFormat="1" ht="15.75" x14ac:dyDescent="0.25">
      <c r="A12" s="143" t="s">
        <v>31</v>
      </c>
      <c r="B12" s="128">
        <f>SUM(B9:B11)</f>
        <v>90960</v>
      </c>
      <c r="C12" s="128">
        <f>SUM(C9:C11)</f>
        <v>122796</v>
      </c>
      <c r="D12" s="128">
        <f>SUM(D9:D11)</f>
        <v>147355.20000000001</v>
      </c>
      <c r="E12" s="128">
        <f>SUM(E9:E11)</f>
        <v>176826.23999999999</v>
      </c>
      <c r="F12" s="128">
        <f>SUM(F9:F11)</f>
        <v>221032.8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</row>
    <row r="13" spans="1:24" ht="15.75" x14ac:dyDescent="0.25">
      <c r="A13" s="97"/>
      <c r="B13" s="119"/>
      <c r="C13" s="119"/>
      <c r="D13" s="119"/>
      <c r="E13" s="119"/>
      <c r="F13" s="119"/>
    </row>
    <row r="14" spans="1:24" ht="15.75" x14ac:dyDescent="0.25">
      <c r="A14" s="141" t="s">
        <v>32</v>
      </c>
      <c r="B14" s="119"/>
      <c r="C14" s="119"/>
      <c r="D14" s="119"/>
      <c r="E14" s="119"/>
      <c r="F14" s="119"/>
    </row>
    <row r="15" spans="1:24" s="63" customFormat="1" ht="15.75" x14ac:dyDescent="0.25">
      <c r="A15" s="142" t="s">
        <v>125</v>
      </c>
      <c r="B15" s="120">
        <f>((PyG!B9+BALANCE!B12)/12)*(12-Resúmen!F74)</f>
        <v>38234.719456574487</v>
      </c>
      <c r="C15" s="120">
        <f>(((PyG!D9-BALANCE!B12)+BALANCE!C12)/12)*(12-Resúmen!F75)+BALANCE!B34</f>
        <v>50179.143017952447</v>
      </c>
      <c r="D15" s="120">
        <f>(((PyG!F9-BALANCE!C12)+BALANCE!D12)/12)*(12-Resúmen!F76)+BALANCE!C34</f>
        <v>58358.579751558063</v>
      </c>
      <c r="E15" s="120">
        <f>(((PyG!H9-BALANCE!D12)+BALANCE!E12)/12)*(12-Resúmen!F77)+BALANCE!D34</f>
        <v>69608.817025751821</v>
      </c>
      <c r="F15" s="120">
        <f>(((PyG!J9-BALANCE!E12)+BALANCE!F12)/12)*(12-Resúmen!F78)+BALANCE!E34</f>
        <v>82681.47031569219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</row>
    <row r="16" spans="1:24" s="63" customFormat="1" ht="15.75" x14ac:dyDescent="0.25">
      <c r="A16" s="142" t="s">
        <v>33</v>
      </c>
      <c r="B16" s="119">
        <f>PyG!B12-Resúmen!$B$92/5</f>
        <v>53765.399843626663</v>
      </c>
      <c r="C16" s="119">
        <f>PyG!D12-Resúmen!$B$92/5</f>
        <v>60869.048619694135</v>
      </c>
      <c r="D16" s="119">
        <f>PyG!F12-Resúmen!$B$92/5</f>
        <v>70024.133072533485</v>
      </c>
      <c r="E16" s="119">
        <f>PyG!H12-Resúmen!$B$92/5</f>
        <v>76821.981434582573</v>
      </c>
      <c r="F16" s="119">
        <f>PyG!J12-Resúmen!$B$92/5</f>
        <v>93133.120513831091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24" s="63" customFormat="1" ht="15.75" x14ac:dyDescent="0.25">
      <c r="A17" s="142" t="s">
        <v>34</v>
      </c>
      <c r="B17" s="119">
        <f>PyG!B13</f>
        <v>5457.6</v>
      </c>
      <c r="C17" s="119">
        <f>PyG!D13</f>
        <v>7367.76</v>
      </c>
      <c r="D17" s="119">
        <f>PyG!F13</f>
        <v>8841.3120000000017</v>
      </c>
      <c r="E17" s="119">
        <f>PyG!H13</f>
        <v>10609.5744</v>
      </c>
      <c r="F17" s="119">
        <f>PyG!J13</f>
        <v>13261.968000000001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</row>
    <row r="18" spans="1:24" s="63" customFormat="1" ht="15.75" x14ac:dyDescent="0.25">
      <c r="A18" s="142" t="s">
        <v>202</v>
      </c>
      <c r="B18" s="131">
        <f>Resúmen!B92</f>
        <v>4991.6930000000002</v>
      </c>
      <c r="C18" s="131"/>
      <c r="D18" s="131"/>
      <c r="E18" s="131"/>
      <c r="F18" s="13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1:24" s="63" customFormat="1" ht="15.75" x14ac:dyDescent="0.25">
      <c r="A19" s="142" t="s">
        <v>322</v>
      </c>
      <c r="B19" s="119">
        <v>0</v>
      </c>
      <c r="C19" s="119">
        <f>BALANCE!B36</f>
        <v>0</v>
      </c>
      <c r="D19" s="119">
        <f>BALANCE!C36</f>
        <v>1404.7958562210288</v>
      </c>
      <c r="E19" s="119">
        <f>BALANCE!D36</f>
        <v>2401.4043161497384</v>
      </c>
      <c r="F19" s="119">
        <f>BALANCE!E36</f>
        <v>6279.2078949088445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</row>
    <row r="20" spans="1:24" s="63" customFormat="1" ht="15.75" x14ac:dyDescent="0.25">
      <c r="A20" s="142" t="s">
        <v>35</v>
      </c>
      <c r="B20" s="119">
        <v>0</v>
      </c>
      <c r="C20" s="119">
        <f>BALANCE!B34</f>
        <v>0</v>
      </c>
      <c r="D20" s="119">
        <f>BALANCE!C34</f>
        <v>0</v>
      </c>
      <c r="E20" s="119">
        <f>BALANCE!D34</f>
        <v>2537.3295544155699</v>
      </c>
      <c r="F20" s="119">
        <f>BALANCE!E34</f>
        <v>378.8220747729647</v>
      </c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</row>
    <row r="21" spans="1:24" s="63" customFormat="1" ht="15.75" x14ac:dyDescent="0.25">
      <c r="A21" s="142" t="s">
        <v>118</v>
      </c>
      <c r="B21" s="119">
        <f>PyG!D21</f>
        <v>0</v>
      </c>
      <c r="C21" s="119">
        <f>PyG!F21</f>
        <v>0</v>
      </c>
      <c r="D21" s="119">
        <f>PyG!H21</f>
        <v>0</v>
      </c>
      <c r="E21" s="119">
        <f>PyG!J21</f>
        <v>0</v>
      </c>
      <c r="F21" s="119">
        <f>PyG!L21</f>
        <v>0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</row>
    <row r="22" spans="1:24" ht="15.75" x14ac:dyDescent="0.25">
      <c r="A22" s="142" t="s">
        <v>120</v>
      </c>
      <c r="B22" s="119">
        <v>3450</v>
      </c>
      <c r="C22" s="119">
        <f>Resúmen!F151</f>
        <v>500</v>
      </c>
      <c r="D22" s="119">
        <f>Resúmen!F152</f>
        <v>500</v>
      </c>
      <c r="E22" s="119">
        <f>Resúmen!F153</f>
        <v>2650</v>
      </c>
      <c r="F22" s="119">
        <f>Resúmen!F154</f>
        <v>500</v>
      </c>
    </row>
    <row r="23" spans="1:24" ht="15.75" x14ac:dyDescent="0.25">
      <c r="A23" s="142" t="s">
        <v>41</v>
      </c>
      <c r="B23" s="132">
        <f>PyG!B24</f>
        <v>0</v>
      </c>
      <c r="C23" s="119">
        <f>PyG!D24</f>
        <v>0</v>
      </c>
      <c r="D23" s="119">
        <f>PyG!F24</f>
        <v>0</v>
      </c>
      <c r="E23" s="119">
        <f>PyG!H24</f>
        <v>0</v>
      </c>
      <c r="F23" s="119">
        <f>PyG!J24</f>
        <v>0</v>
      </c>
    </row>
    <row r="24" spans="1:24" s="63" customFormat="1" ht="15.75" x14ac:dyDescent="0.25">
      <c r="A24" s="142" t="s">
        <v>113</v>
      </c>
      <c r="B24" s="119">
        <f>PyG!D22</f>
        <v>0</v>
      </c>
      <c r="C24" s="119">
        <f>PyG!F22</f>
        <v>0</v>
      </c>
      <c r="D24" s="119">
        <f>PyG!H22</f>
        <v>0</v>
      </c>
      <c r="E24" s="119">
        <f>PyG!J22</f>
        <v>0</v>
      </c>
      <c r="F24" s="119">
        <f>PyG!L22</f>
        <v>0</v>
      </c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</row>
    <row r="25" spans="1:24" s="63" customFormat="1" ht="15.75" x14ac:dyDescent="0.25">
      <c r="A25" s="142" t="s">
        <v>262</v>
      </c>
      <c r="B25" s="119">
        <v>0</v>
      </c>
      <c r="C25" s="119">
        <f>Amortización!C30/1000</f>
        <v>0</v>
      </c>
      <c r="D25" s="119">
        <f>(Amortización!C47+Amortización!K30)/1000</f>
        <v>0</v>
      </c>
      <c r="E25" s="119">
        <f>(Amortización!C64+Amortización!K47)/1000</f>
        <v>0</v>
      </c>
      <c r="F25" s="119">
        <f>(Amortización!C81+Amortización!K64)/1000</f>
        <v>0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</row>
    <row r="26" spans="1:24" ht="15.75" x14ac:dyDescent="0.25">
      <c r="A26" s="141" t="s">
        <v>36</v>
      </c>
      <c r="B26" s="170">
        <f>SUM(B14:B24)</f>
        <v>105899.41230020116</v>
      </c>
      <c r="C26" s="170">
        <f>SUM(C14:C25)</f>
        <v>118915.95163764658</v>
      </c>
      <c r="D26" s="170">
        <f>SUM(D14:D25)</f>
        <v>139128.82068031258</v>
      </c>
      <c r="E26" s="170">
        <f>SUM(E14:E25)</f>
        <v>164629.10673089972</v>
      </c>
      <c r="F26" s="170">
        <f>SUM(F14:F25)</f>
        <v>196234.58879920508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.75" x14ac:dyDescent="0.25">
      <c r="A27" s="97"/>
      <c r="B27" s="119"/>
      <c r="C27" s="119"/>
      <c r="D27" s="119"/>
      <c r="E27" s="119"/>
      <c r="F27" s="11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s="20" customFormat="1" ht="15.75" x14ac:dyDescent="0.25">
      <c r="A28" s="141" t="s">
        <v>37</v>
      </c>
      <c r="B28" s="128">
        <f>B12-B26</f>
        <v>-14939.412300201162</v>
      </c>
      <c r="C28" s="128">
        <f>C12-C26</f>
        <v>3880.0483623534237</v>
      </c>
      <c r="D28" s="128">
        <f>D12-D26</f>
        <v>8226.3793196874321</v>
      </c>
      <c r="E28" s="128">
        <f>E12-E26</f>
        <v>12197.133269100275</v>
      </c>
      <c r="F28" s="128">
        <f>F12-F26</f>
        <v>24798.211200794904</v>
      </c>
      <c r="G28" s="134"/>
      <c r="H28" s="134"/>
      <c r="I28" s="134"/>
    </row>
    <row r="29" spans="1:24" ht="15.75" x14ac:dyDescent="0.25">
      <c r="A29" s="141"/>
      <c r="B29" s="135"/>
      <c r="C29" s="135"/>
      <c r="D29" s="135"/>
      <c r="E29" s="135"/>
      <c r="F29" s="135"/>
    </row>
    <row r="30" spans="1:24" ht="15.75" x14ac:dyDescent="0.25">
      <c r="A30" s="97" t="s">
        <v>38</v>
      </c>
      <c r="B30" s="122">
        <v>0</v>
      </c>
      <c r="C30" s="122">
        <v>0</v>
      </c>
      <c r="D30" s="122">
        <v>0</v>
      </c>
      <c r="E30" s="122">
        <v>0</v>
      </c>
      <c r="F30" s="122">
        <v>0</v>
      </c>
    </row>
    <row r="31" spans="1:24" ht="15.75" x14ac:dyDescent="0.25">
      <c r="A31" s="97"/>
      <c r="B31" s="119"/>
      <c r="C31" s="119"/>
      <c r="D31" s="119"/>
      <c r="E31" s="119"/>
      <c r="F31" s="119"/>
    </row>
    <row r="32" spans="1:24" s="63" customFormat="1" ht="15.75" x14ac:dyDescent="0.25">
      <c r="A32" s="143" t="s">
        <v>39</v>
      </c>
      <c r="B32" s="119">
        <v>0</v>
      </c>
      <c r="C32" s="119">
        <f>B40</f>
        <v>15060.58749595884</v>
      </c>
      <c r="D32" s="119">
        <f>C40</f>
        <v>18940.635858312264</v>
      </c>
      <c r="E32" s="119">
        <f>D40</f>
        <v>27167.015177999696</v>
      </c>
      <c r="F32" s="119">
        <f>E40</f>
        <v>39364.148447099971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</row>
    <row r="33" spans="1:24" ht="15.75" x14ac:dyDescent="0.25">
      <c r="A33" s="97"/>
      <c r="B33" s="119"/>
      <c r="C33" s="119"/>
      <c r="D33" s="119"/>
      <c r="E33" s="119"/>
      <c r="F33" s="119"/>
    </row>
    <row r="34" spans="1:24" ht="15.75" x14ac:dyDescent="0.25">
      <c r="A34" s="141" t="s">
        <v>126</v>
      </c>
      <c r="B34" s="119">
        <f>B28+B32</f>
        <v>-14939.412300201162</v>
      </c>
      <c r="C34" s="119">
        <f>C28+C32</f>
        <v>18940.635858312264</v>
      </c>
      <c r="D34" s="119">
        <f>D28+D32</f>
        <v>27167.015177999696</v>
      </c>
      <c r="E34" s="119">
        <f>E28+E32</f>
        <v>39364.148447099971</v>
      </c>
      <c r="F34" s="119">
        <f>F28+F32</f>
        <v>64162.359647894875</v>
      </c>
    </row>
    <row r="35" spans="1:24" ht="15.75" x14ac:dyDescent="0.25">
      <c r="A35" s="141"/>
      <c r="B35" s="119"/>
      <c r="C35" s="119"/>
      <c r="D35" s="119"/>
      <c r="E35" s="119"/>
      <c r="F35" s="119"/>
    </row>
    <row r="36" spans="1:24" s="105" customFormat="1" ht="15.75" x14ac:dyDescent="0.25">
      <c r="A36" s="97" t="s">
        <v>263</v>
      </c>
      <c r="B36" s="119">
        <v>0</v>
      </c>
      <c r="C36" s="119">
        <v>0</v>
      </c>
      <c r="D36" s="119">
        <v>0</v>
      </c>
      <c r="E36" s="119">
        <v>0</v>
      </c>
      <c r="F36" s="119">
        <v>0</v>
      </c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</row>
    <row r="37" spans="1:24" ht="15.75" x14ac:dyDescent="0.25">
      <c r="A37" s="142" t="s">
        <v>192</v>
      </c>
      <c r="B37" s="119">
        <f>'Inversion Inicial'!B12/1000</f>
        <v>29999.999796160002</v>
      </c>
      <c r="C37" s="119">
        <v>0</v>
      </c>
      <c r="D37" s="119">
        <v>0</v>
      </c>
      <c r="E37" s="119">
        <v>0</v>
      </c>
      <c r="F37" s="119">
        <v>0</v>
      </c>
    </row>
    <row r="38" spans="1:24" s="105" customFormat="1" ht="15.75" x14ac:dyDescent="0.25">
      <c r="A38" s="142" t="s">
        <v>40</v>
      </c>
      <c r="B38" s="119">
        <f>Amortización!B7/1000</f>
        <v>0</v>
      </c>
      <c r="C38" s="119">
        <v>0</v>
      </c>
      <c r="D38" s="119">
        <f>Amortización!J7/1000</f>
        <v>0</v>
      </c>
      <c r="E38" s="119"/>
      <c r="F38" s="119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</row>
    <row r="39" spans="1:24" s="105" customFormat="1" ht="15.75" x14ac:dyDescent="0.25">
      <c r="A39" s="142"/>
      <c r="B39" s="119"/>
      <c r="C39" s="119"/>
      <c r="D39" s="119"/>
      <c r="E39" s="119"/>
      <c r="F39" s="119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</row>
    <row r="40" spans="1:24" s="38" customFormat="1" ht="16.5" thickBot="1" x14ac:dyDescent="0.3">
      <c r="A40" s="144" t="s">
        <v>42</v>
      </c>
      <c r="B40" s="139">
        <f>B34+B37+B38+B36</f>
        <v>15060.58749595884</v>
      </c>
      <c r="C40" s="139">
        <f>C34+C37+C38+C36</f>
        <v>18940.635858312264</v>
      </c>
      <c r="D40" s="139">
        <f>D34+D37+D38+D36</f>
        <v>27167.015177999696</v>
      </c>
      <c r="E40" s="139">
        <f>E34+E37+E38+E36</f>
        <v>39364.148447099971</v>
      </c>
      <c r="F40" s="139">
        <f>F34+F37+F38+F36</f>
        <v>64162.359647894875</v>
      </c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x14ac:dyDescent="0.2">
      <c r="A41" s="14"/>
      <c r="B41" s="119"/>
      <c r="C41" s="119"/>
      <c r="D41" s="119"/>
      <c r="E41" s="119"/>
      <c r="F41" s="119"/>
    </row>
    <row r="45" spans="1:24" x14ac:dyDescent="0.2">
      <c r="B45" s="140"/>
      <c r="C45" s="140"/>
      <c r="D45" s="140"/>
      <c r="E45" s="140"/>
      <c r="F45" s="140"/>
    </row>
  </sheetData>
  <sheetProtection selectLockedCells="1" selectUnlockedCells="1"/>
  <mergeCells count="3">
    <mergeCell ref="A1:F1"/>
    <mergeCell ref="A3:F3"/>
    <mergeCell ref="A2:F2"/>
  </mergeCells>
  <phoneticPr fontId="10" type="noConversion"/>
  <printOptions horizontalCentered="1" verticalCentered="1"/>
  <pageMargins left="1.19" right="0.78" top="0.93" bottom="0.59055118110236227" header="0.39370078740157483" footer="0.39370078740157483"/>
  <pageSetup paperSize="9" scale="82" orientation="landscape" horizontalDpi="300" verticalDpi="300" r:id="rId1"/>
  <headerFooter alignWithMargins="0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opLeftCell="A13" zoomScale="115" zoomScaleNormal="115" workbookViewId="0">
      <selection sqref="A1:K31"/>
    </sheetView>
  </sheetViews>
  <sheetFormatPr baseColWidth="10" defaultColWidth="11.42578125" defaultRowHeight="12.75" x14ac:dyDescent="0.2"/>
  <cols>
    <col min="1" max="1" width="30.85546875" style="51" customWidth="1"/>
    <col min="2" max="2" width="12.5703125" style="119" customWidth="1"/>
    <col min="3" max="3" width="7.7109375" style="155" customWidth="1"/>
    <col min="4" max="4" width="13.85546875" style="119" bestFit="1" customWidth="1"/>
    <col min="5" max="5" width="8" style="155" bestFit="1" customWidth="1"/>
    <col min="6" max="6" width="15.7109375" style="51" bestFit="1" customWidth="1"/>
    <col min="7" max="7" width="7" style="51" bestFit="1" customWidth="1"/>
    <col min="8" max="8" width="15.7109375" style="51" bestFit="1" customWidth="1"/>
    <col min="9" max="9" width="8.5703125" style="51" bestFit="1" customWidth="1"/>
    <col min="10" max="10" width="15.7109375" style="51" bestFit="1" customWidth="1"/>
    <col min="11" max="11" width="7.7109375" style="51" bestFit="1" customWidth="1"/>
    <col min="12" max="12" width="12" style="51" bestFit="1" customWidth="1"/>
    <col min="13" max="16384" width="11.42578125" style="51"/>
  </cols>
  <sheetData>
    <row r="1" spans="1:12" s="145" customFormat="1" ht="33.75" x14ac:dyDescent="0.5">
      <c r="A1" s="392" t="s">
        <v>207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2" s="146" customFormat="1" ht="23.25" x14ac:dyDescent="0.35">
      <c r="A2" s="394" t="str">
        <f>+Resúmen!A2:G2</f>
        <v>BOLSOS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</row>
    <row r="3" spans="1:12" s="146" customFormat="1" ht="23.25" x14ac:dyDescent="0.35">
      <c r="A3" s="393" t="s">
        <v>187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2" s="150" customFormat="1" ht="18.75" x14ac:dyDescent="0.3">
      <c r="A4" s="147"/>
      <c r="B4" s="148"/>
      <c r="C4" s="149"/>
      <c r="D4" s="148"/>
      <c r="E4" s="149"/>
      <c r="F4" s="51"/>
      <c r="K4" s="51"/>
    </row>
    <row r="5" spans="1:12" ht="13.5" thickBot="1" x14ac:dyDescent="0.25">
      <c r="A5" s="151"/>
      <c r="B5" s="137"/>
      <c r="C5" s="137"/>
      <c r="D5" s="137"/>
      <c r="E5" s="152"/>
      <c r="F5" s="137"/>
      <c r="G5" s="137"/>
      <c r="H5" s="137"/>
      <c r="I5" s="137"/>
      <c r="J5" s="137"/>
      <c r="K5" s="137"/>
    </row>
    <row r="6" spans="1:12" s="55" customFormat="1" ht="19.5" thickBot="1" x14ac:dyDescent="0.35">
      <c r="A6" s="293" t="s">
        <v>142</v>
      </c>
      <c r="B6" s="293">
        <f>+Resúmen!G5</f>
        <v>2016</v>
      </c>
      <c r="C6" s="293" t="s">
        <v>128</v>
      </c>
      <c r="D6" s="293">
        <f>+B6+1</f>
        <v>2017</v>
      </c>
      <c r="E6" s="293" t="s">
        <v>128</v>
      </c>
      <c r="F6" s="293">
        <f>+D6+1</f>
        <v>2018</v>
      </c>
      <c r="G6" s="293" t="s">
        <v>128</v>
      </c>
      <c r="H6" s="293">
        <f>+F6+1</f>
        <v>2019</v>
      </c>
      <c r="I6" s="293" t="s">
        <v>128</v>
      </c>
      <c r="J6" s="293">
        <f>+H6+1</f>
        <v>2020</v>
      </c>
      <c r="K6" s="293" t="s">
        <v>128</v>
      </c>
    </row>
    <row r="7" spans="1:12" s="153" customFormat="1" x14ac:dyDescent="0.2">
      <c r="B7" s="154"/>
      <c r="C7" s="48"/>
      <c r="D7" s="154"/>
      <c r="E7" s="48"/>
      <c r="F7" s="154"/>
      <c r="G7" s="48"/>
      <c r="H7" s="154"/>
      <c r="I7" s="48"/>
      <c r="J7" s="154"/>
      <c r="K7" s="48"/>
    </row>
    <row r="8" spans="1:12" x14ac:dyDescent="0.2">
      <c r="A8" s="51" t="s">
        <v>44</v>
      </c>
      <c r="B8" s="119">
        <f>Resúmen!G24/1000</f>
        <v>90960</v>
      </c>
      <c r="C8" s="155">
        <f>+B8/$B$8</f>
        <v>1</v>
      </c>
      <c r="D8" s="119">
        <f>Resúmen!G32/1000</f>
        <v>122796</v>
      </c>
      <c r="E8" s="155">
        <f>+D8/$D$8</f>
        <v>1</v>
      </c>
      <c r="F8" s="119">
        <f>Resúmen!G40/1000</f>
        <v>147355.20000000001</v>
      </c>
      <c r="G8" s="155">
        <f>+F8/$F$8</f>
        <v>1</v>
      </c>
      <c r="H8" s="119">
        <f>Resúmen!G48/1000</f>
        <v>176826.23999999999</v>
      </c>
      <c r="I8" s="155">
        <f>+H8/$H$8</f>
        <v>1</v>
      </c>
      <c r="J8" s="119">
        <f>Resúmen!G56/1000</f>
        <v>221032.8</v>
      </c>
      <c r="K8" s="155">
        <f>+J8/$J$8</f>
        <v>1</v>
      </c>
      <c r="L8" s="120"/>
    </row>
    <row r="9" spans="1:12" x14ac:dyDescent="0.2">
      <c r="A9" s="51" t="s">
        <v>45</v>
      </c>
      <c r="B9" s="119">
        <f>Resúmen!K24/1000</f>
        <v>35293.587190684142</v>
      </c>
      <c r="C9" s="155">
        <f>+B9/$B$8</f>
        <v>0.38801217228104817</v>
      </c>
      <c r="D9" s="119">
        <f>Resúmen!K32/1000</f>
        <v>49034.100262008731</v>
      </c>
      <c r="E9" s="155">
        <f>+D9/$D$8</f>
        <v>0.39931349768729218</v>
      </c>
      <c r="F9" s="119">
        <f>Resúmen!K40/1000</f>
        <v>59983.462456437868</v>
      </c>
      <c r="G9" s="155">
        <f>+F9/$F$8</f>
        <v>0.40706715783656</v>
      </c>
      <c r="H9" s="119">
        <f>Resúmen!K48/1000</f>
        <v>69218.087050979637</v>
      </c>
      <c r="I9" s="155">
        <f t="shared" ref="I9:I29" si="0">+H9/$H$8</f>
        <v>0.39144692015720994</v>
      </c>
      <c r="J9" s="119">
        <f>Resúmen!K56/1000</f>
        <v>88202.659470301704</v>
      </c>
      <c r="K9" s="155">
        <f>+J9/$J$8</f>
        <v>0.39904783122822363</v>
      </c>
      <c r="L9" s="120"/>
    </row>
    <row r="10" spans="1:12" s="127" customFormat="1" ht="15" x14ac:dyDescent="0.25">
      <c r="A10" s="127" t="s">
        <v>46</v>
      </c>
      <c r="B10" s="128">
        <f>B8-B9</f>
        <v>55666.412809315858</v>
      </c>
      <c r="C10" s="47">
        <f>+B10/$B$8</f>
        <v>0.61198782771895177</v>
      </c>
      <c r="D10" s="128">
        <f>D8-D9</f>
        <v>73761.899737991276</v>
      </c>
      <c r="E10" s="47">
        <f>+D10/$D$8</f>
        <v>0.60068650231270793</v>
      </c>
      <c r="F10" s="128">
        <f>F8-F9</f>
        <v>87371.737543562136</v>
      </c>
      <c r="G10" s="47">
        <f>+F10/$F$8</f>
        <v>0.59293284216344</v>
      </c>
      <c r="H10" s="128">
        <f>H8-H9</f>
        <v>107608.15294902035</v>
      </c>
      <c r="I10" s="47">
        <f>+H10/$H$8</f>
        <v>0.60855307984279006</v>
      </c>
      <c r="J10" s="128">
        <f>J8-J9</f>
        <v>132830.14052969828</v>
      </c>
      <c r="K10" s="47">
        <f>+J10/$J$8</f>
        <v>0.60095216877177637</v>
      </c>
      <c r="L10" s="156"/>
    </row>
    <row r="11" spans="1:12" x14ac:dyDescent="0.2">
      <c r="F11" s="119"/>
      <c r="G11" s="155"/>
      <c r="H11" s="119"/>
      <c r="I11" s="155"/>
      <c r="J11" s="119"/>
      <c r="K11" s="155"/>
    </row>
    <row r="12" spans="1:12" x14ac:dyDescent="0.2">
      <c r="A12" s="51" t="s">
        <v>33</v>
      </c>
      <c r="B12" s="119">
        <f>Resúmen!F96+(Resúmen!$B$92-BALANCE!B20-BALANCE!B21)/3</f>
        <v>54763.738443626666</v>
      </c>
      <c r="C12" s="155">
        <f>+B12/$B$8</f>
        <v>0.60206396705834064</v>
      </c>
      <c r="D12" s="119">
        <f>Resúmen!F97*(1+Parámetros!B8)+Resúmen!$B$92/3</f>
        <v>61867.387219694137</v>
      </c>
      <c r="E12" s="155">
        <f>+D12/$D$8</f>
        <v>0.50382249600715123</v>
      </c>
      <c r="F12" s="119">
        <f>Resúmen!F98*(1+Parámetros!C8)*(1+Parámetros!B8)+Resúmen!$B$92/3</f>
        <v>71022.471672533487</v>
      </c>
      <c r="G12" s="155">
        <f>+F12/$F$8</f>
        <v>0.48198144125577841</v>
      </c>
      <c r="H12" s="119">
        <f>Resúmen!F99*(1+Parámetros!B8)*(1+Parámetros!C8)*(1+Parámetros!D8)</f>
        <v>77820.320034582575</v>
      </c>
      <c r="I12" s="155">
        <f t="shared" si="0"/>
        <v>0.44009486394430247</v>
      </c>
      <c r="J12" s="119">
        <f>Resúmen!F100*(1+Parámetros!B8)*(1+Parámetros!C8)*(1+Parámetros!D8)*(1+Parámetros!E8)</f>
        <v>94131.459113831093</v>
      </c>
      <c r="K12" s="155">
        <f>+J12/$J$8</f>
        <v>0.4258709979416227</v>
      </c>
    </row>
    <row r="13" spans="1:12" x14ac:dyDescent="0.2">
      <c r="A13" s="51" t="s">
        <v>47</v>
      </c>
      <c r="B13" s="119">
        <f>B8*Resúmen!$C102</f>
        <v>5457.6</v>
      </c>
      <c r="C13" s="155">
        <f>+B13/$B$8</f>
        <v>6.0000000000000005E-2</v>
      </c>
      <c r="D13" s="119">
        <f>D8*Resúmen!$C102</f>
        <v>7367.76</v>
      </c>
      <c r="E13" s="155">
        <f>+D13/$D$8</f>
        <v>6.0000000000000005E-2</v>
      </c>
      <c r="F13" s="119">
        <f>F8*Resúmen!$C102</f>
        <v>8841.3120000000017</v>
      </c>
      <c r="G13" s="155">
        <f>+F13/$F$8</f>
        <v>6.0000000000000005E-2</v>
      </c>
      <c r="H13" s="119">
        <f>H8*Resúmen!$C102</f>
        <v>10609.5744</v>
      </c>
      <c r="I13" s="155">
        <f t="shared" si="0"/>
        <v>0.06</v>
      </c>
      <c r="J13" s="119">
        <f>J8*Resúmen!$C102</f>
        <v>13261.968000000001</v>
      </c>
      <c r="K13" s="155">
        <f>+J13/$J$8</f>
        <v>6.0000000000000005E-2</v>
      </c>
    </row>
    <row r="14" spans="1:12" ht="13.5" customHeight="1" x14ac:dyDescent="0.2">
      <c r="A14" s="51" t="s">
        <v>249</v>
      </c>
      <c r="B14" s="119">
        <f>-BALANCE!B23</f>
        <v>345</v>
      </c>
      <c r="C14" s="155">
        <f>+B14/$B$8</f>
        <v>3.7928759894459104E-3</v>
      </c>
      <c r="D14" s="119">
        <f>-BALANCE!C23-PyG!B14</f>
        <v>395</v>
      </c>
      <c r="E14" s="155">
        <f>+D14/$D$8</f>
        <v>3.2167171569106486E-3</v>
      </c>
      <c r="F14" s="119">
        <f>-BALANCE!D23-PyG!D14-B14</f>
        <v>445</v>
      </c>
      <c r="G14" s="155">
        <f>+F14/$F$8</f>
        <v>3.0199137865511362E-3</v>
      </c>
      <c r="H14" s="119">
        <f>-BALANCE!E23-PyG!F14-D14-B14</f>
        <v>710</v>
      </c>
      <c r="I14" s="155">
        <f>+H14/$H$8</f>
        <v>4.0152411768751067E-3</v>
      </c>
      <c r="J14" s="119">
        <f>-BALANCE!F23-PyG!H14-F14-D14-B14</f>
        <v>760</v>
      </c>
      <c r="K14" s="155">
        <f>+J14/$J$8</f>
        <v>3.4384037120282602E-3</v>
      </c>
    </row>
    <row r="15" spans="1:12" ht="13.5" customHeight="1" x14ac:dyDescent="0.2">
      <c r="A15" s="51" t="s">
        <v>56</v>
      </c>
      <c r="B15" s="119">
        <f>Resúmen!$B90*PyG!B8</f>
        <v>0</v>
      </c>
      <c r="C15" s="155">
        <f>+B15/$B$8</f>
        <v>0</v>
      </c>
      <c r="D15" s="119">
        <f>Resúmen!$B90*PyG!D8</f>
        <v>0</v>
      </c>
      <c r="E15" s="155">
        <f>+D15/$D$8</f>
        <v>0</v>
      </c>
      <c r="F15" s="119">
        <f>Resúmen!$B90*PyG!F8</f>
        <v>0</v>
      </c>
      <c r="G15" s="155">
        <f>+F15/$F$8</f>
        <v>0</v>
      </c>
      <c r="H15" s="119">
        <f>Resúmen!$B90*PyG!H8</f>
        <v>0</v>
      </c>
      <c r="I15" s="155">
        <f>+H15/$H$8</f>
        <v>0</v>
      </c>
      <c r="J15" s="119">
        <f>Resúmen!$B90*PyG!J8</f>
        <v>0</v>
      </c>
      <c r="K15" s="155">
        <f>+J15/$J$8</f>
        <v>0</v>
      </c>
    </row>
    <row r="16" spans="1:12" s="127" customFormat="1" ht="15" x14ac:dyDescent="0.25">
      <c r="A16" s="127" t="s">
        <v>48</v>
      </c>
      <c r="B16" s="128">
        <f>SUM(B12:B15)</f>
        <v>60566.338443626664</v>
      </c>
      <c r="C16" s="47">
        <f>+B16/$B$8</f>
        <v>0.66585684304778658</v>
      </c>
      <c r="D16" s="128">
        <f>SUM(D12:D15)</f>
        <v>69630.147219694132</v>
      </c>
      <c r="E16" s="47">
        <f>+D16/$D$8</f>
        <v>0.56703921316406181</v>
      </c>
      <c r="F16" s="128">
        <f>SUM(F12:F15)</f>
        <v>80308.783672533493</v>
      </c>
      <c r="G16" s="47">
        <f>+F16/$F$8</f>
        <v>0.5450013550423296</v>
      </c>
      <c r="H16" s="128">
        <f>SUM(H12:H15)</f>
        <v>89139.894434582573</v>
      </c>
      <c r="I16" s="47">
        <f t="shared" si="0"/>
        <v>0.5041101051211776</v>
      </c>
      <c r="J16" s="128">
        <f>SUM(J12:J15)</f>
        <v>108153.4271138311</v>
      </c>
      <c r="K16" s="47">
        <f>+J16/$J$8</f>
        <v>0.489309401653651</v>
      </c>
    </row>
    <row r="17" spans="1:11" x14ac:dyDescent="0.2">
      <c r="F17" s="119"/>
      <c r="G17" s="155"/>
      <c r="H17" s="119"/>
      <c r="I17" s="155"/>
      <c r="J17" s="119"/>
      <c r="K17" s="155"/>
    </row>
    <row r="18" spans="1:11" x14ac:dyDescent="0.2">
      <c r="F18" s="119"/>
      <c r="G18" s="155"/>
      <c r="H18" s="119"/>
      <c r="I18" s="155"/>
      <c r="J18" s="119"/>
      <c r="K18" s="155"/>
    </row>
    <row r="19" spans="1:11" s="127" customFormat="1" ht="15" x14ac:dyDescent="0.25">
      <c r="A19" s="127" t="s">
        <v>49</v>
      </c>
      <c r="B19" s="128">
        <f>B10-B16</f>
        <v>-4899.9256343108063</v>
      </c>
      <c r="C19" s="47">
        <f>+B19/$B$8</f>
        <v>-5.3869015328834723E-2</v>
      </c>
      <c r="D19" s="128">
        <f>D10-D16</f>
        <v>4131.752518297144</v>
      </c>
      <c r="E19" s="47">
        <f>+D19/$D$8</f>
        <v>3.3647289148646078E-2</v>
      </c>
      <c r="F19" s="128">
        <f>F10-F16</f>
        <v>7062.9538710286433</v>
      </c>
      <c r="G19" s="47">
        <f>+F19/$F$8</f>
        <v>4.7931487121110367E-2</v>
      </c>
      <c r="H19" s="128">
        <f>H10-H16</f>
        <v>18468.258514437781</v>
      </c>
      <c r="I19" s="47">
        <f t="shared" si="0"/>
        <v>0.10444297472161249</v>
      </c>
      <c r="J19" s="128">
        <f>J10-J16</f>
        <v>24676.713415867183</v>
      </c>
      <c r="K19" s="47">
        <f>+J19/$J$8</f>
        <v>0.11164276711812539</v>
      </c>
    </row>
    <row r="20" spans="1:11" x14ac:dyDescent="0.2">
      <c r="F20" s="119"/>
      <c r="G20" s="155"/>
      <c r="H20" s="119"/>
      <c r="I20" s="155"/>
      <c r="J20" s="119"/>
      <c r="K20" s="155"/>
    </row>
    <row r="21" spans="1:11" x14ac:dyDescent="0.2">
      <c r="A21" s="51" t="s">
        <v>30</v>
      </c>
      <c r="B21" s="119">
        <v>0</v>
      </c>
      <c r="C21" s="155">
        <f>+B21/$B$8</f>
        <v>0</v>
      </c>
      <c r="D21" s="119">
        <v>0</v>
      </c>
      <c r="E21" s="155">
        <f>+D21/$D$8</f>
        <v>0</v>
      </c>
      <c r="F21" s="119">
        <v>0</v>
      </c>
      <c r="G21" s="155">
        <f>+F21/$F$8</f>
        <v>0</v>
      </c>
      <c r="H21" s="119">
        <v>0</v>
      </c>
      <c r="I21" s="155">
        <f t="shared" si="0"/>
        <v>0</v>
      </c>
      <c r="J21" s="119">
        <v>0</v>
      </c>
      <c r="K21" s="155">
        <f>+J21/$J$8</f>
        <v>0</v>
      </c>
    </row>
    <row r="22" spans="1:11" ht="13.5" customHeight="1" x14ac:dyDescent="0.2">
      <c r="A22" s="51" t="s">
        <v>112</v>
      </c>
      <c r="B22" s="119">
        <v>0</v>
      </c>
      <c r="C22" s="155">
        <f>+B22/$B$8</f>
        <v>0</v>
      </c>
      <c r="D22" s="119">
        <v>0</v>
      </c>
      <c r="E22" s="155">
        <f>+D22/$D$8</f>
        <v>0</v>
      </c>
      <c r="F22" s="119">
        <v>0</v>
      </c>
      <c r="G22" s="155">
        <f>+F22/$F$8</f>
        <v>0</v>
      </c>
      <c r="H22" s="119">
        <v>0</v>
      </c>
      <c r="I22" s="155">
        <f>+H22/$H$8</f>
        <v>0</v>
      </c>
      <c r="J22" s="119">
        <v>0</v>
      </c>
      <c r="K22" s="155">
        <f>+J22/$J$8</f>
        <v>0</v>
      </c>
    </row>
    <row r="23" spans="1:11" x14ac:dyDescent="0.2">
      <c r="A23" s="51" t="s">
        <v>50</v>
      </c>
      <c r="B23" s="119">
        <v>0</v>
      </c>
      <c r="C23" s="155">
        <f>+B23/$B$8</f>
        <v>0</v>
      </c>
      <c r="D23" s="119">
        <v>0</v>
      </c>
      <c r="E23" s="155">
        <f>+D23/$D$8</f>
        <v>0</v>
      </c>
      <c r="F23" s="119">
        <v>0</v>
      </c>
      <c r="G23" s="155">
        <f>+F23/$F$8</f>
        <v>0</v>
      </c>
      <c r="H23" s="119">
        <v>0</v>
      </c>
      <c r="I23" s="155">
        <f t="shared" si="0"/>
        <v>0</v>
      </c>
      <c r="J23" s="119">
        <v>0</v>
      </c>
      <c r="K23" s="155">
        <f>+J23/$J$8</f>
        <v>0</v>
      </c>
    </row>
    <row r="24" spans="1:11" x14ac:dyDescent="0.2">
      <c r="A24" s="51" t="s">
        <v>41</v>
      </c>
      <c r="B24" s="120">
        <f>(B13+B12+B9)*(Parámetros!F14/3)</f>
        <v>0</v>
      </c>
      <c r="C24" s="155">
        <f>+B24/$B$8</f>
        <v>0</v>
      </c>
      <c r="D24" s="120">
        <f>((D13+D12+D9)*(Parámetros!G14/3))+Amortización!D30/1000</f>
        <v>0</v>
      </c>
      <c r="E24" s="155">
        <f>+D24/$D$8</f>
        <v>0</v>
      </c>
      <c r="F24" s="120">
        <f>((F13+F12+F9)*Parámetros!H14/3)+(Amortización!D47+Amortización!L30)/1000</f>
        <v>0</v>
      </c>
      <c r="G24" s="155">
        <f>+F24/$F$8</f>
        <v>0</v>
      </c>
      <c r="H24" s="120">
        <f>((H13+H12+H9)*Parámetros!I14/3)+(Amortización!D64+Amortización!L47)/1000</f>
        <v>0</v>
      </c>
      <c r="I24" s="155">
        <f t="shared" si="0"/>
        <v>0</v>
      </c>
      <c r="J24" s="120">
        <f>((J13+J12+J9)*Parámetros!J14/3)+(Amortización!D81+Amortización!L64)/1000</f>
        <v>0</v>
      </c>
      <c r="K24" s="155">
        <f>+J24/$J$8</f>
        <v>0</v>
      </c>
    </row>
    <row r="25" spans="1:11" x14ac:dyDescent="0.2">
      <c r="B25" s="51"/>
      <c r="D25" s="51"/>
      <c r="G25" s="155"/>
      <c r="I25" s="155"/>
      <c r="K25" s="155"/>
    </row>
    <row r="26" spans="1:11" s="127" customFormat="1" ht="15" x14ac:dyDescent="0.25">
      <c r="A26" s="127" t="s">
        <v>127</v>
      </c>
      <c r="B26" s="128">
        <f>B19+B21+B23-B24-B22</f>
        <v>-4899.9256343108063</v>
      </c>
      <c r="C26" s="47">
        <f>+B26/$B$8</f>
        <v>-5.3869015328834723E-2</v>
      </c>
      <c r="D26" s="128">
        <f>D19+D21+D23-D24-D22</f>
        <v>4131.752518297144</v>
      </c>
      <c r="E26" s="47">
        <f>+D26/$D$8</f>
        <v>3.3647289148646078E-2</v>
      </c>
      <c r="F26" s="128">
        <f>F19+F21+F23-F24-F22</f>
        <v>7062.9538710286433</v>
      </c>
      <c r="G26" s="47">
        <f>+F26/$F$8</f>
        <v>4.7931487121110367E-2</v>
      </c>
      <c r="H26" s="128">
        <f>H19+H21+H23-H24-H22</f>
        <v>18468.258514437781</v>
      </c>
      <c r="I26" s="47">
        <f>+H26/$H$8</f>
        <v>0.10444297472161249</v>
      </c>
      <c r="J26" s="128">
        <f>J19+J21+J23-J24-J22</f>
        <v>24676.713415867183</v>
      </c>
      <c r="K26" s="47">
        <f>+J26/$J$8</f>
        <v>0.11164276711812539</v>
      </c>
    </row>
    <row r="27" spans="1:11" x14ac:dyDescent="0.2">
      <c r="F27" s="119"/>
      <c r="G27" s="155"/>
      <c r="H27" s="119"/>
      <c r="I27" s="155"/>
      <c r="J27" s="119"/>
      <c r="K27" s="155"/>
    </row>
    <row r="28" spans="1:11" x14ac:dyDescent="0.2">
      <c r="A28" s="51" t="s">
        <v>319</v>
      </c>
      <c r="B28" s="119">
        <v>0</v>
      </c>
      <c r="C28" s="155">
        <f>+B28/$B$8</f>
        <v>0</v>
      </c>
      <c r="D28" s="119">
        <f>D26*(Parámetros!F17+Parámetros!F18)</f>
        <v>1404.7958562210288</v>
      </c>
      <c r="E28" s="155">
        <f>+D28/$D$8</f>
        <v>1.1440078310539666E-2</v>
      </c>
      <c r="F28" s="119">
        <f>F26*(Parámetros!F17+Parámetros!F18)</f>
        <v>2401.4043161497384</v>
      </c>
      <c r="G28" s="155">
        <f>+F28/$F$8</f>
        <v>1.6296705621177524E-2</v>
      </c>
      <c r="H28" s="119">
        <f>H26*(Parámetros!F17+Parámetros!F18)</f>
        <v>6279.2078949088445</v>
      </c>
      <c r="I28" s="155">
        <f t="shared" si="0"/>
        <v>3.5510611405348239E-2</v>
      </c>
      <c r="J28" s="119">
        <f>J26*(Parámetros!F17+Parámetros!F18)</f>
        <v>8390.0825613948418</v>
      </c>
      <c r="K28" s="155">
        <f>+J28/$J$8</f>
        <v>3.7958540820162631E-2</v>
      </c>
    </row>
    <row r="29" spans="1:11" x14ac:dyDescent="0.2">
      <c r="A29" s="51" t="s">
        <v>121</v>
      </c>
      <c r="B29" s="119">
        <f>IF(B26&gt;=0,B26*Resúmen!$B$91,0)</f>
        <v>0</v>
      </c>
      <c r="C29" s="155">
        <f>+B29/$B$8</f>
        <v>0</v>
      </c>
      <c r="D29" s="119">
        <f>IF(D26&gt;=0,D26*Resúmen!$B$91,0)</f>
        <v>0</v>
      </c>
      <c r="E29" s="155">
        <f>+D29/$D$8</f>
        <v>0</v>
      </c>
      <c r="F29" s="119">
        <f>IF(F26&gt;=0,F26*Resúmen!$B$91,0)</f>
        <v>0</v>
      </c>
      <c r="G29" s="155">
        <f>+F29/$F$8</f>
        <v>0</v>
      </c>
      <c r="H29" s="119">
        <f>IF(H26&gt;=0,H26*Resúmen!$B$91,0)</f>
        <v>0</v>
      </c>
      <c r="I29" s="155">
        <f t="shared" si="0"/>
        <v>0</v>
      </c>
      <c r="J29" s="119">
        <f>IF(J26&gt;=0,J26*Resúmen!$B$91,0)</f>
        <v>0</v>
      </c>
      <c r="K29" s="155">
        <f>+J29/$J$8</f>
        <v>0</v>
      </c>
    </row>
    <row r="30" spans="1:11" ht="13.5" thickBot="1" x14ac:dyDescent="0.25">
      <c r="A30" s="137"/>
      <c r="B30" s="138"/>
      <c r="C30" s="152"/>
      <c r="D30" s="138"/>
      <c r="E30" s="152"/>
      <c r="F30" s="138"/>
      <c r="G30" s="152"/>
      <c r="H30" s="138"/>
      <c r="I30" s="152"/>
      <c r="J30" s="138"/>
      <c r="K30" s="152"/>
    </row>
    <row r="31" spans="1:11" s="127" customFormat="1" ht="15.75" thickBot="1" x14ac:dyDescent="0.3">
      <c r="A31" s="158" t="s">
        <v>51</v>
      </c>
      <c r="B31" s="139">
        <f>+B26-B28-B29</f>
        <v>-4899.9256343108063</v>
      </c>
      <c r="C31" s="159">
        <f>+B31/$B$8</f>
        <v>-5.3869015328834723E-2</v>
      </c>
      <c r="D31" s="139">
        <f>+D26-D28-D29</f>
        <v>2726.9566620761152</v>
      </c>
      <c r="E31" s="159">
        <f>+D31/$D$8</f>
        <v>2.2207210838106416E-2</v>
      </c>
      <c r="F31" s="139">
        <f>+F26-F28-F29</f>
        <v>4661.5495548789049</v>
      </c>
      <c r="G31" s="159">
        <f>+F31/$F$8</f>
        <v>3.1634781499932846E-2</v>
      </c>
      <c r="H31" s="139">
        <f>+H26-H28-H29</f>
        <v>12189.050619528936</v>
      </c>
      <c r="I31" s="159">
        <f>+H31/$H$8</f>
        <v>6.8932363316264247E-2</v>
      </c>
      <c r="J31" s="139">
        <f>+J26-J28-J29</f>
        <v>16286.630854472342</v>
      </c>
      <c r="K31" s="159">
        <f>+J31/$J$8</f>
        <v>7.3684226297962757E-2</v>
      </c>
    </row>
    <row r="33" spans="2:11" x14ac:dyDescent="0.2">
      <c r="I33" s="120"/>
    </row>
    <row r="34" spans="2:11" x14ac:dyDescent="0.2">
      <c r="B34" s="160"/>
      <c r="C34" s="160"/>
      <c r="D34" s="160"/>
      <c r="E34" s="160"/>
      <c r="F34" s="160"/>
      <c r="G34" s="160"/>
      <c r="H34" s="160"/>
      <c r="I34" s="160"/>
      <c r="J34" s="160"/>
      <c r="K34" s="160"/>
    </row>
    <row r="36" spans="2:11" x14ac:dyDescent="0.2">
      <c r="B36" s="120"/>
      <c r="D36" s="157"/>
    </row>
    <row r="38" spans="2:11" x14ac:dyDescent="0.2">
      <c r="F38" s="161"/>
    </row>
    <row r="43" spans="2:11" x14ac:dyDescent="0.2">
      <c r="D43" s="155"/>
    </row>
  </sheetData>
  <sheetProtection selectLockedCells="1" selectUnlockedCells="1"/>
  <mergeCells count="3">
    <mergeCell ref="A1:K1"/>
    <mergeCell ref="A3:K3"/>
    <mergeCell ref="A2:K2"/>
  </mergeCells>
  <phoneticPr fontId="10" type="noConversion"/>
  <printOptions horizontalCentered="1" verticalCentered="1"/>
  <pageMargins left="1.1023622047244095" right="0.74803149606299213" top="0.39370078740157483" bottom="0.39370078740157483" header="0.11811023622047245" footer="0.11811023622047245"/>
  <pageSetup paperSize="9" scale="97" orientation="landscape" horizontalDpi="300" verticalDpi="300" r:id="rId1"/>
  <headerFooter alignWithMargins="0"/>
  <ignoredErrors>
    <ignoredError sqref="C16 C19 C26 C29 C13" formula="1"/>
  </ignoredError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opLeftCell="A28" zoomScaleNormal="100" workbookViewId="0">
      <selection activeCell="I64" sqref="I64"/>
    </sheetView>
  </sheetViews>
  <sheetFormatPr baseColWidth="10" defaultColWidth="11.42578125" defaultRowHeight="12.75" x14ac:dyDescent="0.2"/>
  <cols>
    <col min="1" max="1" width="33.28515625" style="51" customWidth="1"/>
    <col min="2" max="2" width="14.7109375" style="51" customWidth="1"/>
    <col min="3" max="3" width="14.140625" style="51" customWidth="1"/>
    <col min="4" max="6" width="15.7109375" style="51" bestFit="1" customWidth="1"/>
    <col min="7" max="16384" width="11.42578125" style="51"/>
  </cols>
  <sheetData>
    <row r="1" spans="1:7" s="162" customFormat="1" ht="33.75" x14ac:dyDescent="0.5">
      <c r="A1" s="392" t="s">
        <v>207</v>
      </c>
      <c r="B1" s="392"/>
      <c r="C1" s="392"/>
      <c r="D1" s="392"/>
      <c r="E1" s="392"/>
      <c r="F1" s="392"/>
    </row>
    <row r="2" spans="1:7" s="150" customFormat="1" ht="23.25" x14ac:dyDescent="0.35">
      <c r="A2" s="394" t="str">
        <f>+Resúmen!A2:G2</f>
        <v>BOLSOS</v>
      </c>
      <c r="B2" s="394"/>
      <c r="C2" s="394"/>
      <c r="D2" s="394"/>
      <c r="E2" s="394"/>
      <c r="F2" s="394"/>
    </row>
    <row r="3" spans="1:7" s="150" customFormat="1" ht="23.25" x14ac:dyDescent="0.35">
      <c r="A3" s="393" t="s">
        <v>188</v>
      </c>
      <c r="B3" s="393"/>
      <c r="C3" s="393"/>
      <c r="D3" s="393"/>
      <c r="E3" s="393"/>
      <c r="F3" s="393"/>
    </row>
    <row r="4" spans="1:7" ht="11.25" customHeight="1" x14ac:dyDescent="0.2"/>
    <row r="5" spans="1:7" ht="23.25" customHeight="1" thickBot="1" x14ac:dyDescent="0.55000000000000004">
      <c r="A5" s="163"/>
      <c r="B5" s="163"/>
      <c r="C5" s="137"/>
      <c r="D5" s="163"/>
      <c r="E5" s="137"/>
      <c r="F5" s="163"/>
    </row>
    <row r="6" spans="1:7" ht="19.5" thickBot="1" x14ac:dyDescent="0.35">
      <c r="A6" s="293" t="s">
        <v>142</v>
      </c>
      <c r="B6" s="293">
        <f>+Resúmen!G5</f>
        <v>2016</v>
      </c>
      <c r="C6" s="293">
        <f>+B6+1</f>
        <v>2017</v>
      </c>
      <c r="D6" s="293">
        <f>+C6+1</f>
        <v>2018</v>
      </c>
      <c r="E6" s="293">
        <f>+D6+1</f>
        <v>2019</v>
      </c>
      <c r="F6" s="293">
        <f>+E6+1</f>
        <v>2020</v>
      </c>
    </row>
    <row r="7" spans="1:7" x14ac:dyDescent="0.2">
      <c r="A7" s="153"/>
      <c r="B7" s="153"/>
      <c r="C7" s="153"/>
      <c r="D7" s="153"/>
      <c r="E7" s="153"/>
      <c r="F7" s="153"/>
    </row>
    <row r="8" spans="1:7" ht="15" x14ac:dyDescent="0.25">
      <c r="A8" s="127" t="s">
        <v>52</v>
      </c>
    </row>
    <row r="9" spans="1:7" ht="15" x14ac:dyDescent="0.25">
      <c r="A9" s="127"/>
    </row>
    <row r="10" spans="1:7" x14ac:dyDescent="0.2">
      <c r="A10" s="51" t="s">
        <v>53</v>
      </c>
      <c r="B10" s="120">
        <f>FLUJO!B40</f>
        <v>15060.58749595884</v>
      </c>
      <c r="C10" s="120">
        <f>FLUJO!C40</f>
        <v>18940.635858312264</v>
      </c>
      <c r="D10" s="120">
        <f>FLUJO!D40</f>
        <v>27167.015177999696</v>
      </c>
      <c r="E10" s="120">
        <f>FLUJO!E40</f>
        <v>39364.148447099971</v>
      </c>
      <c r="F10" s="120">
        <f>FLUJO!F40</f>
        <v>64162.359647894875</v>
      </c>
    </row>
    <row r="11" spans="1:7" x14ac:dyDescent="0.2">
      <c r="A11" s="51" t="s">
        <v>54</v>
      </c>
      <c r="B11" s="120">
        <f>PyG!B8*((Resúmen!F67)/12)</f>
        <v>0</v>
      </c>
      <c r="C11" s="120">
        <f>PyG!D8*((Resúmen!F68)/12)</f>
        <v>0</v>
      </c>
      <c r="D11" s="120">
        <f>PyG!F8*((Resúmen!F69)/12)</f>
        <v>0</v>
      </c>
      <c r="E11" s="120">
        <f>PyG!H8*((Resúmen!F70)/12)</f>
        <v>0</v>
      </c>
      <c r="F11" s="120">
        <f>PyG!J8*((Resúmen!F71)/12)</f>
        <v>0</v>
      </c>
    </row>
    <row r="12" spans="1:7" x14ac:dyDescent="0.2">
      <c r="A12" s="51" t="s">
        <v>55</v>
      </c>
      <c r="B12" s="120">
        <f>(Resúmen!F81/12)*PyG!B9</f>
        <v>2941.132265890345</v>
      </c>
      <c r="C12" s="120">
        <f>(Resúmen!F82/12)*PyG!D9</f>
        <v>4086.1750218340608</v>
      </c>
      <c r="D12" s="120">
        <f>(Resúmen!F83/12)*PyG!F9</f>
        <v>4998.6218713698217</v>
      </c>
      <c r="E12" s="120">
        <f>(Resúmen!F84/12)*PyG!H9</f>
        <v>5768.1739209149691</v>
      </c>
      <c r="F12" s="120">
        <f>(Resúmen!F85/12)*PyG!J9</f>
        <v>7350.2216225251414</v>
      </c>
    </row>
    <row r="13" spans="1:7" x14ac:dyDescent="0.2">
      <c r="A13" s="51" t="s">
        <v>106</v>
      </c>
      <c r="B13" s="120"/>
      <c r="C13" s="120"/>
      <c r="D13" s="120"/>
      <c r="E13" s="120"/>
      <c r="F13" s="120"/>
    </row>
    <row r="14" spans="1:7" x14ac:dyDescent="0.2">
      <c r="A14" s="51" t="s">
        <v>107</v>
      </c>
      <c r="B14" s="120"/>
      <c r="C14" s="120"/>
      <c r="D14" s="120"/>
      <c r="E14" s="120"/>
      <c r="F14" s="120"/>
      <c r="G14" s="164"/>
    </row>
    <row r="15" spans="1:7" x14ac:dyDescent="0.2">
      <c r="A15" s="51" t="s">
        <v>108</v>
      </c>
      <c r="B15" s="120"/>
      <c r="C15" s="120"/>
      <c r="D15" s="120"/>
      <c r="E15" s="120"/>
      <c r="F15" s="120"/>
    </row>
    <row r="16" spans="1:7" x14ac:dyDescent="0.2">
      <c r="A16" s="51" t="s">
        <v>56</v>
      </c>
      <c r="B16" s="120">
        <f>-Resúmen!B90*PyG!B8</f>
        <v>0</v>
      </c>
      <c r="C16" s="120">
        <f>-Resúmen!B90*(PyG!B8+PyG!D8)</f>
        <v>0</v>
      </c>
      <c r="D16" s="120">
        <f>-Resúmen!B90*(PyG!B8+PyG!D8+PyG!F8)</f>
        <v>0</v>
      </c>
      <c r="E16" s="120">
        <f>-Resúmen!B90*(PyG!B8+PyG!D8+PyG!F8+PyG!H8)</f>
        <v>0</v>
      </c>
      <c r="F16" s="120">
        <f>-Resúmen!B90*(PyG!B8+PyG!D8+PyG!F8+PyG!H8+PyG!J8)</f>
        <v>0</v>
      </c>
    </row>
    <row r="17" spans="1:6" x14ac:dyDescent="0.2">
      <c r="B17" s="120"/>
      <c r="C17" s="120"/>
      <c r="D17" s="120"/>
      <c r="E17" s="120"/>
      <c r="F17" s="120"/>
    </row>
    <row r="18" spans="1:6" s="127" customFormat="1" ht="15" x14ac:dyDescent="0.25">
      <c r="A18" s="127" t="s">
        <v>119</v>
      </c>
      <c r="B18" s="156">
        <f>SUM(B10:B16)</f>
        <v>18001.719761849185</v>
      </c>
      <c r="C18" s="156">
        <f>SUM(C10:C16)</f>
        <v>23026.810880146324</v>
      </c>
      <c r="D18" s="156">
        <f>SUM(D10:D16)</f>
        <v>32165.637049369518</v>
      </c>
      <c r="E18" s="156">
        <f>SUM(E10:E16)</f>
        <v>45132.322368014939</v>
      </c>
      <c r="F18" s="156">
        <f>SUM(F10:F16)</f>
        <v>71512.581270420022</v>
      </c>
    </row>
    <row r="19" spans="1:6" x14ac:dyDescent="0.2">
      <c r="B19" s="120"/>
      <c r="C19" s="120"/>
      <c r="D19" s="120"/>
      <c r="E19" s="120"/>
      <c r="F19" s="120"/>
    </row>
    <row r="20" spans="1:6" x14ac:dyDescent="0.2">
      <c r="A20" s="51" t="s">
        <v>183</v>
      </c>
      <c r="B20" s="120">
        <f>Resúmen!F129</f>
        <v>2350</v>
      </c>
      <c r="C20" s="120">
        <f>B20+Resúmen!F130</f>
        <v>2350</v>
      </c>
      <c r="D20" s="120">
        <f>C20+Resúmen!F131</f>
        <v>2350</v>
      </c>
      <c r="E20" s="120">
        <f>D20+Resúmen!F132</f>
        <v>4500</v>
      </c>
      <c r="F20" s="120">
        <f>E20+Resúmen!F133</f>
        <v>4500</v>
      </c>
    </row>
    <row r="21" spans="1:6" x14ac:dyDescent="0.2">
      <c r="A21" s="51" t="s">
        <v>122</v>
      </c>
      <c r="B21" s="120">
        <f>Resúmen!F136</f>
        <v>1100</v>
      </c>
      <c r="C21" s="120">
        <f>B21+Resúmen!F137</f>
        <v>1600</v>
      </c>
      <c r="D21" s="120">
        <f>C21+Resúmen!F138</f>
        <v>2100</v>
      </c>
      <c r="E21" s="120">
        <f>D21+Resúmen!F139</f>
        <v>2600</v>
      </c>
      <c r="F21" s="120">
        <f>E21+Resúmen!F140</f>
        <v>3100</v>
      </c>
    </row>
    <row r="22" spans="1:6" x14ac:dyDescent="0.2">
      <c r="A22" s="51" t="s">
        <v>124</v>
      </c>
      <c r="B22" s="120">
        <f>Resúmen!F143</f>
        <v>0</v>
      </c>
      <c r="C22" s="120">
        <f>B22+Resúmen!F144</f>
        <v>0</v>
      </c>
      <c r="D22" s="120">
        <f>C22+Resúmen!F145</f>
        <v>0</v>
      </c>
      <c r="E22" s="120">
        <f>D22+Resúmen!F146</f>
        <v>0</v>
      </c>
      <c r="F22" s="120">
        <f>E22+Resúmen!F147</f>
        <v>0</v>
      </c>
    </row>
    <row r="23" spans="1:6" x14ac:dyDescent="0.2">
      <c r="A23" s="51" t="s">
        <v>57</v>
      </c>
      <c r="B23" s="120">
        <f>-SUM(B20:B22)/10</f>
        <v>-345</v>
      </c>
      <c r="C23" s="120">
        <f>B23-SUM(C20:C22)/10</f>
        <v>-740</v>
      </c>
      <c r="D23" s="120">
        <f>C23-SUM(D20:D22)/10</f>
        <v>-1185</v>
      </c>
      <c r="E23" s="120">
        <f>D23-SUM(E20:E22)/10</f>
        <v>-1895</v>
      </c>
      <c r="F23" s="120">
        <f>E23-SUM(F20:F22)/10</f>
        <v>-2655</v>
      </c>
    </row>
    <row r="24" spans="1:6" x14ac:dyDescent="0.2">
      <c r="A24" s="51" t="s">
        <v>109</v>
      </c>
      <c r="B24" s="120">
        <f>SUM(B20:B23)</f>
        <v>3105</v>
      </c>
      <c r="C24" s="120">
        <f>SUM(C20:C23)</f>
        <v>3210</v>
      </c>
      <c r="D24" s="120">
        <f>SUM(D20:D23)</f>
        <v>3265</v>
      </c>
      <c r="E24" s="120">
        <f>SUM(E20:E23)</f>
        <v>5205</v>
      </c>
      <c r="F24" s="120">
        <f>SUM(F20:F23)</f>
        <v>4945</v>
      </c>
    </row>
    <row r="25" spans="1:6" x14ac:dyDescent="0.2">
      <c r="A25" s="51" t="s">
        <v>58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</row>
    <row r="26" spans="1:6" x14ac:dyDescent="0.2">
      <c r="A26" s="51" t="s">
        <v>59</v>
      </c>
      <c r="B26" s="120">
        <f>B24*2*Parámetros!F8</f>
        <v>372.59999999999997</v>
      </c>
      <c r="C26" s="120">
        <f>C24*2*Parámetros!G8+B26</f>
        <v>757.8</v>
      </c>
      <c r="D26" s="120">
        <f>D24*2*Parámetros!H8+C26</f>
        <v>1084.3</v>
      </c>
      <c r="E26" s="120">
        <f>E24*2*Parámetros!I8+D26</f>
        <v>1500.7</v>
      </c>
      <c r="F26" s="120">
        <f>F24*2*Parámetros!J8+E26</f>
        <v>1500.7</v>
      </c>
    </row>
    <row r="27" spans="1:6" x14ac:dyDescent="0.2">
      <c r="A27" s="51" t="s">
        <v>60</v>
      </c>
      <c r="B27" s="120">
        <f>SUM(B24:B26)</f>
        <v>3477.6</v>
      </c>
      <c r="C27" s="120">
        <f>SUM(C24:C26)</f>
        <v>3967.8</v>
      </c>
      <c r="D27" s="120">
        <f>SUM(D24:D26)</f>
        <v>4349.3</v>
      </c>
      <c r="E27" s="120">
        <f>SUM(E24:E26)</f>
        <v>6705.7</v>
      </c>
      <c r="F27" s="120">
        <f>SUM(F24:F26)</f>
        <v>6445.7</v>
      </c>
    </row>
    <row r="28" spans="1:6" x14ac:dyDescent="0.2">
      <c r="A28" s="51" t="s">
        <v>58</v>
      </c>
      <c r="B28" s="120">
        <f>(Resúmen!$B$92)*80%</f>
        <v>3993.3544000000002</v>
      </c>
      <c r="C28" s="120">
        <f>(Resúmen!$B$92)*60%</f>
        <v>2995.0158000000001</v>
      </c>
      <c r="D28" s="120">
        <f>(Resúmen!$B$92)*40%</f>
        <v>1996.6772000000001</v>
      </c>
      <c r="E28" s="120">
        <f>(Resúmen!$B$92)*20%</f>
        <v>998.33860000000004</v>
      </c>
      <c r="F28" s="120">
        <f>Resúmen!$B$92*0%</f>
        <v>0</v>
      </c>
    </row>
    <row r="29" spans="1:6" x14ac:dyDescent="0.2">
      <c r="B29" s="120"/>
      <c r="C29" s="120"/>
      <c r="D29" s="120"/>
      <c r="E29" s="120"/>
      <c r="F29" s="120"/>
    </row>
    <row r="30" spans="1:6" s="127" customFormat="1" ht="15" x14ac:dyDescent="0.25">
      <c r="A30" s="127" t="s">
        <v>61</v>
      </c>
      <c r="B30" s="156">
        <f>B18+B27+B28</f>
        <v>25472.674161849183</v>
      </c>
      <c r="C30" s="156">
        <f>C18+C27+C28</f>
        <v>29989.626680146324</v>
      </c>
      <c r="D30" s="156">
        <f>D18+D27+D28</f>
        <v>38511.614249369515</v>
      </c>
      <c r="E30" s="156">
        <f>E18+E27+E28</f>
        <v>52836.360968014938</v>
      </c>
      <c r="F30" s="156">
        <f>F18+F27+F28</f>
        <v>77958.281270420019</v>
      </c>
    </row>
    <row r="31" spans="1:6" x14ac:dyDescent="0.2">
      <c r="C31" s="120"/>
    </row>
    <row r="32" spans="1:6" ht="15" x14ac:dyDescent="0.25">
      <c r="A32" s="127" t="s">
        <v>62</v>
      </c>
      <c r="B32" s="120"/>
    </row>
    <row r="33" spans="1:6" x14ac:dyDescent="0.2">
      <c r="A33" s="136"/>
      <c r="C33" s="120"/>
    </row>
    <row r="34" spans="1:6" x14ac:dyDescent="0.2">
      <c r="A34" s="51" t="s">
        <v>105</v>
      </c>
      <c r="B34" s="120">
        <f>B12+PyG!B9-FLUJO!B15</f>
        <v>0</v>
      </c>
      <c r="C34" s="120">
        <f>C12+(PyG!D9-B12)-FLUJO!C15</f>
        <v>0</v>
      </c>
      <c r="D34" s="120">
        <f>D12+(PyG!F9-C12)-FLUJO!D15</f>
        <v>2537.3295544155699</v>
      </c>
      <c r="E34" s="120">
        <f>E12+(PyG!H9-D12)-FLUJO!E15</f>
        <v>378.8220747729647</v>
      </c>
      <c r="F34" s="120">
        <f>F12+(PyG!J9-E12)-FLUJO!F15</f>
        <v>7103.2368562196934</v>
      </c>
    </row>
    <row r="35" spans="1:6" x14ac:dyDescent="0.2">
      <c r="A35" s="51" t="s">
        <v>63</v>
      </c>
      <c r="B35" s="120">
        <f>FLUJO!B25</f>
        <v>0</v>
      </c>
      <c r="C35" s="120">
        <v>0</v>
      </c>
      <c r="D35" s="120">
        <v>0</v>
      </c>
      <c r="E35" s="120">
        <v>0</v>
      </c>
      <c r="F35" s="120">
        <v>0</v>
      </c>
    </row>
    <row r="36" spans="1:6" x14ac:dyDescent="0.2">
      <c r="A36" s="51" t="s">
        <v>64</v>
      </c>
      <c r="B36" s="120">
        <f>PyG!B28</f>
        <v>0</v>
      </c>
      <c r="C36" s="120">
        <f>PyG!D28</f>
        <v>1404.7958562210288</v>
      </c>
      <c r="D36" s="120">
        <f>PyG!F28</f>
        <v>2401.4043161497384</v>
      </c>
      <c r="E36" s="120">
        <f>PyG!H28</f>
        <v>6279.2078949088445</v>
      </c>
      <c r="F36" s="120">
        <f>PyG!J28</f>
        <v>8390.0825613948418</v>
      </c>
    </row>
    <row r="37" spans="1:6" x14ac:dyDescent="0.2">
      <c r="A37" s="51" t="s">
        <v>65</v>
      </c>
      <c r="B37" s="120"/>
      <c r="C37" s="120">
        <v>0</v>
      </c>
      <c r="D37" s="120">
        <v>0</v>
      </c>
      <c r="E37" s="120">
        <v>0</v>
      </c>
      <c r="F37" s="120">
        <v>0</v>
      </c>
    </row>
    <row r="38" spans="1:6" x14ac:dyDescent="0.2">
      <c r="B38" s="120"/>
      <c r="C38" s="120"/>
      <c r="D38" s="120"/>
      <c r="E38" s="120"/>
      <c r="F38" s="120"/>
    </row>
    <row r="39" spans="1:6" s="127" customFormat="1" ht="15" x14ac:dyDescent="0.25">
      <c r="A39" s="127" t="s">
        <v>66</v>
      </c>
      <c r="B39" s="156">
        <f>SUM(B34:B37)</f>
        <v>0</v>
      </c>
      <c r="C39" s="156">
        <f>SUM(C34:C37)</f>
        <v>1404.7958562210288</v>
      </c>
      <c r="D39" s="156">
        <f>SUM(D34:D37)</f>
        <v>4938.7338705653083</v>
      </c>
      <c r="E39" s="156">
        <f>SUM(E34:E37)</f>
        <v>6658.0299696818092</v>
      </c>
      <c r="F39" s="156">
        <f>SUM(F34:F37)</f>
        <v>15493.319417614535</v>
      </c>
    </row>
    <row r="40" spans="1:6" s="136" customFormat="1" x14ac:dyDescent="0.2">
      <c r="B40" s="165"/>
      <c r="C40" s="165"/>
      <c r="D40" s="165"/>
      <c r="E40" s="165"/>
      <c r="F40" s="165"/>
    </row>
    <row r="41" spans="1:6" x14ac:dyDescent="0.2">
      <c r="A41" s="51" t="s">
        <v>67</v>
      </c>
      <c r="B41" s="120">
        <f>FLUJO!B38</f>
        <v>0</v>
      </c>
      <c r="C41" s="120">
        <f>FLUJO!C38-FLUJO!C25+B41</f>
        <v>0</v>
      </c>
      <c r="D41" s="120">
        <f>FLUJO!D38-FLUJO!D25+C41</f>
        <v>0</v>
      </c>
      <c r="E41" s="120">
        <f>FLUJO!E38-FLUJO!E25+D41</f>
        <v>0</v>
      </c>
      <c r="F41" s="120">
        <f>FLUJO!F38-FLUJO!F25+E41</f>
        <v>0</v>
      </c>
    </row>
    <row r="42" spans="1:6" x14ac:dyDescent="0.2">
      <c r="A42" s="136"/>
      <c r="B42" s="165"/>
      <c r="C42" s="165"/>
      <c r="D42" s="165"/>
      <c r="E42" s="165"/>
      <c r="F42" s="165"/>
    </row>
    <row r="43" spans="1:6" s="127" customFormat="1" ht="15" x14ac:dyDescent="0.25">
      <c r="A43" s="127" t="s">
        <v>68</v>
      </c>
      <c r="B43" s="156">
        <f>+B39+B41</f>
        <v>0</v>
      </c>
      <c r="C43" s="156">
        <f>+C39+C41</f>
        <v>1404.7958562210288</v>
      </c>
      <c r="D43" s="156">
        <f>+D39+D41</f>
        <v>4938.7338705653083</v>
      </c>
      <c r="E43" s="156">
        <f>+E39+E41</f>
        <v>6658.0299696818092</v>
      </c>
      <c r="F43" s="156">
        <f>+F39+F41</f>
        <v>15493.319417614535</v>
      </c>
    </row>
    <row r="45" spans="1:6" s="50" customFormat="1" ht="15" x14ac:dyDescent="0.25">
      <c r="A45" s="127" t="s">
        <v>69</v>
      </c>
    </row>
    <row r="46" spans="1:6" x14ac:dyDescent="0.2">
      <c r="A46" s="51" t="s">
        <v>264</v>
      </c>
      <c r="B46" s="131">
        <f>FLUJO!B36</f>
        <v>0</v>
      </c>
      <c r="C46" s="131">
        <f>B46+FLUJO!C36</f>
        <v>0</v>
      </c>
      <c r="D46" s="131">
        <f>C46+FLUJO!D36</f>
        <v>0</v>
      </c>
      <c r="E46" s="131">
        <f>D46+FLUJO!E36</f>
        <v>0</v>
      </c>
      <c r="F46" s="131">
        <f>E46+FLUJO!F36</f>
        <v>0</v>
      </c>
    </row>
    <row r="47" spans="1:6" x14ac:dyDescent="0.2">
      <c r="A47" s="51" t="s">
        <v>70</v>
      </c>
      <c r="B47" s="131">
        <f>FLUJO!B37</f>
        <v>29999.999796160002</v>
      </c>
      <c r="C47" s="131">
        <f>B47+FLUJO!C37</f>
        <v>29999.999796160002</v>
      </c>
      <c r="D47" s="131">
        <f>C47+FLUJO!D37</f>
        <v>29999.999796160002</v>
      </c>
      <c r="E47" s="131">
        <f>D47+FLUJO!E37</f>
        <v>29999.999796160002</v>
      </c>
      <c r="F47" s="131">
        <f>E47+FLUJO!F37</f>
        <v>29999.999796160002</v>
      </c>
    </row>
    <row r="48" spans="1:6" x14ac:dyDescent="0.2">
      <c r="A48" s="51" t="s">
        <v>71</v>
      </c>
      <c r="B48" s="120">
        <f>PyG!B29</f>
        <v>0</v>
      </c>
      <c r="C48" s="120">
        <f>B48+PyG!D29</f>
        <v>0</v>
      </c>
      <c r="D48" s="120">
        <f>C48+PyG!F29</f>
        <v>0</v>
      </c>
      <c r="E48" s="120">
        <f>D48+PyG!H29</f>
        <v>0</v>
      </c>
      <c r="F48" s="120">
        <f>E48+PyG!J29</f>
        <v>0</v>
      </c>
    </row>
    <row r="49" spans="1:8" x14ac:dyDescent="0.2">
      <c r="A49" s="51" t="s">
        <v>72</v>
      </c>
      <c r="B49" s="120">
        <v>0</v>
      </c>
      <c r="C49" s="120">
        <f>B50-FLUJO!C18</f>
        <v>-4899.9256343108063</v>
      </c>
      <c r="D49" s="120">
        <f>C49+C50-FLUJO!D18</f>
        <v>-2172.9689722346911</v>
      </c>
      <c r="E49" s="120">
        <f>D49+D50-FLUJO!E18</f>
        <v>2488.5805826442138</v>
      </c>
      <c r="F49" s="120">
        <f>E49+E50-FLUJO!F18</f>
        <v>14677.63120217315</v>
      </c>
    </row>
    <row r="50" spans="1:8" x14ac:dyDescent="0.2">
      <c r="A50" s="51" t="s">
        <v>73</v>
      </c>
      <c r="B50" s="120">
        <f>PyG!B31</f>
        <v>-4899.9256343108063</v>
      </c>
      <c r="C50" s="120">
        <f>PyG!D31</f>
        <v>2726.9566620761152</v>
      </c>
      <c r="D50" s="120">
        <f>PyG!F31</f>
        <v>4661.5495548789049</v>
      </c>
      <c r="E50" s="120">
        <f>PyG!H31</f>
        <v>12189.050619528936</v>
      </c>
      <c r="F50" s="120">
        <f>PyG!J31</f>
        <v>16286.630854472342</v>
      </c>
    </row>
    <row r="51" spans="1:8" x14ac:dyDescent="0.2">
      <c r="A51" s="51" t="s">
        <v>59</v>
      </c>
      <c r="B51" s="120">
        <f>B26</f>
        <v>372.59999999999997</v>
      </c>
      <c r="C51" s="120">
        <f>C26</f>
        <v>757.8</v>
      </c>
      <c r="D51" s="120">
        <f>D26</f>
        <v>1084.3</v>
      </c>
      <c r="E51" s="120">
        <f>E26</f>
        <v>1500.7</v>
      </c>
      <c r="F51" s="120">
        <f>F26</f>
        <v>1500.7</v>
      </c>
    </row>
    <row r="52" spans="1:8" x14ac:dyDescent="0.2">
      <c r="B52" s="120"/>
      <c r="C52" s="120"/>
      <c r="D52" s="120"/>
      <c r="E52" s="120"/>
      <c r="F52" s="120"/>
    </row>
    <row r="53" spans="1:8" s="127" customFormat="1" ht="15" x14ac:dyDescent="0.25">
      <c r="A53" s="127" t="s">
        <v>74</v>
      </c>
      <c r="B53" s="156">
        <f>SUM(B46:B51)</f>
        <v>25472.674161849194</v>
      </c>
      <c r="C53" s="156">
        <f>SUM(C46:C51)</f>
        <v>28584.830823925309</v>
      </c>
      <c r="D53" s="156">
        <f>SUM(D46:D51)</f>
        <v>33572.880378804213</v>
      </c>
      <c r="E53" s="156">
        <f>SUM(E46:E51)</f>
        <v>46178.330998333149</v>
      </c>
      <c r="F53" s="156">
        <f>SUM(F46:F51)</f>
        <v>62464.961852805493</v>
      </c>
    </row>
    <row r="54" spans="1:8" x14ac:dyDescent="0.2">
      <c r="B54" s="120"/>
      <c r="C54" s="120"/>
      <c r="D54" s="120"/>
    </row>
    <row r="55" spans="1:8" s="127" customFormat="1" ht="15" x14ac:dyDescent="0.25">
      <c r="A55" s="127" t="s">
        <v>75</v>
      </c>
      <c r="B55" s="156">
        <f>B43+B53</f>
        <v>25472.674161849194</v>
      </c>
      <c r="C55" s="156">
        <f>C43+C53</f>
        <v>29989.626680146339</v>
      </c>
      <c r="D55" s="156">
        <f>D43+D53</f>
        <v>38511.614249369522</v>
      </c>
      <c r="E55" s="156">
        <f>E43+E53</f>
        <v>52836.36096801496</v>
      </c>
      <c r="F55" s="156">
        <f>F43+F53</f>
        <v>77958.281270420033</v>
      </c>
    </row>
    <row r="56" spans="1:8" ht="13.5" thickBot="1" x14ac:dyDescent="0.25">
      <c r="A56" s="137"/>
      <c r="B56" s="137"/>
      <c r="C56" s="166"/>
      <c r="D56" s="166"/>
      <c r="E56" s="166"/>
      <c r="F56" s="166"/>
    </row>
    <row r="57" spans="1:8" s="143" customFormat="1" ht="15.75" x14ac:dyDescent="0.25">
      <c r="B57" s="167"/>
      <c r="C57" s="51"/>
      <c r="D57" s="167"/>
      <c r="E57" s="167"/>
      <c r="F57" s="167"/>
    </row>
    <row r="58" spans="1:8" x14ac:dyDescent="0.2">
      <c r="C58" s="120"/>
      <c r="D58" s="120"/>
      <c r="E58" s="120"/>
      <c r="F58" s="120"/>
      <c r="H58" s="51" t="s">
        <v>43</v>
      </c>
    </row>
    <row r="59" spans="1:8" x14ac:dyDescent="0.2">
      <c r="A59" s="51" t="s">
        <v>76</v>
      </c>
      <c r="B59" s="168">
        <f>+B55-B30</f>
        <v>0</v>
      </c>
      <c r="C59" s="168">
        <f>+C55-C30</f>
        <v>0</v>
      </c>
      <c r="D59" s="168">
        <f>+D55-D30</f>
        <v>0</v>
      </c>
      <c r="E59" s="168">
        <f>+E55-E30</f>
        <v>0</v>
      </c>
      <c r="F59" s="168">
        <f>+F55-F30</f>
        <v>0</v>
      </c>
    </row>
    <row r="60" spans="1:8" x14ac:dyDescent="0.2">
      <c r="B60" s="120"/>
      <c r="C60" s="120"/>
      <c r="D60" s="120"/>
      <c r="E60" s="120"/>
      <c r="F60" s="120"/>
    </row>
    <row r="61" spans="1:8" x14ac:dyDescent="0.2">
      <c r="B61" s="168"/>
    </row>
    <row r="63" spans="1:8" x14ac:dyDescent="0.2">
      <c r="B63" s="168"/>
    </row>
    <row r="64" spans="1:8" ht="18.75" x14ac:dyDescent="0.3">
      <c r="B64" s="169"/>
      <c r="C64" s="169"/>
      <c r="D64" s="169"/>
    </row>
    <row r="70" spans="1:6" s="136" customFormat="1" x14ac:dyDescent="0.2">
      <c r="A70" s="51"/>
      <c r="B70" s="51"/>
      <c r="C70" s="51"/>
      <c r="D70" s="51"/>
      <c r="E70" s="51"/>
      <c r="F70" s="51"/>
    </row>
  </sheetData>
  <sheetProtection selectLockedCells="1" selectUnlockedCells="1"/>
  <mergeCells count="3">
    <mergeCell ref="A1:F1"/>
    <mergeCell ref="A3:F3"/>
    <mergeCell ref="A2:F2"/>
  </mergeCells>
  <phoneticPr fontId="10" type="noConversion"/>
  <printOptions horizontalCentered="1" verticalCentered="1"/>
  <pageMargins left="0.19685039370078741" right="0.19685039370078741" top="1.01" bottom="0.19685039370078741" header="0" footer="0"/>
  <pageSetup paperSize="9" scale="95" orientation="portrait" horizontalDpi="300" verticalDpi="300" r:id="rId1"/>
  <headerFooter alignWithMargins="0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opLeftCell="A8" zoomScale="115" zoomScaleNormal="115" workbookViewId="0">
      <selection activeCell="C39" sqref="C39"/>
    </sheetView>
  </sheetViews>
  <sheetFormatPr baseColWidth="10" defaultColWidth="11.42578125" defaultRowHeight="12.75" x14ac:dyDescent="0.2"/>
  <cols>
    <col min="1" max="1" width="40" style="17" customWidth="1"/>
    <col min="2" max="3" width="13" style="174" bestFit="1" customWidth="1"/>
    <col min="4" max="5" width="12" style="174" bestFit="1" customWidth="1"/>
    <col min="6" max="6" width="12.140625" style="174" bestFit="1" customWidth="1"/>
    <col min="7" max="16384" width="11.42578125" style="17"/>
  </cols>
  <sheetData>
    <row r="1" spans="1:6" ht="33.75" x14ac:dyDescent="0.5">
      <c r="A1" s="389" t="str">
        <f>+BALANCE!A1</f>
        <v>Modelo Financiero</v>
      </c>
      <c r="B1" s="389"/>
      <c r="C1" s="389"/>
      <c r="D1" s="389"/>
      <c r="E1" s="389"/>
      <c r="F1" s="389"/>
    </row>
    <row r="2" spans="1:6" ht="23.25" x14ac:dyDescent="0.35">
      <c r="A2" s="391" t="str">
        <f>+Resúmen!A2:G2</f>
        <v>BOLSOS</v>
      </c>
      <c r="B2" s="391"/>
      <c r="C2" s="391"/>
      <c r="D2" s="391"/>
      <c r="E2" s="391"/>
      <c r="F2" s="391"/>
    </row>
    <row r="3" spans="1:6" ht="23.25" x14ac:dyDescent="0.35">
      <c r="A3" s="390" t="s">
        <v>189</v>
      </c>
      <c r="B3" s="390"/>
      <c r="C3" s="390"/>
      <c r="D3" s="390"/>
      <c r="E3" s="390"/>
      <c r="F3" s="390"/>
    </row>
    <row r="4" spans="1:6" ht="15" customHeight="1" x14ac:dyDescent="0.5">
      <c r="A4" s="171"/>
      <c r="B4" s="171"/>
      <c r="C4" s="171"/>
      <c r="D4" s="171"/>
      <c r="E4" s="171"/>
      <c r="F4" s="171"/>
    </row>
    <row r="5" spans="1:6" ht="13.5" thickBot="1" x14ac:dyDescent="0.25">
      <c r="A5" s="104"/>
      <c r="B5" s="172"/>
      <c r="C5" s="172"/>
      <c r="D5" s="172"/>
      <c r="E5" s="172"/>
      <c r="F5" s="172"/>
    </row>
    <row r="6" spans="1:6" s="173" customFormat="1" ht="19.5" thickBot="1" x14ac:dyDescent="0.35">
      <c r="A6" s="293" t="s">
        <v>142</v>
      </c>
      <c r="B6" s="293">
        <f>+Resúmen!G5</f>
        <v>2016</v>
      </c>
      <c r="C6" s="293">
        <f>+B6+1</f>
        <v>2017</v>
      </c>
      <c r="D6" s="293">
        <f>+C6+1</f>
        <v>2018</v>
      </c>
      <c r="E6" s="293">
        <f>+D6+1</f>
        <v>2019</v>
      </c>
      <c r="F6" s="293">
        <f>+E6+1</f>
        <v>2020</v>
      </c>
    </row>
    <row r="8" spans="1:6" ht="15" x14ac:dyDescent="0.25">
      <c r="A8" s="396" t="s">
        <v>129</v>
      </c>
      <c r="B8" s="396"/>
      <c r="C8" s="396"/>
      <c r="D8" s="396"/>
      <c r="E8" s="396"/>
      <c r="F8" s="396"/>
    </row>
    <row r="9" spans="1:6" ht="19.5" thickBot="1" x14ac:dyDescent="0.35">
      <c r="A9" s="35"/>
    </row>
    <row r="10" spans="1:6" ht="15.75" thickBot="1" x14ac:dyDescent="0.3">
      <c r="A10" s="175" t="s">
        <v>111</v>
      </c>
      <c r="B10" s="176">
        <f>(1+(AVERAGE(Parámetros!B8:I8)))*(1+(AVERAGE(Parámetros!B7:I7)))-1</f>
        <v>0.10305079499999992</v>
      </c>
    </row>
    <row r="11" spans="1:6" x14ac:dyDescent="0.2">
      <c r="A11" s="14"/>
      <c r="B11" s="177"/>
      <c r="C11" s="177"/>
      <c r="D11" s="177"/>
      <c r="E11" s="177"/>
      <c r="F11" s="177"/>
    </row>
    <row r="12" spans="1:6" x14ac:dyDescent="0.2">
      <c r="A12" s="133" t="s">
        <v>77</v>
      </c>
      <c r="B12" s="178">
        <f>BALANCE!B43</f>
        <v>0</v>
      </c>
      <c r="C12" s="178">
        <f>BALANCE!C43</f>
        <v>1404.7958562210288</v>
      </c>
      <c r="D12" s="178">
        <f>BALANCE!D43</f>
        <v>4938.7338705653083</v>
      </c>
      <c r="E12" s="178">
        <f>BALANCE!E43</f>
        <v>6658.0299696818092</v>
      </c>
      <c r="F12" s="178">
        <f>BALANCE!F43</f>
        <v>15493.319417614535</v>
      </c>
    </row>
    <row r="13" spans="1:6" x14ac:dyDescent="0.2">
      <c r="A13" s="133"/>
      <c r="B13" s="178"/>
      <c r="C13" s="178"/>
      <c r="D13" s="178"/>
      <c r="E13" s="178"/>
      <c r="F13" s="178"/>
    </row>
    <row r="14" spans="1:6" x14ac:dyDescent="0.2">
      <c r="A14" s="133" t="s">
        <v>78</v>
      </c>
      <c r="B14" s="178">
        <f>BALANCE!B43-VEA!B12</f>
        <v>0</v>
      </c>
      <c r="C14" s="178">
        <f>BALANCE!C43-VEA!C12</f>
        <v>0</v>
      </c>
      <c r="D14" s="178">
        <f>BALANCE!D43-VEA!D12</f>
        <v>0</v>
      </c>
      <c r="E14" s="178">
        <f>BALANCE!E43-VEA!E12</f>
        <v>0</v>
      </c>
      <c r="F14" s="178">
        <f>BALANCE!F43-VEA!F12</f>
        <v>0</v>
      </c>
    </row>
    <row r="15" spans="1:6" x14ac:dyDescent="0.2">
      <c r="A15" s="133"/>
      <c r="B15" s="178"/>
      <c r="C15" s="178"/>
      <c r="D15" s="178"/>
      <c r="E15" s="178"/>
      <c r="F15" s="178"/>
    </row>
    <row r="16" spans="1:6" x14ac:dyDescent="0.2">
      <c r="A16" s="133" t="s">
        <v>79</v>
      </c>
      <c r="B16" s="178">
        <f>BALANCE!B53</f>
        <v>25472.674161849194</v>
      </c>
      <c r="C16" s="178">
        <f>BALANCE!C53</f>
        <v>28584.830823925309</v>
      </c>
      <c r="D16" s="178">
        <f>BALANCE!D53</f>
        <v>33572.880378804213</v>
      </c>
      <c r="E16" s="178">
        <f>BALANCE!E53</f>
        <v>46178.330998333149</v>
      </c>
      <c r="F16" s="178">
        <f>BALANCE!F53</f>
        <v>62464.961852805493</v>
      </c>
    </row>
    <row r="17" spans="1:6" x14ac:dyDescent="0.2">
      <c r="A17" s="133"/>
      <c r="B17" s="177"/>
      <c r="C17" s="177"/>
      <c r="D17" s="177"/>
      <c r="E17" s="177"/>
      <c r="F17" s="177"/>
    </row>
    <row r="18" spans="1:6" x14ac:dyDescent="0.2">
      <c r="A18" s="133" t="s">
        <v>80</v>
      </c>
      <c r="B18" s="179">
        <f>((B16*((1+$B$10)*(1+Parámetros!E8)-1))+(B14*((1-Parámetros!E18)*(Parámetros!E13+Parámetros!E14))))/BALANCE!B30</f>
        <v>0.19129485860000014</v>
      </c>
      <c r="C18" s="179">
        <f>((C16*((1+$B$10)*(1+Parámetros!F8)-1))+(C14*((1-Parámetros!F18)*(Parámetros!F13+Parámetros!F14))))/BALANCE!C30</f>
        <v>0.16130646822838954</v>
      </c>
      <c r="D18" s="179">
        <f>((D16*((1+$B$10)*(1+Parámetros!G8)-1))+(D14*((1-Parámetros!G18)*(Parámetros!G13+Parámetros!G14))))/BALANCE!D30</f>
        <v>0.14753127511671324</v>
      </c>
      <c r="E18" s="179">
        <f>((E16*((1+$B$10)*(1+Parámetros!H8)-1))+(E14*((1-Parámetros!H18)*(Parámetros!H13+Parámetros!H14))))/BALANCE!E30</f>
        <v>0.13826777286096797</v>
      </c>
      <c r="F18" s="179">
        <f>((F16*((1+$B$10)*(1+Parámetros!I8)-1))+(F14*((1-Parámetros!I18)*(Parámetros!I13+Parámetros!I14))))/BALANCE!F30</f>
        <v>0.11792390573546072</v>
      </c>
    </row>
    <row r="19" spans="1:6" x14ac:dyDescent="0.2">
      <c r="A19" s="133"/>
      <c r="B19" s="177"/>
      <c r="C19" s="177"/>
      <c r="D19" s="177"/>
      <c r="E19" s="177"/>
      <c r="F19" s="177"/>
    </row>
    <row r="20" spans="1:6" x14ac:dyDescent="0.2">
      <c r="A20" s="133"/>
      <c r="B20" s="177"/>
      <c r="C20" s="177"/>
      <c r="D20" s="177"/>
      <c r="E20" s="177"/>
      <c r="F20" s="177"/>
    </row>
    <row r="21" spans="1:6" ht="15" x14ac:dyDescent="0.25">
      <c r="A21" s="395" t="s">
        <v>130</v>
      </c>
      <c r="B21" s="395"/>
      <c r="C21" s="395"/>
      <c r="D21" s="395"/>
      <c r="E21" s="395"/>
      <c r="F21" s="395"/>
    </row>
    <row r="22" spans="1:6" x14ac:dyDescent="0.2">
      <c r="A22" s="133"/>
      <c r="B22" s="177"/>
      <c r="C22" s="177"/>
      <c r="D22" s="177"/>
      <c r="E22" s="177"/>
      <c r="F22" s="177"/>
    </row>
    <row r="23" spans="1:6" x14ac:dyDescent="0.2">
      <c r="A23" s="133" t="s">
        <v>81</v>
      </c>
      <c r="B23" s="178">
        <f>BALANCE!B30</f>
        <v>25472.674161849183</v>
      </c>
      <c r="C23" s="178">
        <f>BALANCE!C30</f>
        <v>29989.626680146324</v>
      </c>
      <c r="D23" s="178">
        <f>BALANCE!D30</f>
        <v>38511.614249369515</v>
      </c>
      <c r="E23" s="178">
        <f>BALANCE!E30</f>
        <v>52836.360968014938</v>
      </c>
      <c r="F23" s="178">
        <f>BALANCE!F30</f>
        <v>77958.281270420019</v>
      </c>
    </row>
    <row r="24" spans="1:6" x14ac:dyDescent="0.2">
      <c r="A24" s="133"/>
      <c r="B24" s="178"/>
      <c r="C24" s="178"/>
      <c r="D24" s="178"/>
      <c r="E24" s="178"/>
      <c r="F24" s="178"/>
    </row>
    <row r="25" spans="1:6" x14ac:dyDescent="0.2">
      <c r="A25" s="133" t="s">
        <v>82</v>
      </c>
      <c r="B25" s="178">
        <f>B12</f>
        <v>0</v>
      </c>
      <c r="C25" s="178">
        <f>C12</f>
        <v>1404.7958562210288</v>
      </c>
      <c r="D25" s="178">
        <f>D12</f>
        <v>4938.7338705653083</v>
      </c>
      <c r="E25" s="178">
        <f>E12</f>
        <v>6658.0299696818092</v>
      </c>
      <c r="F25" s="178">
        <f>F12</f>
        <v>15493.319417614535</v>
      </c>
    </row>
    <row r="26" spans="1:6" x14ac:dyDescent="0.2">
      <c r="A26" s="133"/>
      <c r="B26" s="178"/>
      <c r="C26" s="178"/>
      <c r="D26" s="178"/>
      <c r="E26" s="178"/>
      <c r="F26" s="178"/>
    </row>
    <row r="27" spans="1:6" x14ac:dyDescent="0.2">
      <c r="A27" s="133" t="s">
        <v>83</v>
      </c>
      <c r="B27" s="178">
        <f>B23</f>
        <v>25472.674161849183</v>
      </c>
      <c r="C27" s="178">
        <f>C23</f>
        <v>29989.626680146324</v>
      </c>
      <c r="D27" s="178">
        <f>D23</f>
        <v>38511.614249369515</v>
      </c>
      <c r="E27" s="178">
        <f>E23</f>
        <v>52836.360968014938</v>
      </c>
      <c r="F27" s="178">
        <f>F23</f>
        <v>77958.281270420019</v>
      </c>
    </row>
    <row r="28" spans="1:6" x14ac:dyDescent="0.2">
      <c r="A28" s="133"/>
      <c r="B28" s="178"/>
      <c r="C28" s="178"/>
      <c r="D28" s="178"/>
      <c r="E28" s="178"/>
      <c r="F28" s="178"/>
    </row>
    <row r="29" spans="1:6" x14ac:dyDescent="0.2">
      <c r="A29" s="133" t="s">
        <v>84</v>
      </c>
      <c r="B29" s="178">
        <f>PyG!B19+PyG!B21</f>
        <v>-4899.9256343108063</v>
      </c>
      <c r="C29" s="178">
        <f>PyG!D19+PyG!D21</f>
        <v>4131.752518297144</v>
      </c>
      <c r="D29" s="178">
        <f>PyG!F19+PyG!F21</f>
        <v>7062.9538710286433</v>
      </c>
      <c r="E29" s="178">
        <f>PyG!H19+PyG!H21</f>
        <v>18468.258514437781</v>
      </c>
      <c r="F29" s="178">
        <f>PyG!J19+PyG!J21</f>
        <v>24676.713415867183</v>
      </c>
    </row>
    <row r="30" spans="1:6" x14ac:dyDescent="0.2">
      <c r="A30" s="133"/>
      <c r="B30" s="178"/>
      <c r="C30" s="178"/>
      <c r="D30" s="178"/>
      <c r="E30" s="178"/>
      <c r="F30" s="178"/>
    </row>
    <row r="31" spans="1:6" x14ac:dyDescent="0.2">
      <c r="A31" s="133" t="s">
        <v>85</v>
      </c>
      <c r="B31" s="178">
        <f>IF(B29&lt;0,0,B29*Parámetros!E18)</f>
        <v>0</v>
      </c>
      <c r="C31" s="178">
        <f>IF(C29&lt;0,0,C29*Parámetros!F18)</f>
        <v>371.85772664674295</v>
      </c>
      <c r="D31" s="178">
        <f>IF(D29&lt;0,0,D29*Parámetros!G18)</f>
        <v>635.66584839257791</v>
      </c>
      <c r="E31" s="178">
        <f>IF(E29&lt;0,0,E29*Parámetros!H18)</f>
        <v>1662.1432662994002</v>
      </c>
      <c r="F31" s="178">
        <f>IF(F29&lt;0,0,F29*Parámetros!I18)</f>
        <v>2220.9042074280464</v>
      </c>
    </row>
    <row r="32" spans="1:6" x14ac:dyDescent="0.2">
      <c r="A32" s="133"/>
      <c r="B32" s="178"/>
      <c r="C32" s="178"/>
      <c r="D32" s="178"/>
      <c r="E32" s="178"/>
      <c r="F32" s="178"/>
    </row>
    <row r="33" spans="1:6" x14ac:dyDescent="0.2">
      <c r="A33" s="133" t="s">
        <v>114</v>
      </c>
      <c r="B33" s="178">
        <f>B29-B31</f>
        <v>-4899.9256343108063</v>
      </c>
      <c r="C33" s="178">
        <f>C29-C31</f>
        <v>3759.8947916504012</v>
      </c>
      <c r="D33" s="178">
        <f>D29-D31</f>
        <v>6427.2880226360658</v>
      </c>
      <c r="E33" s="178">
        <f>E29-E31</f>
        <v>16806.11524813838</v>
      </c>
      <c r="F33" s="178">
        <f>F29-F31</f>
        <v>22455.809208439136</v>
      </c>
    </row>
    <row r="34" spans="1:6" x14ac:dyDescent="0.2">
      <c r="A34" s="133"/>
      <c r="B34" s="177"/>
      <c r="C34" s="177"/>
      <c r="D34" s="177"/>
      <c r="E34" s="177"/>
      <c r="F34" s="177"/>
    </row>
    <row r="35" spans="1:6" x14ac:dyDescent="0.2">
      <c r="A35" s="133" t="s">
        <v>86</v>
      </c>
      <c r="B35" s="179">
        <f>B33/B27</f>
        <v>-0.19236007979285899</v>
      </c>
      <c r="C35" s="179">
        <f>C33/C27</f>
        <v>0.12537317759075406</v>
      </c>
      <c r="D35" s="179">
        <f>D33/D27</f>
        <v>0.16689219987036219</v>
      </c>
      <c r="E35" s="179">
        <f>E33/E27</f>
        <v>0.31807859095958829</v>
      </c>
      <c r="F35" s="179">
        <f>F33/F27</f>
        <v>0.28804905447498136</v>
      </c>
    </row>
    <row r="36" spans="1:6" ht="13.5" thickBot="1" x14ac:dyDescent="0.25">
      <c r="A36" s="180"/>
      <c r="B36" s="172"/>
      <c r="C36" s="172"/>
      <c r="D36" s="172"/>
      <c r="E36" s="172"/>
      <c r="F36" s="172"/>
    </row>
    <row r="37" spans="1:6" s="70" customFormat="1" ht="16.5" thickBot="1" x14ac:dyDescent="0.3">
      <c r="A37" s="144" t="s">
        <v>143</v>
      </c>
      <c r="B37" s="181">
        <f>(B35-B18)*B27</f>
        <v>-9772.7172362656238</v>
      </c>
      <c r="C37" s="181">
        <f>(C35-C18)*C27</f>
        <v>-1077.625971611885</v>
      </c>
      <c r="D37" s="181">
        <f>(D35-D18)*D27</f>
        <v>745.62046562359785</v>
      </c>
      <c r="E37" s="181">
        <f>(E35-E18)*E27</f>
        <v>9500.5492910127759</v>
      </c>
      <c r="F37" s="181">
        <f>(F35-F18)*F27</f>
        <v>13262.664196607591</v>
      </c>
    </row>
    <row r="38" spans="1:6" x14ac:dyDescent="0.2">
      <c r="A38" s="14"/>
      <c r="B38" s="177"/>
      <c r="C38" s="177"/>
      <c r="D38" s="177"/>
      <c r="E38" s="177"/>
      <c r="F38" s="177"/>
    </row>
  </sheetData>
  <sheetProtection selectLockedCells="1" selectUnlockedCells="1"/>
  <mergeCells count="5">
    <mergeCell ref="A1:F1"/>
    <mergeCell ref="A3:F3"/>
    <mergeCell ref="A21:F21"/>
    <mergeCell ref="A8:F8"/>
    <mergeCell ref="A2:F2"/>
  </mergeCells>
  <phoneticPr fontId="10" type="noConversion"/>
  <printOptions horizontalCentered="1" verticalCentered="1"/>
  <pageMargins left="0.87" right="0.81" top="0.48" bottom="0.39370078740157483" header="0.11811023622047245" footer="0.11811023622047245"/>
  <pageSetup paperSize="9" scale="96" orientation="landscape" horizontalDpi="300" verticalDpi="300" r:id="rId1"/>
  <headerFooter alignWithMargins="0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opLeftCell="A21" zoomScale="115" zoomScaleNormal="115" workbookViewId="0">
      <selection sqref="A1:F40"/>
    </sheetView>
  </sheetViews>
  <sheetFormatPr baseColWidth="10" defaultColWidth="11.42578125" defaultRowHeight="12.75" x14ac:dyDescent="0.2"/>
  <cols>
    <col min="1" max="1" width="31" style="14" customWidth="1"/>
    <col min="2" max="6" width="12.28515625" style="14" customWidth="1"/>
    <col min="7" max="7" width="12.42578125" style="14" bestFit="1" customWidth="1"/>
    <col min="8" max="16384" width="11.42578125" style="14"/>
  </cols>
  <sheetData>
    <row r="1" spans="1:6" ht="33.75" x14ac:dyDescent="0.5">
      <c r="A1" s="370" t="str">
        <f>+VEA!A1</f>
        <v>Modelo Financiero</v>
      </c>
      <c r="B1" s="370"/>
      <c r="C1" s="370"/>
      <c r="D1" s="370"/>
      <c r="E1" s="370"/>
      <c r="F1" s="370"/>
    </row>
    <row r="2" spans="1:6" ht="23.25" x14ac:dyDescent="0.35">
      <c r="A2" s="398" t="str">
        <f>+Resúmen!A2:G2</f>
        <v>BOLSOS</v>
      </c>
      <c r="B2" s="398"/>
      <c r="C2" s="398"/>
      <c r="D2" s="398"/>
      <c r="E2" s="398"/>
      <c r="F2" s="398"/>
    </row>
    <row r="3" spans="1:6" ht="23.25" x14ac:dyDescent="0.35">
      <c r="A3" s="371" t="s">
        <v>190</v>
      </c>
      <c r="B3" s="371"/>
      <c r="C3" s="371"/>
      <c r="D3" s="371"/>
      <c r="E3" s="371"/>
      <c r="F3" s="371"/>
    </row>
    <row r="4" spans="1:6" ht="33.75" x14ac:dyDescent="0.5">
      <c r="A4" s="182"/>
      <c r="B4" s="182"/>
      <c r="C4" s="182"/>
      <c r="D4" s="182"/>
      <c r="E4" s="182"/>
      <c r="F4" s="182"/>
    </row>
    <row r="5" spans="1:6" ht="13.5" thickBot="1" x14ac:dyDescent="0.25">
      <c r="A5" s="104"/>
      <c r="B5" s="104"/>
      <c r="C5" s="104"/>
      <c r="D5" s="104"/>
      <c r="E5" s="104"/>
      <c r="F5" s="104"/>
    </row>
    <row r="6" spans="1:6" s="183" customFormat="1" ht="19.5" thickBot="1" x14ac:dyDescent="0.35">
      <c r="A6" s="293" t="s">
        <v>142</v>
      </c>
      <c r="B6" s="293">
        <f>+Resúmen!G5</f>
        <v>2016</v>
      </c>
      <c r="C6" s="293">
        <f>+B6+1</f>
        <v>2017</v>
      </c>
      <c r="D6" s="293">
        <f>+C6+1</f>
        <v>2018</v>
      </c>
      <c r="E6" s="293">
        <f>+D6+1</f>
        <v>2019</v>
      </c>
      <c r="F6" s="293">
        <f>+E6+1</f>
        <v>2020</v>
      </c>
    </row>
    <row r="7" spans="1:6" ht="15" x14ac:dyDescent="0.25">
      <c r="A7" s="69"/>
      <c r="B7" s="69"/>
      <c r="C7" s="69"/>
      <c r="D7" s="69"/>
      <c r="E7" s="69"/>
      <c r="F7" s="69"/>
    </row>
    <row r="8" spans="1:6" ht="15" x14ac:dyDescent="0.25">
      <c r="A8" s="117" t="s">
        <v>131</v>
      </c>
      <c r="B8" s="184"/>
      <c r="C8" s="184"/>
      <c r="D8" s="185"/>
      <c r="E8" s="185"/>
      <c r="F8" s="76"/>
    </row>
    <row r="9" spans="1:6" ht="15" x14ac:dyDescent="0.25">
      <c r="A9" s="117"/>
      <c r="B9" s="184"/>
      <c r="C9" s="184"/>
      <c r="D9" s="185"/>
      <c r="E9" s="185"/>
      <c r="F9" s="76"/>
    </row>
    <row r="10" spans="1:6" ht="15" x14ac:dyDescent="0.25">
      <c r="A10" s="117" t="s">
        <v>87</v>
      </c>
      <c r="B10" s="186">
        <v>0</v>
      </c>
      <c r="C10" s="186">
        <f>+BALANCE!C18/BALANCE!C39</f>
        <v>16.391570902045228</v>
      </c>
      <c r="D10" s="186">
        <f>+BALANCE!D18/BALANCE!D39</f>
        <v>6.5129318348323357</v>
      </c>
      <c r="E10" s="186">
        <f>+BALANCE!E18/BALANCE!E39</f>
        <v>6.778630101325879</v>
      </c>
      <c r="F10" s="186">
        <f>+BALANCE!F18/BALANCE!F39</f>
        <v>4.6157043137648435</v>
      </c>
    </row>
    <row r="11" spans="1:6" ht="15" x14ac:dyDescent="0.25">
      <c r="A11" s="117" t="s">
        <v>88</v>
      </c>
      <c r="B11" s="186">
        <v>0</v>
      </c>
      <c r="C11" s="186">
        <f>+(BALANCE!C18-BALANCE!C12)/BALANCE!C39</f>
        <v>13.482838644800337</v>
      </c>
      <c r="D11" s="186">
        <f>+(BALANCE!D18-BALANCE!D12)/BALANCE!D39</f>
        <v>5.5008056497869253</v>
      </c>
      <c r="E11" s="186">
        <f>+(BALANCE!E18-BALANCE!E12)/BALANCE!E39</f>
        <v>5.9122816548362884</v>
      </c>
      <c r="F11" s="186">
        <f>+(BALANCE!F18-BALANCE!F12)/BALANCE!F39</f>
        <v>4.1412919929184415</v>
      </c>
    </row>
    <row r="12" spans="1:6" ht="15" x14ac:dyDescent="0.25">
      <c r="A12" s="117" t="s">
        <v>89</v>
      </c>
      <c r="B12" s="184">
        <f>+BALANCE!B18-BALANCE!B39</f>
        <v>18001.719761849185</v>
      </c>
      <c r="C12" s="184">
        <f>+BALANCE!C18-BALANCE!C39</f>
        <v>21622.015023925294</v>
      </c>
      <c r="D12" s="184">
        <f>+BALANCE!D18-BALANCE!D39</f>
        <v>27226.903178804208</v>
      </c>
      <c r="E12" s="184">
        <f>+BALANCE!E18-BALANCE!E39</f>
        <v>38474.292398333127</v>
      </c>
      <c r="F12" s="184">
        <f>+BALANCE!F18-BALANCE!F39</f>
        <v>56019.261852805488</v>
      </c>
    </row>
    <row r="13" spans="1:6" ht="15" x14ac:dyDescent="0.25">
      <c r="A13" s="117" t="s">
        <v>90</v>
      </c>
      <c r="B13" s="187">
        <v>0</v>
      </c>
      <c r="C13" s="187">
        <v>0</v>
      </c>
      <c r="D13" s="187">
        <v>0</v>
      </c>
      <c r="E13" s="187">
        <v>0</v>
      </c>
      <c r="F13" s="187">
        <v>0</v>
      </c>
    </row>
    <row r="14" spans="1:6" ht="15" x14ac:dyDescent="0.25">
      <c r="A14" s="117"/>
      <c r="B14" s="184"/>
      <c r="C14" s="184"/>
      <c r="D14" s="76"/>
      <c r="E14" s="76"/>
      <c r="F14" s="76"/>
    </row>
    <row r="15" spans="1:6" ht="15" x14ac:dyDescent="0.25">
      <c r="A15" s="117" t="s">
        <v>132</v>
      </c>
      <c r="B15" s="184"/>
      <c r="C15" s="184"/>
      <c r="D15" s="76"/>
      <c r="E15" s="76"/>
      <c r="F15" s="76"/>
    </row>
    <row r="16" spans="1:6" ht="15" x14ac:dyDescent="0.25">
      <c r="A16" s="117"/>
      <c r="B16" s="76"/>
      <c r="C16" s="76"/>
      <c r="D16" s="76"/>
      <c r="E16" s="76"/>
      <c r="F16" s="76"/>
    </row>
    <row r="17" spans="1:6" ht="15" x14ac:dyDescent="0.25">
      <c r="A17" s="117" t="s">
        <v>91</v>
      </c>
      <c r="B17" s="188">
        <f>+(BALANCE!B11*360)/PyG!B8</f>
        <v>0</v>
      </c>
      <c r="C17" s="188">
        <f>+(BALANCE!C11*360)/PyG!D8</f>
        <v>0</v>
      </c>
      <c r="D17" s="188">
        <f>+(BALANCE!D11*360)/PyG!F8</f>
        <v>0</v>
      </c>
      <c r="E17" s="188">
        <f>+(BALANCE!E11*360)/PyG!H8</f>
        <v>0</v>
      </c>
      <c r="F17" s="188">
        <f>+(BALANCE!F11*360)/PyG!J8</f>
        <v>0</v>
      </c>
    </row>
    <row r="18" spans="1:6" ht="15" x14ac:dyDescent="0.25">
      <c r="A18" s="117" t="s">
        <v>92</v>
      </c>
      <c r="B18" s="188">
        <f>+(BALANCE!B12*360)/PyG!B9</f>
        <v>30</v>
      </c>
      <c r="C18" s="188">
        <f>+(BALANCE!C12*360)/PyG!D9</f>
        <v>30</v>
      </c>
      <c r="D18" s="188">
        <f>+(BALANCE!D12*360)/PyG!F9</f>
        <v>29.999999999999996</v>
      </c>
      <c r="E18" s="188">
        <f>+(BALANCE!E12*360)/PyG!H9</f>
        <v>29.999999999999996</v>
      </c>
      <c r="F18" s="188">
        <f>+(BALANCE!F12*360)/PyG!J9</f>
        <v>29.999999999999996</v>
      </c>
    </row>
    <row r="19" spans="1:6" ht="15" x14ac:dyDescent="0.25">
      <c r="A19" s="117" t="s">
        <v>93</v>
      </c>
      <c r="B19" s="188">
        <f>+(BALANCE!B34*360)/(PyG!B9+BALANCE!B12)</f>
        <v>0</v>
      </c>
      <c r="C19" s="188">
        <f>+(BALANCE!C34*360)/(PyG!D9-BALANCE!B12+BALANCE!C12)</f>
        <v>0</v>
      </c>
      <c r="D19" s="188">
        <f>+(BALANCE!D34*360)/(PyG!F9-BALANCE!C12+BALANCE!D12)</f>
        <v>15.000000000000011</v>
      </c>
      <c r="E19" s="188">
        <f>+(BALANCE!E34*360)/(PyG!H9-BALANCE!D12+BALANCE!E12)</f>
        <v>1.9485719002806698</v>
      </c>
      <c r="F19" s="188">
        <f>+(BALANCE!F34*360)/(PyG!J9-BALANCE!E12+BALANCE!F12)</f>
        <v>28.481078223520338</v>
      </c>
    </row>
    <row r="20" spans="1:6" ht="15" x14ac:dyDescent="0.25">
      <c r="A20" s="117"/>
      <c r="B20" s="76"/>
      <c r="C20" s="76"/>
      <c r="D20" s="76"/>
      <c r="E20" s="76"/>
      <c r="F20" s="76"/>
    </row>
    <row r="21" spans="1:6" ht="15" x14ac:dyDescent="0.25">
      <c r="A21" s="117" t="s">
        <v>94</v>
      </c>
      <c r="B21" s="188">
        <f>+B17+B18-B19</f>
        <v>30</v>
      </c>
      <c r="C21" s="188">
        <f>+C17+C18-C19</f>
        <v>30</v>
      </c>
      <c r="D21" s="188">
        <f>+D17+D18-D19</f>
        <v>14.999999999999986</v>
      </c>
      <c r="E21" s="188">
        <f>+E17+E18-E19</f>
        <v>28.051428099719327</v>
      </c>
      <c r="F21" s="188">
        <f>+F17+F18-F19</f>
        <v>1.5189217764796581</v>
      </c>
    </row>
    <row r="22" spans="1:6" ht="15" x14ac:dyDescent="0.25">
      <c r="A22" s="117"/>
      <c r="B22" s="76"/>
      <c r="C22" s="76"/>
      <c r="D22" s="76"/>
      <c r="E22" s="76"/>
      <c r="F22" s="76"/>
    </row>
    <row r="23" spans="1:6" ht="15" x14ac:dyDescent="0.25">
      <c r="A23" s="117" t="s">
        <v>95</v>
      </c>
      <c r="B23" s="186">
        <f>+PyG!B8/BALANCE!B30</f>
        <v>3.5708853896554054</v>
      </c>
      <c r="C23" s="186">
        <f>+(PyG!D8/BALANCE!C30)</f>
        <v>4.0946158253211324</v>
      </c>
      <c r="D23" s="186">
        <f>+PyG!F8/BALANCE!D30</f>
        <v>3.8262535308400478</v>
      </c>
      <c r="E23" s="186">
        <f>+PyG!H8/BALANCE!E30</f>
        <v>3.3466771132675786</v>
      </c>
      <c r="F23" s="186">
        <f>+PyG!J8/BALANCE!F30</f>
        <v>2.835270306092128</v>
      </c>
    </row>
    <row r="24" spans="1:6" ht="15" x14ac:dyDescent="0.25">
      <c r="A24" s="117" t="s">
        <v>96</v>
      </c>
      <c r="B24" s="186">
        <f>+PyG!B8/BALANCE!B53</f>
        <v>3.570885389655404</v>
      </c>
      <c r="C24" s="186">
        <f>+PyG!D8/BALANCE!C53</f>
        <v>4.2958449100639973</v>
      </c>
      <c r="D24" s="186">
        <f>+PyG!F8/BALANCE!D53</f>
        <v>4.389114021120176</v>
      </c>
      <c r="E24" s="186">
        <f>+PyG!H8/BALANCE!E53</f>
        <v>3.8292037883825358</v>
      </c>
      <c r="F24" s="186">
        <f>+PyG!J8/BALANCE!F53</f>
        <v>3.5385085245204984</v>
      </c>
    </row>
    <row r="25" spans="1:6" ht="15" x14ac:dyDescent="0.25">
      <c r="A25" s="117"/>
      <c r="B25" s="76"/>
      <c r="C25" s="76"/>
      <c r="D25" s="76"/>
      <c r="E25" s="76"/>
      <c r="F25" s="76"/>
    </row>
    <row r="26" spans="1:6" ht="15" x14ac:dyDescent="0.25">
      <c r="A26" s="117" t="s">
        <v>133</v>
      </c>
      <c r="B26" s="184"/>
      <c r="C26" s="184"/>
      <c r="D26" s="76"/>
      <c r="E26" s="76"/>
      <c r="F26" s="76"/>
    </row>
    <row r="27" spans="1:6" ht="15" x14ac:dyDescent="0.25">
      <c r="A27" s="117"/>
      <c r="B27" s="184"/>
      <c r="C27" s="184"/>
      <c r="D27" s="76"/>
      <c r="E27" s="76"/>
      <c r="F27" s="76"/>
    </row>
    <row r="28" spans="1:6" ht="15" x14ac:dyDescent="0.25">
      <c r="A28" s="117" t="s">
        <v>97</v>
      </c>
      <c r="B28" s="187">
        <f>+BALANCE!B43/BALANCE!B55</f>
        <v>0</v>
      </c>
      <c r="C28" s="187">
        <f>+BALANCE!C43/BALANCE!C55</f>
        <v>4.6842725693248738E-2</v>
      </c>
      <c r="D28" s="187">
        <f>+BALANCE!D43/BALANCE!D55</f>
        <v>0.12824011578912614</v>
      </c>
      <c r="E28" s="187">
        <f>+BALANCE!E43/BALANCE!E55</f>
        <v>0.12601227351202929</v>
      </c>
      <c r="F28" s="187">
        <f>+BALANCE!F43/BALANCE!F55</f>
        <v>0.19873859665879032</v>
      </c>
    </row>
    <row r="29" spans="1:6" ht="15" x14ac:dyDescent="0.25">
      <c r="A29" s="117" t="s">
        <v>98</v>
      </c>
      <c r="B29" s="187">
        <f>+(BALANCE!B34+BALANCE!B36+BALANCE!B37)/BALANCE!B55</f>
        <v>0</v>
      </c>
      <c r="C29" s="187">
        <f>+(BALANCE!C34+BALANCE!C36+BALANCE!C37)/BALANCE!C55</f>
        <v>4.6842725693248738E-2</v>
      </c>
      <c r="D29" s="187">
        <f>+(BALANCE!D34+BALANCE!D36+BALANCE!D37)/BALANCE!D55</f>
        <v>0.12824011578912614</v>
      </c>
      <c r="E29" s="187">
        <f>+(BALANCE!E34+BALANCE!E36+BALANCE!E37)/BALANCE!E55</f>
        <v>0.12601227351202929</v>
      </c>
      <c r="F29" s="187">
        <f>+(BALANCE!F34+BALANCE!F36+BALANCE!F37)/BALANCE!F55</f>
        <v>0.19873859665879032</v>
      </c>
    </row>
    <row r="30" spans="1:6" ht="15" x14ac:dyDescent="0.25">
      <c r="A30" s="117"/>
      <c r="B30" s="187"/>
      <c r="C30" s="187"/>
      <c r="D30" s="187"/>
      <c r="E30" s="187"/>
      <c r="F30" s="187"/>
    </row>
    <row r="31" spans="1:6" s="133" customFormat="1" ht="15" x14ac:dyDescent="0.25">
      <c r="A31" s="117" t="s">
        <v>99</v>
      </c>
      <c r="B31" s="189" t="e">
        <f>+PyG!B19/PyG!B24</f>
        <v>#DIV/0!</v>
      </c>
      <c r="C31" s="189" t="e">
        <f>+PyG!D19/PyG!D24</f>
        <v>#DIV/0!</v>
      </c>
      <c r="D31" s="189" t="e">
        <f>+PyG!F19/PyG!F24</f>
        <v>#DIV/0!</v>
      </c>
      <c r="E31" s="189" t="e">
        <f>+PyG!H19/PyG!H24</f>
        <v>#DIV/0!</v>
      </c>
      <c r="F31" s="189" t="e">
        <f>+PyG!J19/PyG!J24</f>
        <v>#DIV/0!</v>
      </c>
    </row>
    <row r="32" spans="1:6" ht="15" x14ac:dyDescent="0.25">
      <c r="A32" s="117"/>
      <c r="B32" s="76"/>
      <c r="C32" s="76"/>
      <c r="D32" s="76"/>
      <c r="E32" s="76"/>
      <c r="F32" s="76"/>
    </row>
    <row r="33" spans="1:7" ht="15" x14ac:dyDescent="0.25">
      <c r="A33" s="117" t="s">
        <v>134</v>
      </c>
      <c r="B33" s="76"/>
      <c r="C33" s="76"/>
      <c r="D33" s="76"/>
      <c r="E33" s="76"/>
      <c r="F33" s="76"/>
    </row>
    <row r="34" spans="1:7" ht="15" x14ac:dyDescent="0.25">
      <c r="A34" s="117"/>
      <c r="B34" s="76"/>
      <c r="C34" s="76"/>
      <c r="D34" s="76"/>
      <c r="E34" s="76"/>
      <c r="F34" s="76"/>
    </row>
    <row r="35" spans="1:7" s="193" customFormat="1" ht="15" x14ac:dyDescent="0.25">
      <c r="A35" s="190" t="s">
        <v>100</v>
      </c>
      <c r="B35" s="191">
        <f>+PyG!C10</f>
        <v>0.61198782771895177</v>
      </c>
      <c r="C35" s="191">
        <f>+PyG!E10</f>
        <v>0.60068650231270793</v>
      </c>
      <c r="D35" s="191">
        <f>+PyG!G10</f>
        <v>0.59293284216344</v>
      </c>
      <c r="E35" s="191">
        <f>+PyG!I10</f>
        <v>0.60855307984279006</v>
      </c>
      <c r="F35" s="192">
        <f>+PyG!K10</f>
        <v>0.60095216877177637</v>
      </c>
    </row>
    <row r="36" spans="1:7" s="193" customFormat="1" ht="15" x14ac:dyDescent="0.25">
      <c r="A36" s="190" t="s">
        <v>101</v>
      </c>
      <c r="B36" s="192">
        <f>+PyG!C19</f>
        <v>-5.3869015328834723E-2</v>
      </c>
      <c r="C36" s="192">
        <f>+PyG!E19</f>
        <v>3.3647289148646078E-2</v>
      </c>
      <c r="D36" s="191">
        <f>+PyG!G12</f>
        <v>0.48198144125577841</v>
      </c>
      <c r="E36" s="191">
        <f>+PyG!I12</f>
        <v>0.44009486394430247</v>
      </c>
      <c r="F36" s="192">
        <f>+PyG!K12</f>
        <v>0.4258709979416227</v>
      </c>
    </row>
    <row r="37" spans="1:7" s="193" customFormat="1" ht="15" x14ac:dyDescent="0.25">
      <c r="A37" s="190" t="s">
        <v>102</v>
      </c>
      <c r="B37" s="192">
        <f>+PyG!C31</f>
        <v>-5.3869015328834723E-2</v>
      </c>
      <c r="C37" s="192">
        <f>+PyG!E31</f>
        <v>2.2207210838106416E-2</v>
      </c>
      <c r="D37" s="191">
        <f>+PyG!G31</f>
        <v>3.1634781499932846E-2</v>
      </c>
      <c r="E37" s="191">
        <f>+PyG!I31</f>
        <v>6.8932363316264247E-2</v>
      </c>
      <c r="F37" s="192">
        <f>+PyG!K31</f>
        <v>7.3684226297962757E-2</v>
      </c>
    </row>
    <row r="38" spans="1:7" s="193" customFormat="1" ht="15" x14ac:dyDescent="0.25">
      <c r="A38" s="190" t="s">
        <v>103</v>
      </c>
      <c r="B38" s="191">
        <f>+PyG!$B$31/BALANCE!B30</f>
        <v>-0.19236007979285899</v>
      </c>
      <c r="C38" s="191">
        <f>+PyG!$D$31/BALANCE!C30</f>
        <v>9.0929996933953497E-2</v>
      </c>
      <c r="D38" s="191">
        <f>+PyG!$F$31/BALANCE!D30</f>
        <v>0.12104269441147149</v>
      </c>
      <c r="E38" s="191">
        <f>+PyG!$H$31/BALANCE!E30</f>
        <v>0.23069436267398713</v>
      </c>
      <c r="F38" s="191">
        <f>+PyG!$J$31/BALANCE!F30</f>
        <v>0.20891469884998651</v>
      </c>
    </row>
    <row r="39" spans="1:7" s="193" customFormat="1" ht="15" x14ac:dyDescent="0.25">
      <c r="A39" s="190" t="s">
        <v>104</v>
      </c>
      <c r="B39" s="191">
        <f>+PyG!$B$31/BALANCE!B53</f>
        <v>-0.19236007979285891</v>
      </c>
      <c r="C39" s="191">
        <f>+PyG!$D$31/BALANCE!C53</f>
        <v>9.5398733645597478E-2</v>
      </c>
      <c r="D39" s="191">
        <f>+PyG!$F$31/BALANCE!D53</f>
        <v>0.1388486630364284</v>
      </c>
      <c r="E39" s="191">
        <f>+PyG!$H$31/BALANCE!E53</f>
        <v>0.26395606675280037</v>
      </c>
      <c r="F39" s="191">
        <f>+PyG!$J$31/BALANCE!F53</f>
        <v>0.26073226287803869</v>
      </c>
    </row>
    <row r="40" spans="1:7" x14ac:dyDescent="0.2">
      <c r="A40" s="133"/>
      <c r="B40" s="194"/>
      <c r="C40" s="194"/>
      <c r="D40" s="194"/>
      <c r="E40" s="194"/>
      <c r="F40" s="194"/>
    </row>
    <row r="41" spans="1:7" ht="13.5" thickBot="1" x14ac:dyDescent="0.25">
      <c r="A41" s="180"/>
      <c r="B41" s="180"/>
      <c r="C41" s="180"/>
      <c r="D41" s="180"/>
      <c r="E41" s="180"/>
      <c r="F41" s="180"/>
    </row>
    <row r="42" spans="1:7" x14ac:dyDescent="0.2">
      <c r="A42" s="133"/>
      <c r="B42" s="133"/>
      <c r="C42" s="133"/>
      <c r="D42" s="133"/>
      <c r="E42" s="133"/>
      <c r="F42" s="133"/>
    </row>
    <row r="43" spans="1:7" x14ac:dyDescent="0.2">
      <c r="A43" s="133"/>
      <c r="B43" s="133"/>
      <c r="C43" s="133"/>
      <c r="D43" s="133"/>
      <c r="E43" s="133"/>
      <c r="F43" s="133"/>
    </row>
    <row r="44" spans="1:7" x14ac:dyDescent="0.2">
      <c r="A44" s="133" t="s">
        <v>333</v>
      </c>
      <c r="B44" s="400" t="s">
        <v>329</v>
      </c>
      <c r="C44" s="400"/>
      <c r="D44" s="401" t="s">
        <v>334</v>
      </c>
      <c r="E44" s="328">
        <f>C47</f>
        <v>4909153.3980800007</v>
      </c>
      <c r="F44" s="401" t="s">
        <v>334</v>
      </c>
      <c r="G44" s="397">
        <f>E44/E45</f>
        <v>8062403.3089593071</v>
      </c>
    </row>
    <row r="45" spans="1:7" x14ac:dyDescent="0.2">
      <c r="A45" s="133"/>
      <c r="B45" s="399" t="s">
        <v>332</v>
      </c>
      <c r="C45" s="399"/>
      <c r="D45" s="401"/>
      <c r="E45" s="133">
        <f>1-(C48/C49)</f>
        <v>0.60889454545454547</v>
      </c>
      <c r="F45" s="401"/>
      <c r="G45" s="397"/>
    </row>
    <row r="46" spans="1:7" x14ac:dyDescent="0.2">
      <c r="A46" s="133"/>
      <c r="B46" s="133"/>
      <c r="C46" s="133"/>
      <c r="D46" s="133"/>
      <c r="E46" s="133"/>
      <c r="F46" s="133"/>
    </row>
    <row r="47" spans="1:7" x14ac:dyDescent="0.2">
      <c r="A47" s="133"/>
      <c r="B47" s="133" t="s">
        <v>329</v>
      </c>
      <c r="C47" s="327">
        <f>'C. fijos'!B8</f>
        <v>4909153.3980800007</v>
      </c>
      <c r="D47" s="133"/>
      <c r="E47" s="133"/>
      <c r="F47" s="133"/>
    </row>
    <row r="48" spans="1:7" x14ac:dyDescent="0.2">
      <c r="A48" s="133"/>
      <c r="B48" s="133" t="s">
        <v>330</v>
      </c>
      <c r="C48" s="327">
        <f>'C. Producción'!D15+'C. Producción'!E15+'C. Producción'!F15+'C. Producción'!G15</f>
        <v>156442.18181818182</v>
      </c>
      <c r="D48" s="133"/>
      <c r="E48" s="133"/>
      <c r="F48" s="133"/>
    </row>
    <row r="49" spans="1:6" x14ac:dyDescent="0.2">
      <c r="A49" s="133"/>
      <c r="B49" s="133" t="s">
        <v>331</v>
      </c>
      <c r="C49" s="327">
        <f>Resúmen!C19+Resúmen!C20+Resúmen!C21+Resúmen!C22</f>
        <v>400000</v>
      </c>
      <c r="D49" s="133"/>
      <c r="E49" s="133"/>
      <c r="F49" s="133"/>
    </row>
    <row r="50" spans="1:6" x14ac:dyDescent="0.2">
      <c r="B50" s="133"/>
      <c r="C50" s="133"/>
    </row>
    <row r="51" spans="1:6" x14ac:dyDescent="0.2">
      <c r="B51" s="133"/>
      <c r="C51" s="133"/>
    </row>
  </sheetData>
  <sheetProtection selectLockedCells="1" selectUnlockedCells="1"/>
  <mergeCells count="8">
    <mergeCell ref="G44:G45"/>
    <mergeCell ref="A1:F1"/>
    <mergeCell ref="A3:F3"/>
    <mergeCell ref="A2:F2"/>
    <mergeCell ref="B45:C45"/>
    <mergeCell ref="B44:C44"/>
    <mergeCell ref="D44:D45"/>
    <mergeCell ref="F44:F45"/>
  </mergeCells>
  <phoneticPr fontId="10" type="noConversion"/>
  <printOptions horizontalCentered="1" verticalCentered="1"/>
  <pageMargins left="0.75" right="0.75" top="1.08" bottom="1" header="0" footer="0"/>
  <pageSetup scale="95" orientation="portrait" r:id="rId1"/>
  <headerFooter alignWithMargins="0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opLeftCell="A2" zoomScale="115" zoomScaleNormal="115" workbookViewId="0">
      <selection activeCell="G19" sqref="G19"/>
    </sheetView>
  </sheetViews>
  <sheetFormatPr baseColWidth="10" defaultColWidth="11.42578125" defaultRowHeight="12.75" x14ac:dyDescent="0.2"/>
  <cols>
    <col min="1" max="1" width="51.7109375" style="17" customWidth="1"/>
    <col min="2" max="3" width="17.28515625" style="17" customWidth="1"/>
    <col min="4" max="6" width="13.28515625" style="17" customWidth="1"/>
    <col min="7" max="7" width="14.5703125" style="17" bestFit="1" customWidth="1"/>
    <col min="8" max="16384" width="11.42578125" style="17"/>
  </cols>
  <sheetData>
    <row r="1" spans="1:7" ht="33.75" x14ac:dyDescent="0.5">
      <c r="A1" s="389" t="str">
        <f>+INDICADORES!A1</f>
        <v>Modelo Financiero</v>
      </c>
      <c r="B1" s="389"/>
      <c r="C1" s="389"/>
      <c r="D1" s="389"/>
      <c r="E1" s="389"/>
      <c r="F1" s="389"/>
      <c r="G1" s="389"/>
    </row>
    <row r="2" spans="1:7" ht="23.25" x14ac:dyDescent="0.35">
      <c r="A2" s="391" t="str">
        <f>+Resúmen!A2:G2</f>
        <v>BOLSOS</v>
      </c>
      <c r="B2" s="391"/>
      <c r="C2" s="391"/>
      <c r="D2" s="391"/>
      <c r="E2" s="391"/>
      <c r="F2" s="391"/>
      <c r="G2" s="391"/>
    </row>
    <row r="3" spans="1:7" ht="23.25" x14ac:dyDescent="0.35">
      <c r="A3" s="390" t="s">
        <v>191</v>
      </c>
      <c r="B3" s="390"/>
      <c r="C3" s="390"/>
      <c r="D3" s="390"/>
      <c r="E3" s="390"/>
      <c r="F3" s="390"/>
      <c r="G3" s="390"/>
    </row>
    <row r="4" spans="1:7" ht="23.25" x14ac:dyDescent="0.35">
      <c r="A4" s="195"/>
      <c r="B4" s="195"/>
      <c r="C4" s="195"/>
      <c r="D4" s="195"/>
      <c r="E4" s="195"/>
      <c r="F4" s="195"/>
      <c r="G4" s="195"/>
    </row>
    <row r="5" spans="1:7" ht="13.5" thickBot="1" x14ac:dyDescent="0.25">
      <c r="A5" s="104"/>
      <c r="B5" s="104"/>
      <c r="C5" s="104"/>
      <c r="D5" s="104"/>
      <c r="E5" s="104"/>
      <c r="F5" s="104"/>
      <c r="G5" s="104"/>
    </row>
    <row r="6" spans="1:7" s="43" customFormat="1" ht="19.5" thickBot="1" x14ac:dyDescent="0.35">
      <c r="A6" s="293" t="s">
        <v>142</v>
      </c>
      <c r="B6" s="293" t="s">
        <v>323</v>
      </c>
      <c r="C6" s="293" t="s">
        <v>324</v>
      </c>
      <c r="D6" s="293">
        <v>2017</v>
      </c>
      <c r="E6" s="293">
        <f>+D6+1</f>
        <v>2018</v>
      </c>
      <c r="F6" s="293">
        <f>+E6+1</f>
        <v>2019</v>
      </c>
      <c r="G6" s="293">
        <f>+F6+1</f>
        <v>2020</v>
      </c>
    </row>
    <row r="7" spans="1:7" s="198" customFormat="1" hidden="1" x14ac:dyDescent="0.2">
      <c r="A7" s="196"/>
      <c r="B7" s="197">
        <v>1</v>
      </c>
      <c r="C7" s="197">
        <v>1</v>
      </c>
      <c r="D7" s="197">
        <v>2</v>
      </c>
      <c r="E7" s="197">
        <v>3</v>
      </c>
      <c r="F7" s="197">
        <v>4</v>
      </c>
      <c r="G7" s="197">
        <v>5</v>
      </c>
    </row>
    <row r="8" spans="1:7" x14ac:dyDescent="0.2">
      <c r="A8" s="133"/>
      <c r="B8" s="199"/>
      <c r="C8" s="199"/>
      <c r="D8" s="199"/>
      <c r="E8" s="199"/>
      <c r="F8" s="199"/>
      <c r="G8" s="199"/>
    </row>
    <row r="9" spans="1:7" ht="15.75" x14ac:dyDescent="0.25">
      <c r="A9" s="70" t="s">
        <v>115</v>
      </c>
      <c r="B9" s="200">
        <v>0</v>
      </c>
      <c r="C9" s="200">
        <f>+PyG!B19</f>
        <v>-4899.9256343108063</v>
      </c>
      <c r="D9" s="200">
        <f>+PyG!D19</f>
        <v>4131.752518297144</v>
      </c>
      <c r="E9" s="200">
        <f>+PyG!F19</f>
        <v>7062.9538710286433</v>
      </c>
      <c r="F9" s="200">
        <f>+PyG!H19</f>
        <v>18468.258514437781</v>
      </c>
      <c r="G9" s="200">
        <f>+PyG!J19</f>
        <v>24676.713415867183</v>
      </c>
    </row>
    <row r="10" spans="1:7" ht="15.75" x14ac:dyDescent="0.25">
      <c r="A10" s="70" t="s">
        <v>116</v>
      </c>
      <c r="B10" s="200">
        <v>0</v>
      </c>
      <c r="C10" s="200">
        <f>PyG!B14</f>
        <v>345</v>
      </c>
      <c r="D10" s="200">
        <f>PyG!D14</f>
        <v>395</v>
      </c>
      <c r="E10" s="200">
        <f>PyG!F14</f>
        <v>445</v>
      </c>
      <c r="F10" s="200">
        <f>PyG!H14</f>
        <v>710</v>
      </c>
      <c r="G10" s="200">
        <f>PyG!J14</f>
        <v>760</v>
      </c>
    </row>
    <row r="11" spans="1:7" ht="15.75" x14ac:dyDescent="0.25">
      <c r="A11" s="70" t="s">
        <v>117</v>
      </c>
      <c r="B11" s="200">
        <v>0</v>
      </c>
      <c r="C11" s="200">
        <f>PyG!B15</f>
        <v>0</v>
      </c>
      <c r="D11" s="200">
        <f>PyG!D15</f>
        <v>0</v>
      </c>
      <c r="E11" s="200">
        <f>PyG!F15</f>
        <v>0</v>
      </c>
      <c r="F11" s="200">
        <f>PyG!H15</f>
        <v>0</v>
      </c>
      <c r="G11" s="200">
        <f>PyG!J15</f>
        <v>0</v>
      </c>
    </row>
    <row r="12" spans="1:7" ht="15.75" x14ac:dyDescent="0.25">
      <c r="A12" s="70" t="s">
        <v>204</v>
      </c>
      <c r="B12" s="200">
        <v>0</v>
      </c>
      <c r="C12" s="200">
        <f>+Resúmen!$B$92/5</f>
        <v>998.33860000000004</v>
      </c>
      <c r="D12" s="200">
        <f>+Resúmen!$B$92/5</f>
        <v>998.33860000000004</v>
      </c>
      <c r="E12" s="200">
        <f>+Resúmen!$B$92/5</f>
        <v>998.33860000000004</v>
      </c>
      <c r="F12" s="200">
        <f>+Resúmen!$B$92/5</f>
        <v>998.33860000000004</v>
      </c>
      <c r="G12" s="200">
        <f>+Resúmen!$B$92/5</f>
        <v>998.33860000000004</v>
      </c>
    </row>
    <row r="13" spans="1:7" ht="15.75" x14ac:dyDescent="0.25">
      <c r="A13" s="70"/>
      <c r="B13" s="200"/>
      <c r="C13" s="200"/>
      <c r="D13" s="200"/>
      <c r="E13" s="200"/>
      <c r="F13" s="200"/>
      <c r="G13" s="200"/>
    </row>
    <row r="14" spans="1:7" ht="15.75" x14ac:dyDescent="0.25">
      <c r="A14" s="70" t="s">
        <v>136</v>
      </c>
      <c r="B14" s="200">
        <f t="shared" ref="B14:G14" si="0">SUM(B9:B12)</f>
        <v>0</v>
      </c>
      <c r="C14" s="200">
        <f t="shared" si="0"/>
        <v>-3556.5870343108063</v>
      </c>
      <c r="D14" s="200">
        <f t="shared" si="0"/>
        <v>5525.091118297144</v>
      </c>
      <c r="E14" s="200">
        <f t="shared" si="0"/>
        <v>8506.2924710286425</v>
      </c>
      <c r="F14" s="200">
        <f t="shared" si="0"/>
        <v>20176.59711443778</v>
      </c>
      <c r="G14" s="200">
        <f t="shared" si="0"/>
        <v>26435.052015867182</v>
      </c>
    </row>
    <row r="15" spans="1:7" ht="15.75" x14ac:dyDescent="0.25">
      <c r="A15" s="70"/>
      <c r="B15" s="200"/>
      <c r="C15" s="200"/>
      <c r="D15" s="200"/>
      <c r="E15" s="200"/>
      <c r="F15" s="200"/>
      <c r="G15" s="200"/>
    </row>
    <row r="16" spans="1:7" ht="15.75" x14ac:dyDescent="0.25">
      <c r="A16" s="70" t="s">
        <v>245</v>
      </c>
      <c r="B16" s="200">
        <v>0</v>
      </c>
      <c r="C16" s="200">
        <f>+PyG!B28</f>
        <v>0</v>
      </c>
      <c r="D16" s="200">
        <f>+PyG!D28</f>
        <v>1404.7958562210288</v>
      </c>
      <c r="E16" s="200">
        <f>+PyG!F28</f>
        <v>2401.4043161497384</v>
      </c>
      <c r="F16" s="201">
        <f>+PyG!H28</f>
        <v>6279.2078949088445</v>
      </c>
      <c r="G16" s="201">
        <f>+PyG!J28</f>
        <v>8390.0825613948418</v>
      </c>
    </row>
    <row r="17" spans="1:7" ht="16.5" thickBot="1" x14ac:dyDescent="0.3">
      <c r="A17" s="144"/>
      <c r="B17" s="202"/>
      <c r="C17" s="202"/>
      <c r="D17" s="202"/>
      <c r="E17" s="202"/>
      <c r="F17" s="203"/>
      <c r="G17" s="203"/>
    </row>
    <row r="18" spans="1:7" s="38" customFormat="1" ht="16.5" thickBot="1" x14ac:dyDescent="0.3">
      <c r="A18" s="144" t="s">
        <v>140</v>
      </c>
      <c r="B18" s="204">
        <f t="shared" ref="B18:G18" si="1">B14-B16</f>
        <v>0</v>
      </c>
      <c r="C18" s="204">
        <f t="shared" si="1"/>
        <v>-3556.5870343108063</v>
      </c>
      <c r="D18" s="204">
        <f t="shared" si="1"/>
        <v>4120.2952620761153</v>
      </c>
      <c r="E18" s="204">
        <f t="shared" si="1"/>
        <v>6104.8881548789041</v>
      </c>
      <c r="F18" s="204">
        <f t="shared" si="1"/>
        <v>13897.389219528935</v>
      </c>
      <c r="G18" s="204">
        <f t="shared" si="1"/>
        <v>18044.969454472339</v>
      </c>
    </row>
    <row r="19" spans="1:7" s="173" customFormat="1" ht="15.75" x14ac:dyDescent="0.25">
      <c r="A19" s="141"/>
      <c r="B19" s="205"/>
      <c r="C19" s="205"/>
      <c r="D19" s="205"/>
      <c r="E19" s="205"/>
      <c r="F19" s="205"/>
      <c r="G19" s="205"/>
    </row>
    <row r="20" spans="1:7" s="207" customFormat="1" ht="15.75" x14ac:dyDescent="0.25">
      <c r="A20" s="64" t="s">
        <v>110</v>
      </c>
      <c r="B20" s="206">
        <f>-SUM(FLUJO!B37:F37)</f>
        <v>-29999.999796160002</v>
      </c>
      <c r="C20" s="200">
        <f>+BALANCE!B11+BALANCE!B16-BALANCE!B39</f>
        <v>0</v>
      </c>
      <c r="D20" s="200">
        <f>+(BALANCE!C11+BALANCE!C16-BALANCE!C39)-(BALANCE!B11+BALANCE!B16-BALANCE!B39)</f>
        <v>-1404.7958562210288</v>
      </c>
      <c r="E20" s="200">
        <f>+(BALANCE!D11+BALANCE!D16-BALANCE!D39)-(BALANCE!C11+BALANCE!C16-BALANCE!C39)</f>
        <v>-3533.9380143442795</v>
      </c>
      <c r="F20" s="200">
        <f>+(BALANCE!E11+BALANCE!E16-BALANCE!E39)-(BALANCE!D11+BALANCE!D16-BALANCE!D39)</f>
        <v>-1719.296099116501</v>
      </c>
      <c r="G20" s="200">
        <f>+(BALANCE!F11+BALANCE!F16-BALANCE!F39)-(BALANCE!E11+BALANCE!E16-BALANCE!E39)</f>
        <v>-8835.289447932726</v>
      </c>
    </row>
    <row r="21" spans="1:7" s="207" customFormat="1" ht="15.75" x14ac:dyDescent="0.25">
      <c r="B21" s="200"/>
      <c r="C21" s="200"/>
      <c r="D21" s="200"/>
      <c r="E21" s="200"/>
      <c r="F21" s="201"/>
      <c r="G21" s="201"/>
    </row>
    <row r="22" spans="1:7" s="207" customFormat="1" ht="15" customHeight="1" x14ac:dyDescent="0.25">
      <c r="A22" s="64" t="s">
        <v>141</v>
      </c>
      <c r="B22" s="200">
        <f>+SUM(BALANCE!A20:A22)</f>
        <v>0</v>
      </c>
      <c r="C22" s="200">
        <f>+SUM(BALANCE!B20:B22)</f>
        <v>3450</v>
      </c>
      <c r="D22" s="200">
        <f>+SUM(BALANCE!C20:C22)-SUM(BALANCE!B20:B22)</f>
        <v>500</v>
      </c>
      <c r="E22" s="200">
        <f>+SUM(BALANCE!D20:D22)-SUM(BALANCE!C20:C22)</f>
        <v>500</v>
      </c>
      <c r="F22" s="200">
        <f>+SUM(BALANCE!E20:E22)-SUM(BALANCE!D20:D22)</f>
        <v>2650</v>
      </c>
      <c r="G22" s="200">
        <f>+SUM(BALANCE!F20:F22)-SUM(BALANCE!E20:E22)</f>
        <v>500</v>
      </c>
    </row>
    <row r="23" spans="1:7" ht="13.5" thickBot="1" x14ac:dyDescent="0.25">
      <c r="A23" s="180"/>
      <c r="B23" s="208"/>
      <c r="C23" s="208"/>
      <c r="D23" s="208"/>
      <c r="E23" s="208"/>
      <c r="F23" s="208"/>
      <c r="G23" s="208"/>
    </row>
    <row r="24" spans="1:7" s="183" customFormat="1" ht="19.5" thickBot="1" x14ac:dyDescent="0.35">
      <c r="A24" s="209" t="s">
        <v>135</v>
      </c>
      <c r="B24" s="210">
        <f>+B18+B20-B22</f>
        <v>-29999.999796160002</v>
      </c>
      <c r="C24" s="210">
        <f>+C18-C20-C22</f>
        <v>-7006.5870343108063</v>
      </c>
      <c r="D24" s="210">
        <f>+D18-D20-D22</f>
        <v>5025.091118297144</v>
      </c>
      <c r="E24" s="210">
        <f>+E18-E20-E22</f>
        <v>9138.8261692231827</v>
      </c>
      <c r="F24" s="210">
        <f>+F18-F20-F22</f>
        <v>12966.685318645435</v>
      </c>
      <c r="G24" s="210">
        <f>+G18-G20-G22</f>
        <v>26380.258902405065</v>
      </c>
    </row>
    <row r="25" spans="1:7" x14ac:dyDescent="0.2">
      <c r="A25" s="133"/>
      <c r="B25" s="199"/>
      <c r="C25" s="199"/>
      <c r="D25" s="199"/>
      <c r="E25" s="199"/>
      <c r="F25" s="199"/>
      <c r="G25" s="199"/>
    </row>
    <row r="26" spans="1:7" x14ac:dyDescent="0.2">
      <c r="A26" s="133"/>
      <c r="B26" s="199"/>
      <c r="C26" s="199"/>
      <c r="D26" s="199"/>
      <c r="E26" s="199"/>
      <c r="F26" s="199"/>
      <c r="G26" s="199"/>
    </row>
    <row r="27" spans="1:7" x14ac:dyDescent="0.2">
      <c r="A27" s="105"/>
      <c r="B27" s="211"/>
      <c r="C27" s="211"/>
      <c r="D27" s="211"/>
    </row>
    <row r="28" spans="1:7" ht="13.5" thickBot="1" x14ac:dyDescent="0.25">
      <c r="A28" s="104"/>
      <c r="B28" s="212"/>
      <c r="C28" s="212"/>
      <c r="D28" s="104"/>
      <c r="E28" s="213"/>
      <c r="F28" s="104"/>
      <c r="G28" s="104"/>
    </row>
    <row r="30" spans="1:7" x14ac:dyDescent="0.2">
      <c r="A30" s="105"/>
      <c r="B30" s="211"/>
      <c r="C30" s="211"/>
      <c r="D30" s="211"/>
    </row>
    <row r="31" spans="1:7" s="173" customFormat="1" ht="19.5" thickBot="1" x14ac:dyDescent="0.35">
      <c r="A31" s="70"/>
      <c r="B31" s="113"/>
      <c r="C31" s="113"/>
      <c r="G31" s="70"/>
    </row>
    <row r="32" spans="1:7" ht="19.5" thickBot="1" x14ac:dyDescent="0.35">
      <c r="A32" s="70" t="s">
        <v>146</v>
      </c>
      <c r="C32" s="214">
        <f>IRR(B24:G24)</f>
        <v>9.9105105471826382E-2</v>
      </c>
      <c r="D32" s="395"/>
      <c r="E32" s="396"/>
      <c r="F32" s="396"/>
      <c r="G32" s="396"/>
    </row>
    <row r="34" spans="1:7" ht="13.5" thickBot="1" x14ac:dyDescent="0.25">
      <c r="A34" s="104"/>
      <c r="B34" s="212"/>
      <c r="C34" s="212"/>
      <c r="D34" s="104"/>
      <c r="E34" s="213"/>
      <c r="F34" s="104"/>
      <c r="G34" s="104"/>
    </row>
    <row r="36" spans="1:7" s="70" customFormat="1" ht="15.75" hidden="1" x14ac:dyDescent="0.25">
      <c r="A36" s="70" t="s">
        <v>137</v>
      </c>
      <c r="B36" s="206"/>
      <c r="C36" s="206">
        <f>+BALANCE!B53</f>
        <v>25472.674161849194</v>
      </c>
      <c r="D36" s="206">
        <f>+BALANCE!C53</f>
        <v>28584.830823925309</v>
      </c>
      <c r="E36" s="206">
        <f>+BALANCE!D53</f>
        <v>33572.880378804213</v>
      </c>
      <c r="F36" s="206">
        <f>+BALANCE!E53</f>
        <v>46178.330998333149</v>
      </c>
      <c r="G36" s="206">
        <f>+BALANCE!F53</f>
        <v>62464.961852805493</v>
      </c>
    </row>
    <row r="37" spans="1:7" s="173" customFormat="1" ht="15.75" hidden="1" x14ac:dyDescent="0.25">
      <c r="A37" s="70"/>
      <c r="B37" s="215"/>
      <c r="C37" s="215"/>
      <c r="D37" s="206"/>
      <c r="E37" s="206"/>
      <c r="F37" s="206"/>
      <c r="G37" s="206"/>
    </row>
    <row r="38" spans="1:7" s="70" customFormat="1" ht="16.5" thickBot="1" x14ac:dyDescent="0.3">
      <c r="A38" s="70" t="s">
        <v>139</v>
      </c>
      <c r="B38" s="216"/>
      <c r="C38" s="216"/>
      <c r="D38" s="216"/>
      <c r="E38" s="216"/>
      <c r="F38" s="216"/>
      <c r="G38" s="216"/>
    </row>
    <row r="39" spans="1:7" ht="19.5" thickBot="1" x14ac:dyDescent="0.35">
      <c r="A39" s="70" t="s">
        <v>138</v>
      </c>
      <c r="B39" s="217"/>
      <c r="C39" s="218">
        <f>+G36/((1+VEA!B10)^5)</f>
        <v>38252.420325150153</v>
      </c>
      <c r="D39" s="402" t="s">
        <v>206</v>
      </c>
      <c r="E39" s="403"/>
      <c r="F39" s="403"/>
      <c r="G39" s="403"/>
    </row>
    <row r="40" spans="1:7" s="173" customFormat="1" ht="18.75" x14ac:dyDescent="0.3">
      <c r="A40" s="70"/>
      <c r="B40" s="113"/>
      <c r="C40" s="113"/>
      <c r="D40" s="403"/>
      <c r="E40" s="403"/>
      <c r="F40" s="403"/>
      <c r="G40" s="403"/>
    </row>
    <row r="41" spans="1:7" ht="13.5" thickBot="1" x14ac:dyDescent="0.25">
      <c r="A41" s="104"/>
      <c r="B41" s="104"/>
      <c r="C41" s="104"/>
      <c r="D41" s="104"/>
      <c r="E41" s="104"/>
      <c r="F41" s="104"/>
      <c r="G41" s="104"/>
    </row>
    <row r="43" spans="1:7" s="173" customFormat="1" ht="15.75" x14ac:dyDescent="0.25">
      <c r="A43" s="70"/>
    </row>
  </sheetData>
  <sheetProtection selectLockedCells="1" selectUnlockedCells="1"/>
  <mergeCells count="5">
    <mergeCell ref="D39:G40"/>
    <mergeCell ref="A1:G1"/>
    <mergeCell ref="A3:G3"/>
    <mergeCell ref="D32:G32"/>
    <mergeCell ref="A2:G2"/>
  </mergeCells>
  <phoneticPr fontId="10" type="noConversion"/>
  <printOptions horizontalCentered="1" verticalCentered="1"/>
  <pageMargins left="0.78740157480314965" right="0.78740157480314965" top="0.63" bottom="0.78740157480314965" header="0.35433070866141736" footer="0.51181102362204722"/>
  <pageSetup scale="63" orientation="portrait" horizontalDpi="300" verticalDpi="300" r:id="rId1"/>
  <headerFooter alignWithMargins="0"/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showGridLines="0" zoomScale="120" zoomScaleNormal="120" workbookViewId="0">
      <selection activeCell="B8" sqref="B8"/>
    </sheetView>
  </sheetViews>
  <sheetFormatPr baseColWidth="10" defaultRowHeight="12.75" x14ac:dyDescent="0.2"/>
  <cols>
    <col min="1" max="1" width="17.7109375" bestFit="1" customWidth="1"/>
    <col min="2" max="2" width="11.85546875" bestFit="1" customWidth="1"/>
    <col min="3" max="3" width="17.28515625" bestFit="1" customWidth="1"/>
    <col min="4" max="4" width="18.140625" bestFit="1" customWidth="1"/>
    <col min="5" max="5" width="11.85546875" bestFit="1" customWidth="1"/>
    <col min="6" max="7" width="11.7109375" bestFit="1" customWidth="1"/>
  </cols>
  <sheetData>
    <row r="1" spans="1:15" ht="33.75" x14ac:dyDescent="0.5">
      <c r="A1" s="392" t="s">
        <v>207</v>
      </c>
      <c r="B1" s="392"/>
      <c r="C1" s="392"/>
      <c r="D1" s="392"/>
      <c r="E1" s="392"/>
      <c r="F1" s="392"/>
    </row>
    <row r="2" spans="1:15" ht="23.25" x14ac:dyDescent="0.35">
      <c r="A2" s="394" t="str">
        <f>+Resúmen!A2:G2</f>
        <v>BOLSOS</v>
      </c>
      <c r="B2" s="394"/>
      <c r="C2" s="394"/>
      <c r="D2" s="394"/>
      <c r="E2" s="394"/>
      <c r="F2" s="394"/>
    </row>
    <row r="3" spans="1:15" ht="23.25" x14ac:dyDescent="0.35">
      <c r="A3" s="393" t="s">
        <v>250</v>
      </c>
      <c r="B3" s="393"/>
      <c r="C3" s="393"/>
      <c r="D3" s="393"/>
      <c r="E3" s="393"/>
      <c r="F3" s="393"/>
    </row>
    <row r="6" spans="1:15" x14ac:dyDescent="0.2">
      <c r="A6" s="224" t="s">
        <v>254</v>
      </c>
      <c r="B6" s="224"/>
      <c r="C6" s="9"/>
      <c r="D6" s="9"/>
      <c r="E6" s="9"/>
      <c r="H6" s="9"/>
      <c r="I6" s="224" t="s">
        <v>254</v>
      </c>
      <c r="J6" s="224"/>
      <c r="K6" s="9"/>
      <c r="L6" s="9"/>
      <c r="M6" s="9"/>
    </row>
    <row r="7" spans="1:15" x14ac:dyDescent="0.2">
      <c r="A7" s="224" t="s">
        <v>255</v>
      </c>
      <c r="B7" s="225">
        <v>0</v>
      </c>
      <c r="C7" s="301">
        <f>Resúmen!B26</f>
        <v>2016</v>
      </c>
      <c r="D7" s="301">
        <f>C7+1</f>
        <v>2017</v>
      </c>
      <c r="E7" s="301">
        <f>D7+1</f>
        <v>2018</v>
      </c>
      <c r="F7" s="301">
        <f>E7+1</f>
        <v>2019</v>
      </c>
      <c r="G7" s="301">
        <f>F7+1</f>
        <v>2020</v>
      </c>
      <c r="H7" s="227"/>
      <c r="I7" s="224" t="s">
        <v>255</v>
      </c>
      <c r="J7" s="225">
        <v>0</v>
      </c>
      <c r="K7" s="301">
        <f>Resúmen!B138</f>
        <v>2018</v>
      </c>
      <c r="L7" s="301">
        <f>K7+1</f>
        <v>2019</v>
      </c>
      <c r="M7" s="301">
        <f>L7+1</f>
        <v>2020</v>
      </c>
      <c r="N7" s="301">
        <f>M7+1</f>
        <v>2021</v>
      </c>
      <c r="O7" s="301">
        <f>N7+1</f>
        <v>2022</v>
      </c>
    </row>
    <row r="8" spans="1:15" x14ac:dyDescent="0.2">
      <c r="A8" s="224" t="s">
        <v>257</v>
      </c>
      <c r="B8" s="228">
        <v>0.14000000000000001</v>
      </c>
      <c r="C8" s="228">
        <f>Parámetros!E14+$B8</f>
        <v>0.14000000000000001</v>
      </c>
      <c r="D8" s="228">
        <f>Parámetros!F14+$B8</f>
        <v>0.14000000000000001</v>
      </c>
      <c r="E8" s="228">
        <f>Parámetros!G14+$B8</f>
        <v>0.14000000000000001</v>
      </c>
      <c r="F8" s="228">
        <f>Parámetros!H14+$B8</f>
        <v>0.14000000000000001</v>
      </c>
      <c r="G8" s="228">
        <f>Parámetros!I14+$B8</f>
        <v>0.14000000000000001</v>
      </c>
      <c r="H8" s="228"/>
      <c r="I8" s="224" t="s">
        <v>257</v>
      </c>
      <c r="J8" s="228">
        <v>0.15</v>
      </c>
      <c r="K8" s="228">
        <f>Parámetros!F14+$J8</f>
        <v>0.15</v>
      </c>
      <c r="L8" s="228">
        <f>Parámetros!G14+$J8</f>
        <v>0.15</v>
      </c>
      <c r="M8" s="228">
        <f>Parámetros!H14+$J8</f>
        <v>0.15</v>
      </c>
      <c r="N8" s="228">
        <f>Parámetros!I14+$J8</f>
        <v>0.15</v>
      </c>
      <c r="O8" s="228" t="e">
        <f>Parámetros!#REF!+$J8</f>
        <v>#REF!</v>
      </c>
    </row>
    <row r="9" spans="1:15" x14ac:dyDescent="0.2">
      <c r="A9" s="224" t="s">
        <v>261</v>
      </c>
      <c r="B9" s="228"/>
      <c r="C9" s="228">
        <f>NOMINAL(C8,C11)</f>
        <v>0.13174622340208142</v>
      </c>
      <c r="D9" s="228">
        <f>NOMINAL(D8,D11)</f>
        <v>0.13174622340208142</v>
      </c>
      <c r="E9" s="228">
        <f>NOMINAL(E8,E11)</f>
        <v>0.13174622340208142</v>
      </c>
      <c r="F9" s="228">
        <f>NOMINAL(F8,F11)</f>
        <v>0.13174622340208142</v>
      </c>
      <c r="G9" s="228">
        <f>NOMINAL(G8,G11)</f>
        <v>0.13174622340208142</v>
      </c>
      <c r="H9" s="228"/>
      <c r="I9" s="224" t="s">
        <v>261</v>
      </c>
      <c r="J9" s="228"/>
      <c r="K9" s="228">
        <f>NOMINAL(K8,K11)</f>
        <v>0.14057900303824056</v>
      </c>
      <c r="L9" s="228">
        <f>NOMINAL(L8,L11)</f>
        <v>0.14057900303824056</v>
      </c>
      <c r="M9" s="228">
        <f>NOMINAL(M8,M11)</f>
        <v>0.14057900303824056</v>
      </c>
      <c r="N9" s="228">
        <f>NOMINAL(N8,N11)</f>
        <v>0.14057900303824056</v>
      </c>
      <c r="O9" s="228" t="e">
        <f>NOMINAL(O8,O11)</f>
        <v>#REF!</v>
      </c>
    </row>
    <row r="10" spans="1:15" x14ac:dyDescent="0.2">
      <c r="A10" s="224" t="s">
        <v>256</v>
      </c>
      <c r="B10" s="226">
        <v>40725</v>
      </c>
      <c r="C10" s="9"/>
      <c r="D10" s="9"/>
      <c r="E10" s="9"/>
      <c r="F10" s="9"/>
      <c r="G10" s="9"/>
      <c r="H10" s="9"/>
      <c r="I10" s="224" t="s">
        <v>256</v>
      </c>
      <c r="J10" s="226">
        <v>40543</v>
      </c>
      <c r="K10" s="9"/>
      <c r="L10" s="9"/>
      <c r="M10" s="9"/>
      <c r="N10" s="9"/>
      <c r="O10" s="9"/>
    </row>
    <row r="11" spans="1:15" x14ac:dyDescent="0.2">
      <c r="A11" s="224" t="s">
        <v>251</v>
      </c>
      <c r="B11" s="229">
        <f>12*5</f>
        <v>60</v>
      </c>
      <c r="C11" s="9">
        <v>12</v>
      </c>
      <c r="D11" s="9">
        <v>12</v>
      </c>
      <c r="E11" s="9">
        <v>12</v>
      </c>
      <c r="F11" s="9">
        <v>12</v>
      </c>
      <c r="G11" s="9">
        <v>12</v>
      </c>
      <c r="H11" s="9"/>
      <c r="I11" s="224" t="s">
        <v>251</v>
      </c>
      <c r="J11" s="229">
        <v>48</v>
      </c>
      <c r="K11" s="9">
        <v>12</v>
      </c>
      <c r="L11" s="9">
        <v>12</v>
      </c>
      <c r="M11" s="9">
        <v>12</v>
      </c>
      <c r="N11" s="9">
        <v>12</v>
      </c>
      <c r="O11" s="9">
        <v>12</v>
      </c>
    </row>
    <row r="12" spans="1:15" x14ac:dyDescent="0.2">
      <c r="A12" s="224" t="s">
        <v>259</v>
      </c>
      <c r="B12" s="226"/>
      <c r="C12" s="225">
        <f>PMT((C9/12),$B11,-$B7)*C11</f>
        <v>0</v>
      </c>
      <c r="D12" s="225">
        <f>PMT((D9/12),$B11,-$B7)*D11</f>
        <v>0</v>
      </c>
      <c r="E12" s="225">
        <f>PMT((E9/12),$B11,-$B7)*E11</f>
        <v>0</v>
      </c>
      <c r="F12" s="225">
        <f>PMT((F9/12),$B11,-$B7)*F11</f>
        <v>0</v>
      </c>
      <c r="G12" s="225">
        <f>PMT((G9/12),$B11,-$B7)*G11</f>
        <v>0</v>
      </c>
      <c r="H12" s="225"/>
      <c r="I12" s="224" t="s">
        <v>259</v>
      </c>
      <c r="J12" s="226"/>
      <c r="K12" s="225">
        <f>PMT((K9/12),$B11,-$B7)*K11</f>
        <v>0</v>
      </c>
      <c r="L12" s="225">
        <f>PMT((L9/12),$B11,-$B7)*L11</f>
        <v>0</v>
      </c>
      <c r="M12" s="225">
        <f>PMT((M9/12),$B11,-$B7)*M11</f>
        <v>0</v>
      </c>
      <c r="N12" s="225">
        <f>PMT((N9/12),$B11,-$B7)*N11</f>
        <v>0</v>
      </c>
      <c r="O12" s="225" t="e">
        <f>PMT((O9/12),$B11,-$B7)*O11</f>
        <v>#REF!</v>
      </c>
    </row>
    <row r="13" spans="1:15" x14ac:dyDescent="0.2">
      <c r="A13" s="224"/>
      <c r="B13" s="227"/>
      <c r="C13" s="227"/>
      <c r="D13" s="227"/>
      <c r="E13" s="227"/>
      <c r="F13" s="227"/>
      <c r="G13" s="227"/>
      <c r="H13" s="227"/>
      <c r="I13" s="224"/>
      <c r="J13" s="227"/>
      <c r="K13" s="227"/>
      <c r="L13" s="227"/>
      <c r="M13" s="227"/>
      <c r="N13" s="227"/>
      <c r="O13" s="227"/>
    </row>
    <row r="14" spans="1:15" x14ac:dyDescent="0.2">
      <c r="A14" s="224"/>
      <c r="B14" s="227"/>
      <c r="C14" s="227"/>
      <c r="D14" s="227"/>
      <c r="E14" s="227"/>
      <c r="F14" s="227"/>
      <c r="G14" s="227"/>
      <c r="H14" s="227"/>
      <c r="I14" s="224"/>
      <c r="J14" s="227"/>
      <c r="K14" s="227"/>
      <c r="L14" s="227"/>
      <c r="M14" s="227"/>
      <c r="N14" s="227"/>
      <c r="O14" s="227"/>
    </row>
    <row r="15" spans="1:15" ht="15.75" x14ac:dyDescent="0.25">
      <c r="A15" s="302">
        <f>C7</f>
        <v>2016</v>
      </c>
      <c r="B15" s="10"/>
      <c r="C15" s="10"/>
      <c r="D15" s="10"/>
      <c r="E15" s="10"/>
      <c r="F15" s="227"/>
      <c r="G15" s="227"/>
      <c r="H15" s="227"/>
      <c r="I15" s="302">
        <f>K7</f>
        <v>2018</v>
      </c>
      <c r="J15" s="10"/>
      <c r="K15" s="10"/>
      <c r="L15" s="10"/>
      <c r="M15" s="10"/>
      <c r="N15" s="227"/>
      <c r="O15" s="227"/>
    </row>
    <row r="16" spans="1:15" ht="15.75" x14ac:dyDescent="0.25">
      <c r="A16" s="302" t="s">
        <v>258</v>
      </c>
      <c r="B16" s="302" t="s">
        <v>259</v>
      </c>
      <c r="C16" s="302" t="s">
        <v>252</v>
      </c>
      <c r="D16" s="302" t="s">
        <v>253</v>
      </c>
      <c r="E16" s="302" t="s">
        <v>260</v>
      </c>
      <c r="I16" s="302" t="s">
        <v>258</v>
      </c>
      <c r="J16" s="302" t="s">
        <v>259</v>
      </c>
      <c r="K16" s="302" t="s">
        <v>252</v>
      </c>
      <c r="L16" s="302" t="s">
        <v>253</v>
      </c>
      <c r="M16" s="302" t="s">
        <v>260</v>
      </c>
    </row>
    <row r="17" spans="1:13" x14ac:dyDescent="0.2">
      <c r="A17" s="230">
        <v>0</v>
      </c>
      <c r="B17" s="230"/>
      <c r="C17" s="230"/>
      <c r="D17" s="230"/>
      <c r="E17" s="231">
        <f>B7</f>
        <v>0</v>
      </c>
      <c r="I17" s="230">
        <v>0</v>
      </c>
      <c r="J17" s="230"/>
      <c r="K17" s="230"/>
      <c r="L17" s="230"/>
      <c r="M17" s="231">
        <f>J7</f>
        <v>0</v>
      </c>
    </row>
    <row r="18" spans="1:13" x14ac:dyDescent="0.2">
      <c r="A18" s="230">
        <f t="shared" ref="A18:A29" si="0">IF(A17&lt;B$11,A17+1,"")</f>
        <v>1</v>
      </c>
      <c r="B18" s="231">
        <f>C18+D18</f>
        <v>0</v>
      </c>
      <c r="C18" s="232">
        <f t="shared" ref="C18:C29" si="1">PPMT((C$9/12),A18,B$11,-B$7)</f>
        <v>0</v>
      </c>
      <c r="D18" s="232">
        <f t="shared" ref="D18:D29" si="2">IPMT((C$9/12),A18,B$11,-B$7)</f>
        <v>0</v>
      </c>
      <c r="E18" s="231">
        <f>E17-C18</f>
        <v>0</v>
      </c>
      <c r="I18" s="230">
        <f t="shared" ref="I18:I29" si="3">IF(I17&lt;J$11,I17+1,"")</f>
        <v>1</v>
      </c>
      <c r="J18" s="231">
        <f>K18+L18</f>
        <v>0</v>
      </c>
      <c r="K18" s="232">
        <f>PPMT((K$9/12),I18,J$11,-J$7)</f>
        <v>0</v>
      </c>
      <c r="L18" s="232">
        <f>IPMT((K$9/12),I18,J$11,-J$7)</f>
        <v>0</v>
      </c>
      <c r="M18" s="231">
        <f>M17-K18</f>
        <v>0</v>
      </c>
    </row>
    <row r="19" spans="1:13" x14ac:dyDescent="0.2">
      <c r="A19" s="230">
        <f t="shared" si="0"/>
        <v>2</v>
      </c>
      <c r="B19" s="231">
        <f t="shared" ref="B19:B29" si="4">C19+D19</f>
        <v>0</v>
      </c>
      <c r="C19" s="232">
        <f t="shared" si="1"/>
        <v>0</v>
      </c>
      <c r="D19" s="232">
        <f t="shared" si="2"/>
        <v>0</v>
      </c>
      <c r="E19" s="231">
        <f>E18-C19</f>
        <v>0</v>
      </c>
      <c r="I19" s="230">
        <f t="shared" si="3"/>
        <v>2</v>
      </c>
      <c r="J19" s="231">
        <f t="shared" ref="J19:J29" si="5">K19+L19</f>
        <v>0</v>
      </c>
      <c r="K19" s="232">
        <f t="shared" ref="K19:K29" si="6">PPMT((K$9/12),I19,J$11,-J$7)</f>
        <v>0</v>
      </c>
      <c r="L19" s="232">
        <f t="shared" ref="L19:L29" si="7">IPMT((K$9/12),I19,J$11,-J$7)</f>
        <v>0</v>
      </c>
      <c r="M19" s="231">
        <f>M18-K19</f>
        <v>0</v>
      </c>
    </row>
    <row r="20" spans="1:13" x14ac:dyDescent="0.2">
      <c r="A20" s="230">
        <f t="shared" si="0"/>
        <v>3</v>
      </c>
      <c r="B20" s="231">
        <f t="shared" si="4"/>
        <v>0</v>
      </c>
      <c r="C20" s="232">
        <f t="shared" si="1"/>
        <v>0</v>
      </c>
      <c r="D20" s="232">
        <f t="shared" si="2"/>
        <v>0</v>
      </c>
      <c r="E20" s="231">
        <f>E19-C20</f>
        <v>0</v>
      </c>
      <c r="I20" s="230">
        <f t="shared" si="3"/>
        <v>3</v>
      </c>
      <c r="J20" s="231">
        <f t="shared" si="5"/>
        <v>0</v>
      </c>
      <c r="K20" s="232">
        <f t="shared" si="6"/>
        <v>0</v>
      </c>
      <c r="L20" s="232">
        <f t="shared" si="7"/>
        <v>0</v>
      </c>
      <c r="M20" s="231">
        <f>M19-K20</f>
        <v>0</v>
      </c>
    </row>
    <row r="21" spans="1:13" x14ac:dyDescent="0.2">
      <c r="A21" s="230">
        <f t="shared" si="0"/>
        <v>4</v>
      </c>
      <c r="B21" s="231">
        <f t="shared" si="4"/>
        <v>0</v>
      </c>
      <c r="C21" s="232">
        <f t="shared" si="1"/>
        <v>0</v>
      </c>
      <c r="D21" s="232">
        <f t="shared" si="2"/>
        <v>0</v>
      </c>
      <c r="E21" s="231">
        <f>E20-C21</f>
        <v>0</v>
      </c>
      <c r="I21" s="230">
        <f t="shared" si="3"/>
        <v>4</v>
      </c>
      <c r="J21" s="231">
        <f t="shared" si="5"/>
        <v>0</v>
      </c>
      <c r="K21" s="232">
        <f t="shared" si="6"/>
        <v>0</v>
      </c>
      <c r="L21" s="232">
        <f t="shared" si="7"/>
        <v>0</v>
      </c>
      <c r="M21" s="231">
        <f>M20-K21</f>
        <v>0</v>
      </c>
    </row>
    <row r="22" spans="1:13" x14ac:dyDescent="0.2">
      <c r="A22" s="230">
        <f t="shared" si="0"/>
        <v>5</v>
      </c>
      <c r="B22" s="231">
        <f t="shared" si="4"/>
        <v>0</v>
      </c>
      <c r="C22" s="232">
        <f t="shared" si="1"/>
        <v>0</v>
      </c>
      <c r="D22" s="232">
        <f t="shared" si="2"/>
        <v>0</v>
      </c>
      <c r="E22" s="231">
        <f t="shared" ref="E22:E29" si="8">E21-C22</f>
        <v>0</v>
      </c>
      <c r="I22" s="230">
        <f t="shared" si="3"/>
        <v>5</v>
      </c>
      <c r="J22" s="231">
        <f t="shared" si="5"/>
        <v>0</v>
      </c>
      <c r="K22" s="232">
        <f t="shared" si="6"/>
        <v>0</v>
      </c>
      <c r="L22" s="232">
        <f t="shared" si="7"/>
        <v>0</v>
      </c>
      <c r="M22" s="231">
        <f t="shared" ref="M22:M29" si="9">M21-K22</f>
        <v>0</v>
      </c>
    </row>
    <row r="23" spans="1:13" x14ac:dyDescent="0.2">
      <c r="A23" s="230">
        <f t="shared" si="0"/>
        <v>6</v>
      </c>
      <c r="B23" s="231">
        <f t="shared" si="4"/>
        <v>0</v>
      </c>
      <c r="C23" s="232">
        <f t="shared" si="1"/>
        <v>0</v>
      </c>
      <c r="D23" s="232">
        <f t="shared" si="2"/>
        <v>0</v>
      </c>
      <c r="E23" s="231">
        <f t="shared" si="8"/>
        <v>0</v>
      </c>
      <c r="I23" s="230">
        <f t="shared" si="3"/>
        <v>6</v>
      </c>
      <c r="J23" s="231">
        <f t="shared" si="5"/>
        <v>0</v>
      </c>
      <c r="K23" s="232">
        <f t="shared" si="6"/>
        <v>0</v>
      </c>
      <c r="L23" s="232">
        <f t="shared" si="7"/>
        <v>0</v>
      </c>
      <c r="M23" s="231">
        <f t="shared" si="9"/>
        <v>0</v>
      </c>
    </row>
    <row r="24" spans="1:13" x14ac:dyDescent="0.2">
      <c r="A24" s="230">
        <f t="shared" si="0"/>
        <v>7</v>
      </c>
      <c r="B24" s="231">
        <f t="shared" si="4"/>
        <v>0</v>
      </c>
      <c r="C24" s="232">
        <f t="shared" si="1"/>
        <v>0</v>
      </c>
      <c r="D24" s="232">
        <f t="shared" si="2"/>
        <v>0</v>
      </c>
      <c r="E24" s="231">
        <f t="shared" si="8"/>
        <v>0</v>
      </c>
      <c r="I24" s="230">
        <f t="shared" si="3"/>
        <v>7</v>
      </c>
      <c r="J24" s="231">
        <f t="shared" si="5"/>
        <v>0</v>
      </c>
      <c r="K24" s="232">
        <f t="shared" si="6"/>
        <v>0</v>
      </c>
      <c r="L24" s="232">
        <f t="shared" si="7"/>
        <v>0</v>
      </c>
      <c r="M24" s="231">
        <f t="shared" si="9"/>
        <v>0</v>
      </c>
    </row>
    <row r="25" spans="1:13" x14ac:dyDescent="0.2">
      <c r="A25" s="230">
        <f t="shared" si="0"/>
        <v>8</v>
      </c>
      <c r="B25" s="231">
        <f t="shared" si="4"/>
        <v>0</v>
      </c>
      <c r="C25" s="232">
        <f t="shared" si="1"/>
        <v>0</v>
      </c>
      <c r="D25" s="232">
        <f t="shared" si="2"/>
        <v>0</v>
      </c>
      <c r="E25" s="231">
        <f t="shared" si="8"/>
        <v>0</v>
      </c>
      <c r="I25" s="230">
        <f t="shared" si="3"/>
        <v>8</v>
      </c>
      <c r="J25" s="231">
        <f t="shared" si="5"/>
        <v>0</v>
      </c>
      <c r="K25" s="232">
        <f t="shared" si="6"/>
        <v>0</v>
      </c>
      <c r="L25" s="232">
        <f t="shared" si="7"/>
        <v>0</v>
      </c>
      <c r="M25" s="231">
        <f t="shared" si="9"/>
        <v>0</v>
      </c>
    </row>
    <row r="26" spans="1:13" x14ac:dyDescent="0.2">
      <c r="A26" s="230">
        <f t="shared" si="0"/>
        <v>9</v>
      </c>
      <c r="B26" s="231">
        <f t="shared" si="4"/>
        <v>0</v>
      </c>
      <c r="C26" s="232">
        <f t="shared" si="1"/>
        <v>0</v>
      </c>
      <c r="D26" s="232">
        <f t="shared" si="2"/>
        <v>0</v>
      </c>
      <c r="E26" s="231">
        <f t="shared" si="8"/>
        <v>0</v>
      </c>
      <c r="I26" s="230">
        <f t="shared" si="3"/>
        <v>9</v>
      </c>
      <c r="J26" s="231">
        <f t="shared" si="5"/>
        <v>0</v>
      </c>
      <c r="K26" s="232">
        <f t="shared" si="6"/>
        <v>0</v>
      </c>
      <c r="L26" s="232">
        <f t="shared" si="7"/>
        <v>0</v>
      </c>
      <c r="M26" s="231">
        <f t="shared" si="9"/>
        <v>0</v>
      </c>
    </row>
    <row r="27" spans="1:13" x14ac:dyDescent="0.2">
      <c r="A27" s="230">
        <f t="shared" si="0"/>
        <v>10</v>
      </c>
      <c r="B27" s="231">
        <f t="shared" si="4"/>
        <v>0</v>
      </c>
      <c r="C27" s="232">
        <f t="shared" si="1"/>
        <v>0</v>
      </c>
      <c r="D27" s="232">
        <f t="shared" si="2"/>
        <v>0</v>
      </c>
      <c r="E27" s="231">
        <f t="shared" si="8"/>
        <v>0</v>
      </c>
      <c r="I27" s="230">
        <f t="shared" si="3"/>
        <v>10</v>
      </c>
      <c r="J27" s="231">
        <f t="shared" si="5"/>
        <v>0</v>
      </c>
      <c r="K27" s="232">
        <f t="shared" si="6"/>
        <v>0</v>
      </c>
      <c r="L27" s="232">
        <f t="shared" si="7"/>
        <v>0</v>
      </c>
      <c r="M27" s="231">
        <f t="shared" si="9"/>
        <v>0</v>
      </c>
    </row>
    <row r="28" spans="1:13" x14ac:dyDescent="0.2">
      <c r="A28" s="230">
        <f t="shared" si="0"/>
        <v>11</v>
      </c>
      <c r="B28" s="231">
        <f t="shared" si="4"/>
        <v>0</v>
      </c>
      <c r="C28" s="232">
        <f t="shared" si="1"/>
        <v>0</v>
      </c>
      <c r="D28" s="232">
        <f t="shared" si="2"/>
        <v>0</v>
      </c>
      <c r="E28" s="231">
        <f t="shared" si="8"/>
        <v>0</v>
      </c>
      <c r="I28" s="230">
        <f t="shared" si="3"/>
        <v>11</v>
      </c>
      <c r="J28" s="231">
        <f t="shared" si="5"/>
        <v>0</v>
      </c>
      <c r="K28" s="232">
        <f t="shared" si="6"/>
        <v>0</v>
      </c>
      <c r="L28" s="232">
        <f t="shared" si="7"/>
        <v>0</v>
      </c>
      <c r="M28" s="231">
        <f t="shared" si="9"/>
        <v>0</v>
      </c>
    </row>
    <row r="29" spans="1:13" x14ac:dyDescent="0.2">
      <c r="A29" s="230">
        <f t="shared" si="0"/>
        <v>12</v>
      </c>
      <c r="B29" s="231">
        <f t="shared" si="4"/>
        <v>0</v>
      </c>
      <c r="C29" s="232">
        <f t="shared" si="1"/>
        <v>0</v>
      </c>
      <c r="D29" s="232">
        <f t="shared" si="2"/>
        <v>0</v>
      </c>
      <c r="E29" s="231">
        <f t="shared" si="8"/>
        <v>0</v>
      </c>
      <c r="I29" s="230">
        <f t="shared" si="3"/>
        <v>12</v>
      </c>
      <c r="J29" s="231">
        <f t="shared" si="5"/>
        <v>0</v>
      </c>
      <c r="K29" s="232">
        <f t="shared" si="6"/>
        <v>0</v>
      </c>
      <c r="L29" s="232">
        <f t="shared" si="7"/>
        <v>0</v>
      </c>
      <c r="M29" s="231">
        <f t="shared" si="9"/>
        <v>0</v>
      </c>
    </row>
    <row r="30" spans="1:13" ht="15.75" x14ac:dyDescent="0.25">
      <c r="A30" s="302" t="s">
        <v>9</v>
      </c>
      <c r="B30" s="231">
        <f>SUM(B18:B29)</f>
        <v>0</v>
      </c>
      <c r="C30" s="231">
        <f>SUM(C18:C29)</f>
        <v>0</v>
      </c>
      <c r="D30" s="231">
        <f>SUM(D18:D29)</f>
        <v>0</v>
      </c>
      <c r="E30" s="231">
        <f>E29</f>
        <v>0</v>
      </c>
      <c r="I30" s="302" t="s">
        <v>9</v>
      </c>
      <c r="J30" s="231">
        <f>SUM(J18:J29)</f>
        <v>0</v>
      </c>
      <c r="K30" s="231">
        <f>SUM(K18:K29)</f>
        <v>0</v>
      </c>
      <c r="L30" s="231">
        <f>SUM(L18:L29)</f>
        <v>0</v>
      </c>
      <c r="M30" s="231">
        <f>M29</f>
        <v>0</v>
      </c>
    </row>
    <row r="31" spans="1:13" s="11" customFormat="1" ht="18.75" x14ac:dyDescent="0.3">
      <c r="A31" s="83"/>
      <c r="B31" s="234"/>
      <c r="C31" s="234"/>
      <c r="D31" s="234"/>
      <c r="E31" s="234"/>
      <c r="F31" s="236"/>
      <c r="I31" s="83"/>
      <c r="J31" s="234"/>
      <c r="K31" s="234"/>
      <c r="L31" s="234"/>
      <c r="M31" s="234"/>
    </row>
    <row r="32" spans="1:13" ht="15.75" x14ac:dyDescent="0.25">
      <c r="A32" s="302">
        <f>D7</f>
        <v>2017</v>
      </c>
      <c r="B32" s="235"/>
      <c r="C32" s="235"/>
      <c r="D32" s="235"/>
      <c r="E32" s="235"/>
      <c r="I32" s="302">
        <f>L7</f>
        <v>2019</v>
      </c>
      <c r="J32" s="235"/>
      <c r="K32" s="235"/>
      <c r="L32" s="235"/>
      <c r="M32" s="235"/>
    </row>
    <row r="33" spans="1:13" ht="15.75" x14ac:dyDescent="0.25">
      <c r="A33" s="302" t="s">
        <v>258</v>
      </c>
      <c r="B33" s="302" t="s">
        <v>259</v>
      </c>
      <c r="C33" s="302" t="s">
        <v>252</v>
      </c>
      <c r="D33" s="302" t="s">
        <v>253</v>
      </c>
      <c r="E33" s="302" t="s">
        <v>260</v>
      </c>
      <c r="I33" s="302" t="s">
        <v>258</v>
      </c>
      <c r="J33" s="302" t="s">
        <v>259</v>
      </c>
      <c r="K33" s="302" t="s">
        <v>252</v>
      </c>
      <c r="L33" s="302" t="s">
        <v>253</v>
      </c>
      <c r="M33" s="302" t="s">
        <v>260</v>
      </c>
    </row>
    <row r="34" spans="1:13" x14ac:dyDescent="0.2">
      <c r="A34" s="230">
        <v>0</v>
      </c>
      <c r="B34" s="230"/>
      <c r="C34" s="230"/>
      <c r="D34" s="230"/>
      <c r="E34" s="231">
        <f>E29</f>
        <v>0</v>
      </c>
      <c r="I34" s="230">
        <v>0</v>
      </c>
      <c r="J34" s="230"/>
      <c r="K34" s="230"/>
      <c r="L34" s="230"/>
      <c r="M34" s="231">
        <f>M29</f>
        <v>0</v>
      </c>
    </row>
    <row r="35" spans="1:13" x14ac:dyDescent="0.2">
      <c r="A35" s="230">
        <f>A29+1</f>
        <v>13</v>
      </c>
      <c r="B35" s="231">
        <f>C35+D35</f>
        <v>0</v>
      </c>
      <c r="C35" s="232">
        <f t="shared" ref="C35:C46" si="10">PPMT((D$9/12),A35,B$11,-B$7)</f>
        <v>0</v>
      </c>
      <c r="D35" s="232">
        <f t="shared" ref="D35:D46" si="11">IPMT((D$9/12),A35,B$11,-B$7)</f>
        <v>0</v>
      </c>
      <c r="E35" s="231">
        <f>E34-C35</f>
        <v>0</v>
      </c>
      <c r="I35" s="230">
        <f>I29+1</f>
        <v>13</v>
      </c>
      <c r="J35" s="231">
        <f>K35+L35</f>
        <v>0</v>
      </c>
      <c r="K35" s="232">
        <f t="shared" ref="K35:K46" si="12">PPMT((L$9/12),I35,J$11,-J$7)</f>
        <v>0</v>
      </c>
      <c r="L35" s="232">
        <f t="shared" ref="L35:L46" si="13">IPMT((L$9/12),I35,J$11,-J$7)</f>
        <v>0</v>
      </c>
      <c r="M35" s="231">
        <f>M34-K35</f>
        <v>0</v>
      </c>
    </row>
    <row r="36" spans="1:13" x14ac:dyDescent="0.2">
      <c r="A36" s="230">
        <f t="shared" ref="A36:A46" si="14">IF(A35&lt;B$11,A35+1,"")</f>
        <v>14</v>
      </c>
      <c r="B36" s="231">
        <f t="shared" ref="B36:B46" si="15">C36+D36</f>
        <v>0</v>
      </c>
      <c r="C36" s="232">
        <f t="shared" si="10"/>
        <v>0</v>
      </c>
      <c r="D36" s="232">
        <f t="shared" si="11"/>
        <v>0</v>
      </c>
      <c r="E36" s="231">
        <f t="shared" ref="E36:E46" si="16">E35-C36</f>
        <v>0</v>
      </c>
      <c r="I36" s="230">
        <f t="shared" ref="I36:I46" si="17">IF(I35&lt;J$11,I35+1,"")</f>
        <v>14</v>
      </c>
      <c r="J36" s="231">
        <f t="shared" ref="J36:J46" si="18">K36+L36</f>
        <v>0</v>
      </c>
      <c r="K36" s="232">
        <f t="shared" si="12"/>
        <v>0</v>
      </c>
      <c r="L36" s="232">
        <f t="shared" si="13"/>
        <v>0</v>
      </c>
      <c r="M36" s="231">
        <f t="shared" ref="M36:M46" si="19">M35-K36</f>
        <v>0</v>
      </c>
    </row>
    <row r="37" spans="1:13" x14ac:dyDescent="0.2">
      <c r="A37" s="230">
        <f t="shared" si="14"/>
        <v>15</v>
      </c>
      <c r="B37" s="231">
        <f t="shared" si="15"/>
        <v>0</v>
      </c>
      <c r="C37" s="232">
        <f t="shared" si="10"/>
        <v>0</v>
      </c>
      <c r="D37" s="232">
        <f t="shared" si="11"/>
        <v>0</v>
      </c>
      <c r="E37" s="231">
        <f t="shared" si="16"/>
        <v>0</v>
      </c>
      <c r="I37" s="230">
        <f t="shared" si="17"/>
        <v>15</v>
      </c>
      <c r="J37" s="231">
        <f t="shared" si="18"/>
        <v>0</v>
      </c>
      <c r="K37" s="232">
        <f t="shared" si="12"/>
        <v>0</v>
      </c>
      <c r="L37" s="232">
        <f t="shared" si="13"/>
        <v>0</v>
      </c>
      <c r="M37" s="231">
        <f t="shared" si="19"/>
        <v>0</v>
      </c>
    </row>
    <row r="38" spans="1:13" x14ac:dyDescent="0.2">
      <c r="A38" s="230">
        <f t="shared" si="14"/>
        <v>16</v>
      </c>
      <c r="B38" s="231">
        <f t="shared" si="15"/>
        <v>0</v>
      </c>
      <c r="C38" s="232">
        <f t="shared" si="10"/>
        <v>0</v>
      </c>
      <c r="D38" s="232">
        <f t="shared" si="11"/>
        <v>0</v>
      </c>
      <c r="E38" s="231">
        <f t="shared" si="16"/>
        <v>0</v>
      </c>
      <c r="I38" s="230">
        <f t="shared" si="17"/>
        <v>16</v>
      </c>
      <c r="J38" s="231">
        <f t="shared" si="18"/>
        <v>0</v>
      </c>
      <c r="K38" s="232">
        <f t="shared" si="12"/>
        <v>0</v>
      </c>
      <c r="L38" s="232">
        <f t="shared" si="13"/>
        <v>0</v>
      </c>
      <c r="M38" s="231">
        <f t="shared" si="19"/>
        <v>0</v>
      </c>
    </row>
    <row r="39" spans="1:13" x14ac:dyDescent="0.2">
      <c r="A39" s="230">
        <f t="shared" si="14"/>
        <v>17</v>
      </c>
      <c r="B39" s="231">
        <f t="shared" si="15"/>
        <v>0</v>
      </c>
      <c r="C39" s="232">
        <f t="shared" si="10"/>
        <v>0</v>
      </c>
      <c r="D39" s="232">
        <f t="shared" si="11"/>
        <v>0</v>
      </c>
      <c r="E39" s="231">
        <f t="shared" si="16"/>
        <v>0</v>
      </c>
      <c r="I39" s="230">
        <f t="shared" si="17"/>
        <v>17</v>
      </c>
      <c r="J39" s="231">
        <f t="shared" si="18"/>
        <v>0</v>
      </c>
      <c r="K39" s="232">
        <f t="shared" si="12"/>
        <v>0</v>
      </c>
      <c r="L39" s="232">
        <f t="shared" si="13"/>
        <v>0</v>
      </c>
      <c r="M39" s="231">
        <f t="shared" si="19"/>
        <v>0</v>
      </c>
    </row>
    <row r="40" spans="1:13" x14ac:dyDescent="0.2">
      <c r="A40" s="230">
        <f t="shared" si="14"/>
        <v>18</v>
      </c>
      <c r="B40" s="231">
        <f t="shared" si="15"/>
        <v>0</v>
      </c>
      <c r="C40" s="232">
        <f t="shared" si="10"/>
        <v>0</v>
      </c>
      <c r="D40" s="232">
        <f t="shared" si="11"/>
        <v>0</v>
      </c>
      <c r="E40" s="231">
        <f t="shared" si="16"/>
        <v>0</v>
      </c>
      <c r="I40" s="230">
        <f t="shared" si="17"/>
        <v>18</v>
      </c>
      <c r="J40" s="231">
        <f t="shared" si="18"/>
        <v>0</v>
      </c>
      <c r="K40" s="232">
        <f t="shared" si="12"/>
        <v>0</v>
      </c>
      <c r="L40" s="232">
        <f t="shared" si="13"/>
        <v>0</v>
      </c>
      <c r="M40" s="231">
        <f t="shared" si="19"/>
        <v>0</v>
      </c>
    </row>
    <row r="41" spans="1:13" x14ac:dyDescent="0.2">
      <c r="A41" s="230">
        <f t="shared" si="14"/>
        <v>19</v>
      </c>
      <c r="B41" s="231">
        <f t="shared" si="15"/>
        <v>0</v>
      </c>
      <c r="C41" s="232">
        <f t="shared" si="10"/>
        <v>0</v>
      </c>
      <c r="D41" s="232">
        <f t="shared" si="11"/>
        <v>0</v>
      </c>
      <c r="E41" s="231">
        <f t="shared" si="16"/>
        <v>0</v>
      </c>
      <c r="I41" s="230">
        <f t="shared" si="17"/>
        <v>19</v>
      </c>
      <c r="J41" s="231">
        <f t="shared" si="18"/>
        <v>0</v>
      </c>
      <c r="K41" s="232">
        <f t="shared" si="12"/>
        <v>0</v>
      </c>
      <c r="L41" s="232">
        <f t="shared" si="13"/>
        <v>0</v>
      </c>
      <c r="M41" s="231">
        <f t="shared" si="19"/>
        <v>0</v>
      </c>
    </row>
    <row r="42" spans="1:13" x14ac:dyDescent="0.2">
      <c r="A42" s="230">
        <f t="shared" si="14"/>
        <v>20</v>
      </c>
      <c r="B42" s="231">
        <f t="shared" si="15"/>
        <v>0</v>
      </c>
      <c r="C42" s="232">
        <f t="shared" si="10"/>
        <v>0</v>
      </c>
      <c r="D42" s="232">
        <f t="shared" si="11"/>
        <v>0</v>
      </c>
      <c r="E42" s="231">
        <f t="shared" si="16"/>
        <v>0</v>
      </c>
      <c r="I42" s="230">
        <f t="shared" si="17"/>
        <v>20</v>
      </c>
      <c r="J42" s="231">
        <f t="shared" si="18"/>
        <v>0</v>
      </c>
      <c r="K42" s="232">
        <f t="shared" si="12"/>
        <v>0</v>
      </c>
      <c r="L42" s="232">
        <f t="shared" si="13"/>
        <v>0</v>
      </c>
      <c r="M42" s="231">
        <f t="shared" si="19"/>
        <v>0</v>
      </c>
    </row>
    <row r="43" spans="1:13" x14ac:dyDescent="0.2">
      <c r="A43" s="230">
        <f t="shared" si="14"/>
        <v>21</v>
      </c>
      <c r="B43" s="231">
        <f t="shared" si="15"/>
        <v>0</v>
      </c>
      <c r="C43" s="232">
        <f t="shared" si="10"/>
        <v>0</v>
      </c>
      <c r="D43" s="232">
        <f t="shared" si="11"/>
        <v>0</v>
      </c>
      <c r="E43" s="231">
        <f t="shared" si="16"/>
        <v>0</v>
      </c>
      <c r="I43" s="230">
        <f t="shared" si="17"/>
        <v>21</v>
      </c>
      <c r="J43" s="231">
        <f t="shared" si="18"/>
        <v>0</v>
      </c>
      <c r="K43" s="232">
        <f t="shared" si="12"/>
        <v>0</v>
      </c>
      <c r="L43" s="232">
        <f t="shared" si="13"/>
        <v>0</v>
      </c>
      <c r="M43" s="231">
        <f t="shared" si="19"/>
        <v>0</v>
      </c>
    </row>
    <row r="44" spans="1:13" x14ac:dyDescent="0.2">
      <c r="A44" s="230">
        <f t="shared" si="14"/>
        <v>22</v>
      </c>
      <c r="B44" s="231">
        <f t="shared" si="15"/>
        <v>0</v>
      </c>
      <c r="C44" s="232">
        <f t="shared" si="10"/>
        <v>0</v>
      </c>
      <c r="D44" s="232">
        <f t="shared" si="11"/>
        <v>0</v>
      </c>
      <c r="E44" s="231">
        <f t="shared" si="16"/>
        <v>0</v>
      </c>
      <c r="I44" s="230">
        <f t="shared" si="17"/>
        <v>22</v>
      </c>
      <c r="J44" s="231">
        <f t="shared" si="18"/>
        <v>0</v>
      </c>
      <c r="K44" s="232">
        <f t="shared" si="12"/>
        <v>0</v>
      </c>
      <c r="L44" s="232">
        <f t="shared" si="13"/>
        <v>0</v>
      </c>
      <c r="M44" s="231">
        <f t="shared" si="19"/>
        <v>0</v>
      </c>
    </row>
    <row r="45" spans="1:13" x14ac:dyDescent="0.2">
      <c r="A45" s="230">
        <f t="shared" si="14"/>
        <v>23</v>
      </c>
      <c r="B45" s="231">
        <f t="shared" si="15"/>
        <v>0</v>
      </c>
      <c r="C45" s="232">
        <f t="shared" si="10"/>
        <v>0</v>
      </c>
      <c r="D45" s="232">
        <f t="shared" si="11"/>
        <v>0</v>
      </c>
      <c r="E45" s="231">
        <f t="shared" si="16"/>
        <v>0</v>
      </c>
      <c r="I45" s="230">
        <f t="shared" si="17"/>
        <v>23</v>
      </c>
      <c r="J45" s="231">
        <f t="shared" si="18"/>
        <v>0</v>
      </c>
      <c r="K45" s="232">
        <f t="shared" si="12"/>
        <v>0</v>
      </c>
      <c r="L45" s="232">
        <f t="shared" si="13"/>
        <v>0</v>
      </c>
      <c r="M45" s="231">
        <f t="shared" si="19"/>
        <v>0</v>
      </c>
    </row>
    <row r="46" spans="1:13" x14ac:dyDescent="0.2">
      <c r="A46" s="230">
        <f t="shared" si="14"/>
        <v>24</v>
      </c>
      <c r="B46" s="231">
        <f t="shared" si="15"/>
        <v>0</v>
      </c>
      <c r="C46" s="232">
        <f t="shared" si="10"/>
        <v>0</v>
      </c>
      <c r="D46" s="232">
        <f t="shared" si="11"/>
        <v>0</v>
      </c>
      <c r="E46" s="231">
        <f t="shared" si="16"/>
        <v>0</v>
      </c>
      <c r="I46" s="230">
        <f t="shared" si="17"/>
        <v>24</v>
      </c>
      <c r="J46" s="231">
        <f t="shared" si="18"/>
        <v>0</v>
      </c>
      <c r="K46" s="232">
        <f t="shared" si="12"/>
        <v>0</v>
      </c>
      <c r="L46" s="232">
        <f t="shared" si="13"/>
        <v>0</v>
      </c>
      <c r="M46" s="231">
        <f t="shared" si="19"/>
        <v>0</v>
      </c>
    </row>
    <row r="47" spans="1:13" ht="15.75" x14ac:dyDescent="0.25">
      <c r="A47" s="302" t="s">
        <v>9</v>
      </c>
      <c r="B47" s="231">
        <f>SUM(B35:B46)</f>
        <v>0</v>
      </c>
      <c r="C47" s="231">
        <f>SUM(C35:C46)</f>
        <v>0</v>
      </c>
      <c r="D47" s="231">
        <f>SUM(D35:D46)</f>
        <v>0</v>
      </c>
      <c r="E47" s="231">
        <f>E46</f>
        <v>0</v>
      </c>
      <c r="I47" s="302" t="s">
        <v>9</v>
      </c>
      <c r="J47" s="231">
        <f>SUM(J35:J46)</f>
        <v>0</v>
      </c>
      <c r="K47" s="231">
        <f>SUM(K35:K46)</f>
        <v>0</v>
      </c>
      <c r="L47" s="231">
        <f>SUM(L35:L46)</f>
        <v>0</v>
      </c>
      <c r="M47" s="231">
        <f>M46</f>
        <v>0</v>
      </c>
    </row>
    <row r="48" spans="1:13" ht="18.75" x14ac:dyDescent="0.3">
      <c r="A48" s="83"/>
      <c r="B48" s="233"/>
      <c r="C48" s="233"/>
      <c r="D48" s="233"/>
      <c r="E48" s="233"/>
      <c r="I48" s="83"/>
      <c r="J48" s="233"/>
      <c r="K48" s="233"/>
      <c r="L48" s="233"/>
      <c r="M48" s="233"/>
    </row>
    <row r="49" spans="1:13" ht="15.75" x14ac:dyDescent="0.25">
      <c r="A49" s="302">
        <f>E7</f>
        <v>2018</v>
      </c>
      <c r="B49" s="235"/>
      <c r="C49" s="235"/>
      <c r="D49" s="235"/>
      <c r="E49" s="235"/>
      <c r="I49" s="302">
        <f>M7</f>
        <v>2020</v>
      </c>
      <c r="J49" s="235"/>
      <c r="K49" s="235"/>
      <c r="L49" s="235"/>
      <c r="M49" s="235"/>
    </row>
    <row r="50" spans="1:13" ht="15.75" x14ac:dyDescent="0.25">
      <c r="A50" s="302" t="s">
        <v>258</v>
      </c>
      <c r="B50" s="302" t="s">
        <v>259</v>
      </c>
      <c r="C50" s="302" t="s">
        <v>252</v>
      </c>
      <c r="D50" s="302" t="s">
        <v>253</v>
      </c>
      <c r="E50" s="302" t="s">
        <v>260</v>
      </c>
      <c r="I50" s="302" t="s">
        <v>258</v>
      </c>
      <c r="J50" s="302" t="s">
        <v>259</v>
      </c>
      <c r="K50" s="302" t="s">
        <v>252</v>
      </c>
      <c r="L50" s="302" t="s">
        <v>253</v>
      </c>
      <c r="M50" s="302" t="s">
        <v>260</v>
      </c>
    </row>
    <row r="51" spans="1:13" x14ac:dyDescent="0.2">
      <c r="A51" s="230">
        <v>0</v>
      </c>
      <c r="B51" s="230"/>
      <c r="C51" s="230"/>
      <c r="D51" s="230"/>
      <c r="E51" s="231">
        <f>E46</f>
        <v>0</v>
      </c>
      <c r="I51" s="230">
        <v>0</v>
      </c>
      <c r="J51" s="230"/>
      <c r="K51" s="230"/>
      <c r="L51" s="230"/>
      <c r="M51" s="231">
        <f>M46</f>
        <v>0</v>
      </c>
    </row>
    <row r="52" spans="1:13" x14ac:dyDescent="0.2">
      <c r="A52" s="230">
        <f>A46+1</f>
        <v>25</v>
      </c>
      <c r="B52" s="231">
        <f>C52+D52</f>
        <v>0</v>
      </c>
      <c r="C52" s="232">
        <f t="shared" ref="C52:C63" si="20">PPMT((E$9/12),A52,B$11,-B$7)</f>
        <v>0</v>
      </c>
      <c r="D52" s="232">
        <f t="shared" ref="D52:D63" si="21">IPMT((E$9/12),A52,B$11,-B$7)</f>
        <v>0</v>
      </c>
      <c r="E52" s="231">
        <f>E51-C52</f>
        <v>0</v>
      </c>
      <c r="I52" s="230">
        <f>I46+1</f>
        <v>25</v>
      </c>
      <c r="J52" s="231">
        <f>K52+L52</f>
        <v>0</v>
      </c>
      <c r="K52" s="232">
        <f t="shared" ref="K52:K63" si="22">PPMT((M$9/12),I52,J$11,-J$7)</f>
        <v>0</v>
      </c>
      <c r="L52" s="232">
        <f t="shared" ref="L52:L63" si="23">IPMT((M$9/12),I52,J$11,-J$7)</f>
        <v>0</v>
      </c>
      <c r="M52" s="231">
        <f>M51-K52</f>
        <v>0</v>
      </c>
    </row>
    <row r="53" spans="1:13" x14ac:dyDescent="0.2">
      <c r="A53" s="230">
        <f t="shared" ref="A53:A63" si="24">IF(A52&lt;B$11,A52+1,"")</f>
        <v>26</v>
      </c>
      <c r="B53" s="231">
        <f t="shared" ref="B53:B63" si="25">C53+D53</f>
        <v>0</v>
      </c>
      <c r="C53" s="232">
        <f t="shared" si="20"/>
        <v>0</v>
      </c>
      <c r="D53" s="232">
        <f t="shared" si="21"/>
        <v>0</v>
      </c>
      <c r="E53" s="231">
        <f t="shared" ref="E53:E63" si="26">E52-C53</f>
        <v>0</v>
      </c>
      <c r="I53" s="230">
        <f t="shared" ref="I53:I63" si="27">IF(I52&lt;J$11,I52+1,"")</f>
        <v>26</v>
      </c>
      <c r="J53" s="231">
        <f t="shared" ref="J53:J63" si="28">K53+L53</f>
        <v>0</v>
      </c>
      <c r="K53" s="232">
        <f t="shared" si="22"/>
        <v>0</v>
      </c>
      <c r="L53" s="232">
        <f t="shared" si="23"/>
        <v>0</v>
      </c>
      <c r="M53" s="231">
        <f t="shared" ref="M53:M63" si="29">M52-K53</f>
        <v>0</v>
      </c>
    </row>
    <row r="54" spans="1:13" x14ac:dyDescent="0.2">
      <c r="A54" s="230">
        <f t="shared" si="24"/>
        <v>27</v>
      </c>
      <c r="B54" s="231">
        <f t="shared" si="25"/>
        <v>0</v>
      </c>
      <c r="C54" s="232">
        <f t="shared" si="20"/>
        <v>0</v>
      </c>
      <c r="D54" s="232">
        <f t="shared" si="21"/>
        <v>0</v>
      </c>
      <c r="E54" s="231">
        <f t="shared" si="26"/>
        <v>0</v>
      </c>
      <c r="I54" s="230">
        <f t="shared" si="27"/>
        <v>27</v>
      </c>
      <c r="J54" s="231">
        <f t="shared" si="28"/>
        <v>0</v>
      </c>
      <c r="K54" s="232">
        <f t="shared" si="22"/>
        <v>0</v>
      </c>
      <c r="L54" s="232">
        <f t="shared" si="23"/>
        <v>0</v>
      </c>
      <c r="M54" s="231">
        <f t="shared" si="29"/>
        <v>0</v>
      </c>
    </row>
    <row r="55" spans="1:13" x14ac:dyDescent="0.2">
      <c r="A55" s="230">
        <f t="shared" si="24"/>
        <v>28</v>
      </c>
      <c r="B55" s="231">
        <f t="shared" si="25"/>
        <v>0</v>
      </c>
      <c r="C55" s="232">
        <f t="shared" si="20"/>
        <v>0</v>
      </c>
      <c r="D55" s="232">
        <f t="shared" si="21"/>
        <v>0</v>
      </c>
      <c r="E55" s="231">
        <f t="shared" si="26"/>
        <v>0</v>
      </c>
      <c r="I55" s="230">
        <f t="shared" si="27"/>
        <v>28</v>
      </c>
      <c r="J55" s="231">
        <f t="shared" si="28"/>
        <v>0</v>
      </c>
      <c r="K55" s="232">
        <f t="shared" si="22"/>
        <v>0</v>
      </c>
      <c r="L55" s="232">
        <f t="shared" si="23"/>
        <v>0</v>
      </c>
      <c r="M55" s="231">
        <f t="shared" si="29"/>
        <v>0</v>
      </c>
    </row>
    <row r="56" spans="1:13" x14ac:dyDescent="0.2">
      <c r="A56" s="230">
        <f t="shared" si="24"/>
        <v>29</v>
      </c>
      <c r="B56" s="231">
        <f t="shared" si="25"/>
        <v>0</v>
      </c>
      <c r="C56" s="232">
        <f t="shared" si="20"/>
        <v>0</v>
      </c>
      <c r="D56" s="232">
        <f t="shared" si="21"/>
        <v>0</v>
      </c>
      <c r="E56" s="231">
        <f t="shared" si="26"/>
        <v>0</v>
      </c>
      <c r="I56" s="230">
        <f t="shared" si="27"/>
        <v>29</v>
      </c>
      <c r="J56" s="231">
        <f t="shared" si="28"/>
        <v>0</v>
      </c>
      <c r="K56" s="232">
        <f t="shared" si="22"/>
        <v>0</v>
      </c>
      <c r="L56" s="232">
        <f t="shared" si="23"/>
        <v>0</v>
      </c>
      <c r="M56" s="231">
        <f t="shared" si="29"/>
        <v>0</v>
      </c>
    </row>
    <row r="57" spans="1:13" x14ac:dyDescent="0.2">
      <c r="A57" s="230">
        <f t="shared" si="24"/>
        <v>30</v>
      </c>
      <c r="B57" s="231">
        <f t="shared" si="25"/>
        <v>0</v>
      </c>
      <c r="C57" s="232">
        <f t="shared" si="20"/>
        <v>0</v>
      </c>
      <c r="D57" s="232">
        <f t="shared" si="21"/>
        <v>0</v>
      </c>
      <c r="E57" s="231">
        <f t="shared" si="26"/>
        <v>0</v>
      </c>
      <c r="I57" s="230">
        <f t="shared" si="27"/>
        <v>30</v>
      </c>
      <c r="J57" s="231">
        <f t="shared" si="28"/>
        <v>0</v>
      </c>
      <c r="K57" s="232">
        <f t="shared" si="22"/>
        <v>0</v>
      </c>
      <c r="L57" s="232">
        <f t="shared" si="23"/>
        <v>0</v>
      </c>
      <c r="M57" s="231">
        <f t="shared" si="29"/>
        <v>0</v>
      </c>
    </row>
    <row r="58" spans="1:13" x14ac:dyDescent="0.2">
      <c r="A58" s="230">
        <f t="shared" si="24"/>
        <v>31</v>
      </c>
      <c r="B58" s="231">
        <f t="shared" si="25"/>
        <v>0</v>
      </c>
      <c r="C58" s="232">
        <f t="shared" si="20"/>
        <v>0</v>
      </c>
      <c r="D58" s="232">
        <f t="shared" si="21"/>
        <v>0</v>
      </c>
      <c r="E58" s="231">
        <f t="shared" si="26"/>
        <v>0</v>
      </c>
      <c r="I58" s="230">
        <f t="shared" si="27"/>
        <v>31</v>
      </c>
      <c r="J58" s="231">
        <f t="shared" si="28"/>
        <v>0</v>
      </c>
      <c r="K58" s="232">
        <f t="shared" si="22"/>
        <v>0</v>
      </c>
      <c r="L58" s="232">
        <f t="shared" si="23"/>
        <v>0</v>
      </c>
      <c r="M58" s="231">
        <f t="shared" si="29"/>
        <v>0</v>
      </c>
    </row>
    <row r="59" spans="1:13" x14ac:dyDescent="0.2">
      <c r="A59" s="230">
        <f t="shared" si="24"/>
        <v>32</v>
      </c>
      <c r="B59" s="231">
        <f t="shared" si="25"/>
        <v>0</v>
      </c>
      <c r="C59" s="232">
        <f t="shared" si="20"/>
        <v>0</v>
      </c>
      <c r="D59" s="232">
        <f t="shared" si="21"/>
        <v>0</v>
      </c>
      <c r="E59" s="231">
        <f t="shared" si="26"/>
        <v>0</v>
      </c>
      <c r="I59" s="230">
        <f t="shared" si="27"/>
        <v>32</v>
      </c>
      <c r="J59" s="231">
        <f t="shared" si="28"/>
        <v>0</v>
      </c>
      <c r="K59" s="232">
        <f t="shared" si="22"/>
        <v>0</v>
      </c>
      <c r="L59" s="232">
        <f t="shared" si="23"/>
        <v>0</v>
      </c>
      <c r="M59" s="231">
        <f t="shared" si="29"/>
        <v>0</v>
      </c>
    </row>
    <row r="60" spans="1:13" x14ac:dyDescent="0.2">
      <c r="A60" s="230">
        <f t="shared" si="24"/>
        <v>33</v>
      </c>
      <c r="B60" s="231">
        <f t="shared" si="25"/>
        <v>0</v>
      </c>
      <c r="C60" s="232">
        <f t="shared" si="20"/>
        <v>0</v>
      </c>
      <c r="D60" s="232">
        <f t="shared" si="21"/>
        <v>0</v>
      </c>
      <c r="E60" s="231">
        <f t="shared" si="26"/>
        <v>0</v>
      </c>
      <c r="I60" s="230">
        <f t="shared" si="27"/>
        <v>33</v>
      </c>
      <c r="J60" s="231">
        <f t="shared" si="28"/>
        <v>0</v>
      </c>
      <c r="K60" s="232">
        <f t="shared" si="22"/>
        <v>0</v>
      </c>
      <c r="L60" s="232">
        <f t="shared" si="23"/>
        <v>0</v>
      </c>
      <c r="M60" s="231">
        <f t="shared" si="29"/>
        <v>0</v>
      </c>
    </row>
    <row r="61" spans="1:13" x14ac:dyDescent="0.2">
      <c r="A61" s="230">
        <f t="shared" si="24"/>
        <v>34</v>
      </c>
      <c r="B61" s="231">
        <f t="shared" si="25"/>
        <v>0</v>
      </c>
      <c r="C61" s="232">
        <f t="shared" si="20"/>
        <v>0</v>
      </c>
      <c r="D61" s="232">
        <f t="shared" si="21"/>
        <v>0</v>
      </c>
      <c r="E61" s="231">
        <f t="shared" si="26"/>
        <v>0</v>
      </c>
      <c r="I61" s="230">
        <f t="shared" si="27"/>
        <v>34</v>
      </c>
      <c r="J61" s="231">
        <f t="shared" si="28"/>
        <v>0</v>
      </c>
      <c r="K61" s="232">
        <f t="shared" si="22"/>
        <v>0</v>
      </c>
      <c r="L61" s="232">
        <f t="shared" si="23"/>
        <v>0</v>
      </c>
      <c r="M61" s="231">
        <f t="shared" si="29"/>
        <v>0</v>
      </c>
    </row>
    <row r="62" spans="1:13" x14ac:dyDescent="0.2">
      <c r="A62" s="230">
        <f t="shared" si="24"/>
        <v>35</v>
      </c>
      <c r="B62" s="231">
        <f t="shared" si="25"/>
        <v>0</v>
      </c>
      <c r="C62" s="232">
        <f t="shared" si="20"/>
        <v>0</v>
      </c>
      <c r="D62" s="232">
        <f t="shared" si="21"/>
        <v>0</v>
      </c>
      <c r="E62" s="231">
        <f t="shared" si="26"/>
        <v>0</v>
      </c>
      <c r="I62" s="230">
        <f t="shared" si="27"/>
        <v>35</v>
      </c>
      <c r="J62" s="231">
        <f t="shared" si="28"/>
        <v>0</v>
      </c>
      <c r="K62" s="232">
        <f t="shared" si="22"/>
        <v>0</v>
      </c>
      <c r="L62" s="232">
        <f t="shared" si="23"/>
        <v>0</v>
      </c>
      <c r="M62" s="231">
        <f t="shared" si="29"/>
        <v>0</v>
      </c>
    </row>
    <row r="63" spans="1:13" x14ac:dyDescent="0.2">
      <c r="A63" s="230">
        <f t="shared" si="24"/>
        <v>36</v>
      </c>
      <c r="B63" s="231">
        <f t="shared" si="25"/>
        <v>0</v>
      </c>
      <c r="C63" s="232">
        <f t="shared" si="20"/>
        <v>0</v>
      </c>
      <c r="D63" s="232">
        <f t="shared" si="21"/>
        <v>0</v>
      </c>
      <c r="E63" s="231">
        <f t="shared" si="26"/>
        <v>0</v>
      </c>
      <c r="I63" s="230">
        <f t="shared" si="27"/>
        <v>36</v>
      </c>
      <c r="J63" s="231">
        <f t="shared" si="28"/>
        <v>0</v>
      </c>
      <c r="K63" s="232">
        <f t="shared" si="22"/>
        <v>0</v>
      </c>
      <c r="L63" s="232">
        <f t="shared" si="23"/>
        <v>0</v>
      </c>
      <c r="M63" s="231">
        <f t="shared" si="29"/>
        <v>0</v>
      </c>
    </row>
    <row r="64" spans="1:13" ht="15.75" x14ac:dyDescent="0.25">
      <c r="A64" s="302" t="s">
        <v>9</v>
      </c>
      <c r="B64" s="231">
        <f>SUM(B52:B63)</f>
        <v>0</v>
      </c>
      <c r="C64" s="231">
        <f>SUM(C52:C63)</f>
        <v>0</v>
      </c>
      <c r="D64" s="231">
        <f>SUM(D52:D63)</f>
        <v>0</v>
      </c>
      <c r="E64" s="231">
        <f>E63</f>
        <v>0</v>
      </c>
      <c r="I64" s="302" t="s">
        <v>9</v>
      </c>
      <c r="J64" s="231">
        <f>SUM(J52:J63)</f>
        <v>0</v>
      </c>
      <c r="K64" s="231">
        <f>SUM(K52:K63)</f>
        <v>0</v>
      </c>
      <c r="L64" s="231">
        <f>SUM(L52:L63)</f>
        <v>0</v>
      </c>
      <c r="M64" s="231">
        <f>M63</f>
        <v>0</v>
      </c>
    </row>
    <row r="66" spans="1:13" ht="15.75" x14ac:dyDescent="0.25">
      <c r="A66" s="302">
        <f>F7</f>
        <v>2019</v>
      </c>
      <c r="B66" s="235"/>
      <c r="C66" s="235"/>
      <c r="D66" s="235"/>
      <c r="E66" s="235"/>
      <c r="I66" s="302">
        <f>N7</f>
        <v>2021</v>
      </c>
      <c r="J66" s="235"/>
      <c r="K66" s="235"/>
      <c r="L66" s="235"/>
      <c r="M66" s="235"/>
    </row>
    <row r="67" spans="1:13" ht="15.75" x14ac:dyDescent="0.25">
      <c r="A67" s="302" t="s">
        <v>258</v>
      </c>
      <c r="B67" s="302" t="s">
        <v>259</v>
      </c>
      <c r="C67" s="302" t="s">
        <v>252</v>
      </c>
      <c r="D67" s="302" t="s">
        <v>253</v>
      </c>
      <c r="E67" s="302" t="s">
        <v>260</v>
      </c>
      <c r="I67" s="302" t="s">
        <v>258</v>
      </c>
      <c r="J67" s="302" t="s">
        <v>259</v>
      </c>
      <c r="K67" s="302" t="s">
        <v>252</v>
      </c>
      <c r="L67" s="302" t="s">
        <v>253</v>
      </c>
      <c r="M67" s="302" t="s">
        <v>260</v>
      </c>
    </row>
    <row r="68" spans="1:13" x14ac:dyDescent="0.2">
      <c r="A68" s="230">
        <v>0</v>
      </c>
      <c r="B68" s="230"/>
      <c r="C68" s="230"/>
      <c r="D68" s="230"/>
      <c r="E68" s="231">
        <f>E63</f>
        <v>0</v>
      </c>
      <c r="I68" s="230">
        <v>0</v>
      </c>
      <c r="J68" s="230"/>
      <c r="K68" s="230"/>
      <c r="L68" s="230"/>
      <c r="M68" s="231">
        <f>M63</f>
        <v>0</v>
      </c>
    </row>
    <row r="69" spans="1:13" x14ac:dyDescent="0.2">
      <c r="A69" s="230">
        <f>A63+1</f>
        <v>37</v>
      </c>
      <c r="B69" s="231">
        <f>C69+D69</f>
        <v>0</v>
      </c>
      <c r="C69" s="232">
        <f t="shared" ref="C69:C80" si="30">PPMT((E$9/12),A69,B$11,-B$7)</f>
        <v>0</v>
      </c>
      <c r="D69" s="232">
        <f t="shared" ref="D69:D80" si="31">IPMT((E$9/12),A69,B$11,-B$7)</f>
        <v>0</v>
      </c>
      <c r="E69" s="231">
        <f>E68-C69</f>
        <v>0</v>
      </c>
      <c r="I69" s="230">
        <f>I63+1</f>
        <v>37</v>
      </c>
      <c r="J69" s="231">
        <f>K69+L69</f>
        <v>0</v>
      </c>
      <c r="K69" s="232">
        <f t="shared" ref="K69:K80" si="32">PPMT((M$9/12),I69,J$11,-J$7)</f>
        <v>0</v>
      </c>
      <c r="L69" s="232">
        <f t="shared" ref="L69:L80" si="33">IPMT((M$9/12),I69,J$11,-J$7)</f>
        <v>0</v>
      </c>
      <c r="M69" s="231">
        <f>M68-K69</f>
        <v>0</v>
      </c>
    </row>
    <row r="70" spans="1:13" x14ac:dyDescent="0.2">
      <c r="A70" s="230">
        <f t="shared" ref="A70:A80" si="34">IF(A69&lt;B$11,A69+1,"")</f>
        <v>38</v>
      </c>
      <c r="B70" s="231">
        <f t="shared" ref="B70:B80" si="35">C70+D70</f>
        <v>0</v>
      </c>
      <c r="C70" s="232">
        <f t="shared" si="30"/>
        <v>0</v>
      </c>
      <c r="D70" s="232">
        <f t="shared" si="31"/>
        <v>0</v>
      </c>
      <c r="E70" s="231">
        <f t="shared" ref="E70:E80" si="36">E69-C70</f>
        <v>0</v>
      </c>
      <c r="I70" s="230">
        <f t="shared" ref="I70:I80" si="37">IF(I69&lt;J$11,I69+1,"")</f>
        <v>38</v>
      </c>
      <c r="J70" s="231">
        <f t="shared" ref="J70:J80" si="38">K70+L70</f>
        <v>0</v>
      </c>
      <c r="K70" s="232">
        <f t="shared" si="32"/>
        <v>0</v>
      </c>
      <c r="L70" s="232">
        <f t="shared" si="33"/>
        <v>0</v>
      </c>
      <c r="M70" s="231">
        <f t="shared" ref="M70:M80" si="39">M69-K70</f>
        <v>0</v>
      </c>
    </row>
    <row r="71" spans="1:13" x14ac:dyDescent="0.2">
      <c r="A71" s="230">
        <f t="shared" si="34"/>
        <v>39</v>
      </c>
      <c r="B71" s="231">
        <f t="shared" si="35"/>
        <v>0</v>
      </c>
      <c r="C71" s="232">
        <f t="shared" si="30"/>
        <v>0</v>
      </c>
      <c r="D71" s="232">
        <f t="shared" si="31"/>
        <v>0</v>
      </c>
      <c r="E71" s="231">
        <f t="shared" si="36"/>
        <v>0</v>
      </c>
      <c r="I71" s="230">
        <f t="shared" si="37"/>
        <v>39</v>
      </c>
      <c r="J71" s="231">
        <f t="shared" si="38"/>
        <v>0</v>
      </c>
      <c r="K71" s="232">
        <f t="shared" si="32"/>
        <v>0</v>
      </c>
      <c r="L71" s="232">
        <f t="shared" si="33"/>
        <v>0</v>
      </c>
      <c r="M71" s="231">
        <f t="shared" si="39"/>
        <v>0</v>
      </c>
    </row>
    <row r="72" spans="1:13" x14ac:dyDescent="0.2">
      <c r="A72" s="230">
        <f t="shared" si="34"/>
        <v>40</v>
      </c>
      <c r="B72" s="231">
        <f t="shared" si="35"/>
        <v>0</v>
      </c>
      <c r="C72" s="232">
        <f t="shared" si="30"/>
        <v>0</v>
      </c>
      <c r="D72" s="232">
        <f t="shared" si="31"/>
        <v>0</v>
      </c>
      <c r="E72" s="231">
        <f t="shared" si="36"/>
        <v>0</v>
      </c>
      <c r="I72" s="230">
        <f t="shared" si="37"/>
        <v>40</v>
      </c>
      <c r="J72" s="231">
        <f t="shared" si="38"/>
        <v>0</v>
      </c>
      <c r="K72" s="232">
        <f t="shared" si="32"/>
        <v>0</v>
      </c>
      <c r="L72" s="232">
        <f t="shared" si="33"/>
        <v>0</v>
      </c>
      <c r="M72" s="231">
        <f t="shared" si="39"/>
        <v>0</v>
      </c>
    </row>
    <row r="73" spans="1:13" x14ac:dyDescent="0.2">
      <c r="A73" s="230">
        <f t="shared" si="34"/>
        <v>41</v>
      </c>
      <c r="B73" s="231">
        <f t="shared" si="35"/>
        <v>0</v>
      </c>
      <c r="C73" s="232">
        <f t="shared" si="30"/>
        <v>0</v>
      </c>
      <c r="D73" s="232">
        <f t="shared" si="31"/>
        <v>0</v>
      </c>
      <c r="E73" s="231">
        <f t="shared" si="36"/>
        <v>0</v>
      </c>
      <c r="I73" s="230">
        <f t="shared" si="37"/>
        <v>41</v>
      </c>
      <c r="J73" s="231">
        <f t="shared" si="38"/>
        <v>0</v>
      </c>
      <c r="K73" s="232">
        <f t="shared" si="32"/>
        <v>0</v>
      </c>
      <c r="L73" s="232">
        <f t="shared" si="33"/>
        <v>0</v>
      </c>
      <c r="M73" s="231">
        <f t="shared" si="39"/>
        <v>0</v>
      </c>
    </row>
    <row r="74" spans="1:13" x14ac:dyDescent="0.2">
      <c r="A74" s="230">
        <f t="shared" si="34"/>
        <v>42</v>
      </c>
      <c r="B74" s="231">
        <f t="shared" si="35"/>
        <v>0</v>
      </c>
      <c r="C74" s="232">
        <f t="shared" si="30"/>
        <v>0</v>
      </c>
      <c r="D74" s="232">
        <f t="shared" si="31"/>
        <v>0</v>
      </c>
      <c r="E74" s="231">
        <f t="shared" si="36"/>
        <v>0</v>
      </c>
      <c r="I74" s="230">
        <f t="shared" si="37"/>
        <v>42</v>
      </c>
      <c r="J74" s="231">
        <f t="shared" si="38"/>
        <v>0</v>
      </c>
      <c r="K74" s="232">
        <f t="shared" si="32"/>
        <v>0</v>
      </c>
      <c r="L74" s="232">
        <f t="shared" si="33"/>
        <v>0</v>
      </c>
      <c r="M74" s="231">
        <f t="shared" si="39"/>
        <v>0</v>
      </c>
    </row>
    <row r="75" spans="1:13" x14ac:dyDescent="0.2">
      <c r="A75" s="230">
        <f t="shared" si="34"/>
        <v>43</v>
      </c>
      <c r="B75" s="231">
        <f t="shared" si="35"/>
        <v>0</v>
      </c>
      <c r="C75" s="232">
        <f t="shared" si="30"/>
        <v>0</v>
      </c>
      <c r="D75" s="232">
        <f t="shared" si="31"/>
        <v>0</v>
      </c>
      <c r="E75" s="231">
        <f t="shared" si="36"/>
        <v>0</v>
      </c>
      <c r="I75" s="230">
        <f t="shared" si="37"/>
        <v>43</v>
      </c>
      <c r="J75" s="231">
        <f t="shared" si="38"/>
        <v>0</v>
      </c>
      <c r="K75" s="232">
        <f t="shared" si="32"/>
        <v>0</v>
      </c>
      <c r="L75" s="232">
        <f t="shared" si="33"/>
        <v>0</v>
      </c>
      <c r="M75" s="231">
        <f t="shared" si="39"/>
        <v>0</v>
      </c>
    </row>
    <row r="76" spans="1:13" x14ac:dyDescent="0.2">
      <c r="A76" s="230">
        <f t="shared" si="34"/>
        <v>44</v>
      </c>
      <c r="B76" s="231">
        <f t="shared" si="35"/>
        <v>0</v>
      </c>
      <c r="C76" s="232">
        <f t="shared" si="30"/>
        <v>0</v>
      </c>
      <c r="D76" s="232">
        <f t="shared" si="31"/>
        <v>0</v>
      </c>
      <c r="E76" s="231">
        <f t="shared" si="36"/>
        <v>0</v>
      </c>
      <c r="I76" s="230">
        <f t="shared" si="37"/>
        <v>44</v>
      </c>
      <c r="J76" s="231">
        <f t="shared" si="38"/>
        <v>0</v>
      </c>
      <c r="K76" s="232">
        <f t="shared" si="32"/>
        <v>0</v>
      </c>
      <c r="L76" s="232">
        <f t="shared" si="33"/>
        <v>0</v>
      </c>
      <c r="M76" s="231">
        <f t="shared" si="39"/>
        <v>0</v>
      </c>
    </row>
    <row r="77" spans="1:13" x14ac:dyDescent="0.2">
      <c r="A77" s="230">
        <f t="shared" si="34"/>
        <v>45</v>
      </c>
      <c r="B77" s="231">
        <f t="shared" si="35"/>
        <v>0</v>
      </c>
      <c r="C77" s="232">
        <f t="shared" si="30"/>
        <v>0</v>
      </c>
      <c r="D77" s="232">
        <f t="shared" si="31"/>
        <v>0</v>
      </c>
      <c r="E77" s="231">
        <f t="shared" si="36"/>
        <v>0</v>
      </c>
      <c r="I77" s="230">
        <f t="shared" si="37"/>
        <v>45</v>
      </c>
      <c r="J77" s="231">
        <f t="shared" si="38"/>
        <v>0</v>
      </c>
      <c r="K77" s="232">
        <f t="shared" si="32"/>
        <v>0</v>
      </c>
      <c r="L77" s="232">
        <f t="shared" si="33"/>
        <v>0</v>
      </c>
      <c r="M77" s="231">
        <f t="shared" si="39"/>
        <v>0</v>
      </c>
    </row>
    <row r="78" spans="1:13" x14ac:dyDescent="0.2">
      <c r="A78" s="230">
        <f t="shared" si="34"/>
        <v>46</v>
      </c>
      <c r="B78" s="231">
        <f t="shared" si="35"/>
        <v>0</v>
      </c>
      <c r="C78" s="232">
        <f t="shared" si="30"/>
        <v>0</v>
      </c>
      <c r="D78" s="232">
        <f t="shared" si="31"/>
        <v>0</v>
      </c>
      <c r="E78" s="231">
        <f t="shared" si="36"/>
        <v>0</v>
      </c>
      <c r="I78" s="230">
        <f t="shared" si="37"/>
        <v>46</v>
      </c>
      <c r="J78" s="231">
        <f t="shared" si="38"/>
        <v>0</v>
      </c>
      <c r="K78" s="232">
        <f t="shared" si="32"/>
        <v>0</v>
      </c>
      <c r="L78" s="232">
        <f t="shared" si="33"/>
        <v>0</v>
      </c>
      <c r="M78" s="231">
        <f t="shared" si="39"/>
        <v>0</v>
      </c>
    </row>
    <row r="79" spans="1:13" x14ac:dyDescent="0.2">
      <c r="A79" s="230">
        <f t="shared" si="34"/>
        <v>47</v>
      </c>
      <c r="B79" s="231">
        <f t="shared" si="35"/>
        <v>0</v>
      </c>
      <c r="C79" s="232">
        <f t="shared" si="30"/>
        <v>0</v>
      </c>
      <c r="D79" s="232">
        <f t="shared" si="31"/>
        <v>0</v>
      </c>
      <c r="E79" s="231">
        <f t="shared" si="36"/>
        <v>0</v>
      </c>
      <c r="I79" s="230">
        <f t="shared" si="37"/>
        <v>47</v>
      </c>
      <c r="J79" s="231">
        <f t="shared" si="38"/>
        <v>0</v>
      </c>
      <c r="K79" s="232">
        <f t="shared" si="32"/>
        <v>0</v>
      </c>
      <c r="L79" s="232">
        <f t="shared" si="33"/>
        <v>0</v>
      </c>
      <c r="M79" s="231">
        <f t="shared" si="39"/>
        <v>0</v>
      </c>
    </row>
    <row r="80" spans="1:13" x14ac:dyDescent="0.2">
      <c r="A80" s="230">
        <f t="shared" si="34"/>
        <v>48</v>
      </c>
      <c r="B80" s="231">
        <f t="shared" si="35"/>
        <v>0</v>
      </c>
      <c r="C80" s="232">
        <f t="shared" si="30"/>
        <v>0</v>
      </c>
      <c r="D80" s="232">
        <f t="shared" si="31"/>
        <v>0</v>
      </c>
      <c r="E80" s="231">
        <f t="shared" si="36"/>
        <v>0</v>
      </c>
      <c r="I80" s="230">
        <f t="shared" si="37"/>
        <v>48</v>
      </c>
      <c r="J80" s="231">
        <f t="shared" si="38"/>
        <v>0</v>
      </c>
      <c r="K80" s="232">
        <f t="shared" si="32"/>
        <v>0</v>
      </c>
      <c r="L80" s="232">
        <f t="shared" si="33"/>
        <v>0</v>
      </c>
      <c r="M80" s="231">
        <f t="shared" si="39"/>
        <v>0</v>
      </c>
    </row>
    <row r="81" spans="1:13" ht="15.75" x14ac:dyDescent="0.25">
      <c r="A81" s="302" t="s">
        <v>9</v>
      </c>
      <c r="B81" s="231">
        <f>SUM(B69:B80)</f>
        <v>0</v>
      </c>
      <c r="C81" s="231">
        <f>SUM(C69:C80)</f>
        <v>0</v>
      </c>
      <c r="D81" s="231">
        <f>SUM(D69:D80)</f>
        <v>0</v>
      </c>
      <c r="E81" s="231">
        <f>E80</f>
        <v>0</v>
      </c>
      <c r="I81" s="302" t="s">
        <v>9</v>
      </c>
      <c r="J81" s="231">
        <f>SUM(J69:J80)</f>
        <v>0</v>
      </c>
      <c r="K81" s="231">
        <f>SUM(K69:K80)</f>
        <v>0</v>
      </c>
      <c r="L81" s="231">
        <f>SUM(L69:L80)</f>
        <v>0</v>
      </c>
      <c r="M81" s="231">
        <f>M80</f>
        <v>0</v>
      </c>
    </row>
    <row r="82" spans="1:13" ht="30.75" customHeight="1" x14ac:dyDescent="0.2"/>
    <row r="83" spans="1:13" ht="15.75" x14ac:dyDescent="0.25">
      <c r="A83" s="302">
        <f>G7</f>
        <v>2020</v>
      </c>
      <c r="B83" s="235"/>
      <c r="C83" s="235"/>
      <c r="D83" s="235"/>
      <c r="E83" s="235"/>
    </row>
    <row r="84" spans="1:13" ht="15.75" x14ac:dyDescent="0.25">
      <c r="A84" s="302" t="s">
        <v>258</v>
      </c>
      <c r="B84" s="302" t="s">
        <v>259</v>
      </c>
      <c r="C84" s="302" t="s">
        <v>252</v>
      </c>
      <c r="D84" s="302" t="s">
        <v>253</v>
      </c>
      <c r="E84" s="302" t="s">
        <v>260</v>
      </c>
    </row>
    <row r="85" spans="1:13" x14ac:dyDescent="0.2">
      <c r="A85" s="230">
        <v>0</v>
      </c>
      <c r="B85" s="230"/>
      <c r="C85" s="230"/>
      <c r="D85" s="230"/>
      <c r="E85" s="231">
        <f>E80</f>
        <v>0</v>
      </c>
    </row>
    <row r="86" spans="1:13" x14ac:dyDescent="0.2">
      <c r="A86" s="230">
        <f>A80+1</f>
        <v>49</v>
      </c>
      <c r="B86" s="231">
        <f>C86+D86</f>
        <v>0</v>
      </c>
      <c r="C86" s="232">
        <f>PPMT((E$9/12),A86,B$11,-B$7)</f>
        <v>0</v>
      </c>
      <c r="D86" s="232">
        <f>IPMT((E$9/12),A86,B$11,-B$7)</f>
        <v>0</v>
      </c>
      <c r="E86" s="231">
        <f>E85-C86</f>
        <v>0</v>
      </c>
    </row>
    <row r="87" spans="1:13" x14ac:dyDescent="0.2">
      <c r="A87" s="230">
        <f t="shared" ref="A87:A97" si="40">IF(A86&lt;B$11,A86+1,"")</f>
        <v>50</v>
      </c>
      <c r="B87" s="231">
        <f t="shared" ref="B87:B97" si="41">C87+D87</f>
        <v>0</v>
      </c>
      <c r="C87" s="232">
        <f t="shared" ref="C87:C97" si="42">PPMT((E$9/12),A87,B$11,-B$7)</f>
        <v>0</v>
      </c>
      <c r="D87" s="232">
        <f t="shared" ref="D87:D97" si="43">IPMT((E$9/12),A87,B$11,-B$7)</f>
        <v>0</v>
      </c>
      <c r="E87" s="231">
        <f t="shared" ref="E87:E97" si="44">E86-C87</f>
        <v>0</v>
      </c>
    </row>
    <row r="88" spans="1:13" x14ac:dyDescent="0.2">
      <c r="A88" s="230">
        <f t="shared" si="40"/>
        <v>51</v>
      </c>
      <c r="B88" s="231">
        <f t="shared" si="41"/>
        <v>0</v>
      </c>
      <c r="C88" s="232">
        <f t="shared" si="42"/>
        <v>0</v>
      </c>
      <c r="D88" s="232">
        <f t="shared" si="43"/>
        <v>0</v>
      </c>
      <c r="E88" s="231">
        <f t="shared" si="44"/>
        <v>0</v>
      </c>
    </row>
    <row r="89" spans="1:13" x14ac:dyDescent="0.2">
      <c r="A89" s="230">
        <f t="shared" si="40"/>
        <v>52</v>
      </c>
      <c r="B89" s="231">
        <f t="shared" si="41"/>
        <v>0</v>
      </c>
      <c r="C89" s="232">
        <f t="shared" si="42"/>
        <v>0</v>
      </c>
      <c r="D89" s="232">
        <f t="shared" si="43"/>
        <v>0</v>
      </c>
      <c r="E89" s="231">
        <f t="shared" si="44"/>
        <v>0</v>
      </c>
    </row>
    <row r="90" spans="1:13" x14ac:dyDescent="0.2">
      <c r="A90" s="230">
        <f t="shared" si="40"/>
        <v>53</v>
      </c>
      <c r="B90" s="231">
        <f t="shared" si="41"/>
        <v>0</v>
      </c>
      <c r="C90" s="232">
        <f t="shared" si="42"/>
        <v>0</v>
      </c>
      <c r="D90" s="232">
        <f t="shared" si="43"/>
        <v>0</v>
      </c>
      <c r="E90" s="231">
        <f t="shared" si="44"/>
        <v>0</v>
      </c>
    </row>
    <row r="91" spans="1:13" x14ac:dyDescent="0.2">
      <c r="A91" s="230">
        <f t="shared" si="40"/>
        <v>54</v>
      </c>
      <c r="B91" s="231">
        <f t="shared" si="41"/>
        <v>0</v>
      </c>
      <c r="C91" s="232">
        <f t="shared" si="42"/>
        <v>0</v>
      </c>
      <c r="D91" s="232">
        <f t="shared" si="43"/>
        <v>0</v>
      </c>
      <c r="E91" s="231">
        <f t="shared" si="44"/>
        <v>0</v>
      </c>
    </row>
    <row r="92" spans="1:13" x14ac:dyDescent="0.2">
      <c r="A92" s="230">
        <f t="shared" si="40"/>
        <v>55</v>
      </c>
      <c r="B92" s="231">
        <f t="shared" si="41"/>
        <v>0</v>
      </c>
      <c r="C92" s="232">
        <f t="shared" si="42"/>
        <v>0</v>
      </c>
      <c r="D92" s="232">
        <f t="shared" si="43"/>
        <v>0</v>
      </c>
      <c r="E92" s="231">
        <f t="shared" si="44"/>
        <v>0</v>
      </c>
    </row>
    <row r="93" spans="1:13" x14ac:dyDescent="0.2">
      <c r="A93" s="230">
        <f t="shared" si="40"/>
        <v>56</v>
      </c>
      <c r="B93" s="231">
        <f t="shared" si="41"/>
        <v>0</v>
      </c>
      <c r="C93" s="232">
        <f t="shared" si="42"/>
        <v>0</v>
      </c>
      <c r="D93" s="232">
        <f t="shared" si="43"/>
        <v>0</v>
      </c>
      <c r="E93" s="231">
        <f t="shared" si="44"/>
        <v>0</v>
      </c>
    </row>
    <row r="94" spans="1:13" x14ac:dyDescent="0.2">
      <c r="A94" s="230">
        <f t="shared" si="40"/>
        <v>57</v>
      </c>
      <c r="B94" s="231">
        <f t="shared" si="41"/>
        <v>0</v>
      </c>
      <c r="C94" s="232">
        <f t="shared" si="42"/>
        <v>0</v>
      </c>
      <c r="D94" s="232">
        <f t="shared" si="43"/>
        <v>0</v>
      </c>
      <c r="E94" s="231">
        <f t="shared" si="44"/>
        <v>0</v>
      </c>
    </row>
    <row r="95" spans="1:13" x14ac:dyDescent="0.2">
      <c r="A95" s="230">
        <f t="shared" si="40"/>
        <v>58</v>
      </c>
      <c r="B95" s="231">
        <f t="shared" si="41"/>
        <v>0</v>
      </c>
      <c r="C95" s="232">
        <f t="shared" si="42"/>
        <v>0</v>
      </c>
      <c r="D95" s="232">
        <f t="shared" si="43"/>
        <v>0</v>
      </c>
      <c r="E95" s="231">
        <f t="shared" si="44"/>
        <v>0</v>
      </c>
    </row>
    <row r="96" spans="1:13" x14ac:dyDescent="0.2">
      <c r="A96" s="230">
        <f t="shared" si="40"/>
        <v>59</v>
      </c>
      <c r="B96" s="231">
        <f t="shared" si="41"/>
        <v>0</v>
      </c>
      <c r="C96" s="232">
        <f t="shared" si="42"/>
        <v>0</v>
      </c>
      <c r="D96" s="232">
        <f t="shared" si="43"/>
        <v>0</v>
      </c>
      <c r="E96" s="231">
        <f t="shared" si="44"/>
        <v>0</v>
      </c>
    </row>
    <row r="97" spans="1:5" x14ac:dyDescent="0.2">
      <c r="A97" s="230">
        <f t="shared" si="40"/>
        <v>60</v>
      </c>
      <c r="B97" s="231">
        <f t="shared" si="41"/>
        <v>0</v>
      </c>
      <c r="C97" s="232">
        <f t="shared" si="42"/>
        <v>0</v>
      </c>
      <c r="D97" s="232">
        <f t="shared" si="43"/>
        <v>0</v>
      </c>
      <c r="E97" s="231">
        <f t="shared" si="44"/>
        <v>0</v>
      </c>
    </row>
    <row r="98" spans="1:5" ht="15.75" x14ac:dyDescent="0.25">
      <c r="A98" s="302" t="s">
        <v>9</v>
      </c>
      <c r="B98" s="231">
        <f>SUM(B86:B97)</f>
        <v>0</v>
      </c>
      <c r="C98" s="231">
        <f>SUM(C86:C97)</f>
        <v>0</v>
      </c>
      <c r="D98" s="231">
        <f>SUM(D86:D97)</f>
        <v>0</v>
      </c>
      <c r="E98" s="231">
        <f>E97</f>
        <v>0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H20" sqref="H20"/>
    </sheetView>
  </sheetViews>
  <sheetFormatPr baseColWidth="10" defaultColWidth="11.42578125" defaultRowHeight="15" x14ac:dyDescent="0.25"/>
  <cols>
    <col min="1" max="1" width="25" style="237" customWidth="1"/>
    <col min="2" max="2" width="12" style="237" customWidth="1"/>
    <col min="3" max="3" width="11.42578125" style="237" customWidth="1"/>
    <col min="4" max="8" width="10.42578125" style="237" bestFit="1" customWidth="1"/>
    <col min="9" max="9" width="3" style="237" bestFit="1" customWidth="1"/>
    <col min="10" max="10" width="5" style="237" bestFit="1" customWidth="1"/>
    <col min="11" max="11" width="16.42578125" style="237" bestFit="1" customWidth="1"/>
    <col min="12" max="12" width="15.28515625" style="237" bestFit="1" customWidth="1"/>
    <col min="13" max="13" width="9.42578125" style="237" bestFit="1" customWidth="1"/>
    <col min="14" max="16384" width="11.42578125" style="237"/>
  </cols>
  <sheetData>
    <row r="1" spans="1:9" x14ac:dyDescent="0.25">
      <c r="A1" s="336" t="s">
        <v>297</v>
      </c>
      <c r="B1" s="337"/>
      <c r="C1" s="337"/>
      <c r="D1" s="337"/>
      <c r="E1" s="337"/>
      <c r="F1" s="337"/>
      <c r="G1" s="337"/>
    </row>
    <row r="2" spans="1:9" x14ac:dyDescent="0.25">
      <c r="A2" s="255" t="s">
        <v>269</v>
      </c>
      <c r="B2" s="255" t="s">
        <v>270</v>
      </c>
      <c r="C2" s="255" t="s">
        <v>271</v>
      </c>
      <c r="D2" s="255" t="s">
        <v>298</v>
      </c>
      <c r="E2" s="255" t="s">
        <v>299</v>
      </c>
      <c r="F2" s="255" t="s">
        <v>300</v>
      </c>
      <c r="G2" s="255" t="s">
        <v>301</v>
      </c>
    </row>
    <row r="3" spans="1:9" x14ac:dyDescent="0.25">
      <c r="A3" s="310" t="s">
        <v>292</v>
      </c>
      <c r="B3" s="243">
        <f>2500*140</f>
        <v>350000</v>
      </c>
      <c r="C3" s="310" t="s">
        <v>294</v>
      </c>
      <c r="D3" s="249">
        <f>Materiales!$B$4/2500*E20</f>
        <v>3864</v>
      </c>
      <c r="E3" s="249">
        <f>Materiales!$B$4/2500*E21</f>
        <v>3640</v>
      </c>
      <c r="F3" s="249">
        <f>Materiales!$B$4/2500*E22</f>
        <v>3080</v>
      </c>
      <c r="G3" s="249">
        <f>Materiales!$B$4/2500*E23</f>
        <v>2800</v>
      </c>
      <c r="H3" s="333">
        <f>350000/2500*27.6</f>
        <v>3864</v>
      </c>
    </row>
    <row r="4" spans="1:9" x14ac:dyDescent="0.25">
      <c r="A4" s="244" t="s">
        <v>273</v>
      </c>
      <c r="B4" s="243">
        <v>30</v>
      </c>
      <c r="C4" s="244" t="s">
        <v>274</v>
      </c>
      <c r="D4" s="249">
        <f>Materiales!$B$5*1</f>
        <v>30</v>
      </c>
      <c r="E4" s="249">
        <f>Materiales!$B$5*1</f>
        <v>30</v>
      </c>
      <c r="F4" s="249">
        <f>Materiales!$B$5*1</f>
        <v>30</v>
      </c>
      <c r="G4" s="249">
        <f>Materiales!$B$5*1</f>
        <v>30</v>
      </c>
    </row>
    <row r="5" spans="1:9" s="250" customFormat="1" ht="15.75" x14ac:dyDescent="0.25">
      <c r="A5" s="251" t="s">
        <v>275</v>
      </c>
      <c r="B5" s="252"/>
      <c r="C5" s="252"/>
      <c r="D5" s="253">
        <f>SUM(D3:D4)</f>
        <v>3894</v>
      </c>
      <c r="E5" s="253">
        <f>SUM(E3:E4)</f>
        <v>3670</v>
      </c>
      <c r="F5" s="253">
        <f>SUM(F3:F4)</f>
        <v>3110</v>
      </c>
      <c r="G5" s="253">
        <f>SUM(G3:G4)</f>
        <v>2830</v>
      </c>
    </row>
    <row r="6" spans="1:9" x14ac:dyDescent="0.25">
      <c r="A6" s="248"/>
      <c r="B6" s="248"/>
      <c r="C6" s="248"/>
      <c r="D6" s="248"/>
      <c r="E6" s="248"/>
      <c r="F6" s="248"/>
      <c r="G6" s="248"/>
    </row>
    <row r="7" spans="1:9" x14ac:dyDescent="0.25">
      <c r="A7" s="245" t="s">
        <v>276</v>
      </c>
      <c r="B7" s="246"/>
      <c r="C7" s="309" t="s">
        <v>274</v>
      </c>
      <c r="D7" s="254">
        <v>50000</v>
      </c>
      <c r="E7" s="254">
        <v>35000</v>
      </c>
      <c r="F7" s="254">
        <v>12000</v>
      </c>
      <c r="G7" s="254">
        <v>10000</v>
      </c>
    </row>
    <row r="8" spans="1:9" x14ac:dyDescent="0.25">
      <c r="A8" s="248"/>
      <c r="B8" s="248"/>
      <c r="C8" s="248"/>
      <c r="D8" s="248"/>
      <c r="E8" s="248"/>
      <c r="F8" s="248"/>
      <c r="G8" s="248"/>
    </row>
    <row r="9" spans="1:9" x14ac:dyDescent="0.25">
      <c r="A9" s="255" t="s">
        <v>336</v>
      </c>
      <c r="B9" s="245"/>
      <c r="C9" s="245"/>
      <c r="D9" s="245"/>
      <c r="E9" s="245"/>
      <c r="F9" s="245"/>
      <c r="G9" s="245"/>
      <c r="I9" s="256"/>
    </row>
    <row r="10" spans="1:9" x14ac:dyDescent="0.25">
      <c r="A10" s="331" t="s">
        <v>337</v>
      </c>
      <c r="B10" s="246">
        <v>77659</v>
      </c>
      <c r="C10" s="331" t="s">
        <v>274</v>
      </c>
      <c r="D10" s="254">
        <v>3530</v>
      </c>
      <c r="E10" s="254">
        <v>3530</v>
      </c>
      <c r="F10" s="254">
        <v>3530</v>
      </c>
      <c r="G10" s="254">
        <v>3530</v>
      </c>
    </row>
    <row r="11" spans="1:9" x14ac:dyDescent="0.25">
      <c r="A11" s="309"/>
      <c r="B11" s="246"/>
      <c r="C11" s="245"/>
      <c r="D11" s="334"/>
      <c r="E11" s="254"/>
      <c r="F11" s="254"/>
      <c r="G11" s="254"/>
    </row>
    <row r="12" spans="1:9" x14ac:dyDescent="0.25">
      <c r="A12" s="255" t="s">
        <v>303</v>
      </c>
      <c r="B12" s="245"/>
      <c r="C12" s="245"/>
      <c r="D12" s="245"/>
      <c r="E12" s="245"/>
      <c r="F12" s="245"/>
      <c r="G12" s="245"/>
      <c r="I12" s="256"/>
    </row>
    <row r="13" spans="1:9" x14ac:dyDescent="0.25">
      <c r="A13" s="309" t="s">
        <v>302</v>
      </c>
      <c r="B13" s="246">
        <f>40000*3*4</f>
        <v>480000</v>
      </c>
      <c r="C13" s="245" t="s">
        <v>277</v>
      </c>
      <c r="D13" s="254">
        <f>$B$13/88</f>
        <v>5454.545454545455</v>
      </c>
      <c r="E13" s="254">
        <f>$B$13/88</f>
        <v>5454.545454545455</v>
      </c>
      <c r="F13" s="254">
        <f>$B$13/88</f>
        <v>5454.545454545455</v>
      </c>
      <c r="G13" s="254">
        <f>$B$13/88</f>
        <v>5454.545454545455</v>
      </c>
    </row>
    <row r="14" spans="1:9" ht="15.75" thickBot="1" x14ac:dyDescent="0.3"/>
    <row r="15" spans="1:9" ht="16.5" thickBot="1" x14ac:dyDescent="0.3">
      <c r="A15" s="257" t="s">
        <v>163</v>
      </c>
      <c r="B15" s="258"/>
      <c r="C15" s="258"/>
      <c r="D15" s="259">
        <f>SUM(D5:D13)</f>
        <v>62878.545454545456</v>
      </c>
      <c r="E15" s="259">
        <f>SUM(E5:E13)</f>
        <v>47654.545454545456</v>
      </c>
      <c r="F15" s="259">
        <f>SUM(F5:F13)</f>
        <v>24094.545454545456</v>
      </c>
      <c r="G15" s="259">
        <f>SUM(G5:G13)</f>
        <v>21814.545454545456</v>
      </c>
      <c r="H15" s="260"/>
    </row>
    <row r="16" spans="1:9" x14ac:dyDescent="0.25">
      <c r="H16" s="260"/>
    </row>
    <row r="17" spans="4:11" x14ac:dyDescent="0.25">
      <c r="D17" s="338" t="s">
        <v>328</v>
      </c>
      <c r="E17" s="338"/>
      <c r="F17" s="338"/>
      <c r="G17" s="338"/>
    </row>
    <row r="19" spans="4:11" x14ac:dyDescent="0.25">
      <c r="D19" s="245"/>
      <c r="E19" s="304" t="s">
        <v>325</v>
      </c>
      <c r="F19" s="304" t="s">
        <v>326</v>
      </c>
      <c r="G19" s="304" t="s">
        <v>327</v>
      </c>
    </row>
    <row r="20" spans="4:11" x14ac:dyDescent="0.25">
      <c r="D20" s="255" t="s">
        <v>298</v>
      </c>
      <c r="E20" s="321">
        <v>27.6</v>
      </c>
      <c r="F20" s="321">
        <v>10</v>
      </c>
      <c r="G20" s="321">
        <f>E20*F20</f>
        <v>276</v>
      </c>
      <c r="H20" s="311">
        <f>F20/$F$24</f>
        <v>0.11363636363636363</v>
      </c>
      <c r="K20" s="312"/>
    </row>
    <row r="21" spans="4:11" x14ac:dyDescent="0.25">
      <c r="D21" s="255" t="s">
        <v>299</v>
      </c>
      <c r="E21" s="321">
        <v>26</v>
      </c>
      <c r="F21" s="321">
        <v>18</v>
      </c>
      <c r="G21" s="321">
        <f>E21*F21</f>
        <v>468</v>
      </c>
      <c r="H21" s="311">
        <f>F21/$F$24</f>
        <v>0.20454545454545456</v>
      </c>
      <c r="K21" s="312"/>
    </row>
    <row r="22" spans="4:11" x14ac:dyDescent="0.25">
      <c r="D22" s="255" t="s">
        <v>300</v>
      </c>
      <c r="E22" s="321">
        <v>22</v>
      </c>
      <c r="F22" s="321">
        <v>28</v>
      </c>
      <c r="G22" s="321">
        <f>E22*F22</f>
        <v>616</v>
      </c>
      <c r="H22" s="311">
        <f>F22/$F$24</f>
        <v>0.31818181818181818</v>
      </c>
      <c r="K22" s="312"/>
    </row>
    <row r="23" spans="4:11" x14ac:dyDescent="0.25">
      <c r="D23" s="255" t="s">
        <v>301</v>
      </c>
      <c r="E23" s="321">
        <v>20</v>
      </c>
      <c r="F23" s="321">
        <v>32</v>
      </c>
      <c r="G23" s="321">
        <f>E23*F23</f>
        <v>640</v>
      </c>
      <c r="H23" s="311">
        <f>F23/$F$24</f>
        <v>0.36363636363636365</v>
      </c>
      <c r="K23" s="312"/>
    </row>
    <row r="24" spans="4:11" x14ac:dyDescent="0.25">
      <c r="D24" s="245"/>
      <c r="E24" s="321">
        <f>SUM(E20:E23)</f>
        <v>95.6</v>
      </c>
      <c r="F24" s="321">
        <f>SUM(F20:F23)</f>
        <v>88</v>
      </c>
      <c r="G24" s="321">
        <f>SUM(G20:G23)</f>
        <v>2000</v>
      </c>
    </row>
  </sheetData>
  <mergeCells count="2">
    <mergeCell ref="A1:G1"/>
    <mergeCell ref="D17:G17"/>
  </mergeCells>
  <pageMargins left="0.7" right="0.7" top="0.75" bottom="0.75" header="0.3" footer="0.3"/>
  <pageSetup paperSize="9" orientation="portrait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workbookViewId="0">
      <selection activeCell="E31" sqref="E31"/>
    </sheetView>
  </sheetViews>
  <sheetFormatPr baseColWidth="10" defaultColWidth="11.42578125" defaultRowHeight="15" x14ac:dyDescent="0.25"/>
  <cols>
    <col min="1" max="1" width="12.5703125" style="314" bestFit="1" customWidth="1"/>
    <col min="2" max="2" width="13.42578125" style="324" bestFit="1" customWidth="1"/>
    <col min="3" max="3" width="13.140625" style="332" bestFit="1" customWidth="1"/>
    <col min="4" max="13" width="11.42578125" style="313"/>
    <col min="14" max="16384" width="11.42578125" style="314"/>
  </cols>
  <sheetData>
    <row r="1" spans="1:13" ht="18.75" x14ac:dyDescent="0.3">
      <c r="A1" s="318"/>
      <c r="B1" s="320" t="s">
        <v>309</v>
      </c>
    </row>
    <row r="2" spans="1:13" s="315" customFormat="1" ht="18.75" x14ac:dyDescent="0.3">
      <c r="A2" s="319" t="s">
        <v>298</v>
      </c>
      <c r="B2" s="321">
        <v>10</v>
      </c>
      <c r="C2" s="332">
        <f>B2*Resúmen!C19</f>
        <v>1400000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317" customFormat="1" ht="18.75" x14ac:dyDescent="0.3">
      <c r="A3" s="319" t="s">
        <v>299</v>
      </c>
      <c r="B3" s="321">
        <v>18</v>
      </c>
      <c r="C3" s="332">
        <f>B3*Resúmen!C20</f>
        <v>2340000</v>
      </c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315" customFormat="1" ht="18.75" x14ac:dyDescent="0.3">
      <c r="A4" s="319" t="s">
        <v>300</v>
      </c>
      <c r="B4" s="321">
        <v>28</v>
      </c>
      <c r="C4" s="332">
        <f>B4*Resúmen!C21</f>
        <v>2240000</v>
      </c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3" s="317" customFormat="1" ht="18.75" x14ac:dyDescent="0.3">
      <c r="A5" s="319" t="s">
        <v>301</v>
      </c>
      <c r="B5" s="321">
        <v>32</v>
      </c>
      <c r="C5" s="332">
        <f>B5*Resúmen!C22</f>
        <v>1600000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</row>
    <row r="6" spans="1:13" x14ac:dyDescent="0.25">
      <c r="A6" s="316"/>
      <c r="B6" s="322">
        <f>SUM(B2:B5)</f>
        <v>88</v>
      </c>
      <c r="C6" s="332">
        <f>SUM(C2:C5)</f>
        <v>7580000</v>
      </c>
    </row>
    <row r="7" spans="1:13" x14ac:dyDescent="0.25">
      <c r="A7" s="313"/>
      <c r="B7" s="323"/>
    </row>
    <row r="8" spans="1:13" x14ac:dyDescent="0.25">
      <c r="A8" s="313"/>
      <c r="B8" s="323"/>
    </row>
    <row r="9" spans="1:13" x14ac:dyDescent="0.25">
      <c r="A9" s="313"/>
      <c r="B9" s="323"/>
    </row>
    <row r="10" spans="1:13" x14ac:dyDescent="0.25">
      <c r="A10" s="313"/>
      <c r="B10" s="323"/>
    </row>
    <row r="11" spans="1:13" x14ac:dyDescent="0.25">
      <c r="A11" s="313"/>
      <c r="B11" s="323"/>
    </row>
    <row r="12" spans="1:13" s="313" customFormat="1" x14ac:dyDescent="0.25">
      <c r="B12" s="323"/>
      <c r="C12" s="332"/>
    </row>
    <row r="13" spans="1:13" s="313" customFormat="1" x14ac:dyDescent="0.25">
      <c r="B13" s="323"/>
      <c r="C13" s="332"/>
    </row>
    <row r="14" spans="1:13" s="313" customFormat="1" x14ac:dyDescent="0.25">
      <c r="B14" s="323"/>
      <c r="C14" s="332"/>
    </row>
    <row r="15" spans="1:13" s="313" customFormat="1" x14ac:dyDescent="0.25">
      <c r="B15" s="323"/>
      <c r="C15" s="332"/>
    </row>
    <row r="16" spans="1:13" s="313" customFormat="1" x14ac:dyDescent="0.25">
      <c r="B16" s="323"/>
      <c r="C16" s="332"/>
    </row>
    <row r="17" spans="2:3" s="313" customFormat="1" x14ac:dyDescent="0.25">
      <c r="B17" s="323"/>
      <c r="C17" s="332"/>
    </row>
    <row r="18" spans="2:3" s="313" customFormat="1" x14ac:dyDescent="0.25">
      <c r="B18" s="323"/>
      <c r="C18" s="332"/>
    </row>
    <row r="19" spans="2:3" s="313" customFormat="1" x14ac:dyDescent="0.25">
      <c r="B19" s="323"/>
      <c r="C19" s="332"/>
    </row>
    <row r="20" spans="2:3" s="313" customFormat="1" x14ac:dyDescent="0.25">
      <c r="B20" s="323"/>
      <c r="C20" s="332"/>
    </row>
    <row r="21" spans="2:3" s="313" customFormat="1" x14ac:dyDescent="0.25">
      <c r="B21" s="323"/>
      <c r="C21" s="332"/>
    </row>
    <row r="22" spans="2:3" s="313" customFormat="1" x14ac:dyDescent="0.25">
      <c r="B22" s="323"/>
      <c r="C22" s="332"/>
    </row>
    <row r="23" spans="2:3" s="313" customFormat="1" x14ac:dyDescent="0.25">
      <c r="B23" s="323"/>
      <c r="C23" s="332"/>
    </row>
    <row r="24" spans="2:3" s="313" customFormat="1" x14ac:dyDescent="0.25">
      <c r="B24" s="323"/>
      <c r="C24" s="332"/>
    </row>
    <row r="25" spans="2:3" s="313" customFormat="1" x14ac:dyDescent="0.25">
      <c r="B25" s="323"/>
      <c r="C25" s="332"/>
    </row>
    <row r="26" spans="2:3" s="313" customFormat="1" x14ac:dyDescent="0.25">
      <c r="B26" s="323"/>
      <c r="C26" s="332"/>
    </row>
    <row r="27" spans="2:3" s="313" customFormat="1" x14ac:dyDescent="0.25">
      <c r="B27" s="323"/>
      <c r="C27" s="332"/>
    </row>
    <row r="28" spans="2:3" s="313" customFormat="1" x14ac:dyDescent="0.25">
      <c r="B28" s="323"/>
      <c r="C28" s="332"/>
    </row>
    <row r="29" spans="2:3" s="313" customFormat="1" x14ac:dyDescent="0.25">
      <c r="B29" s="323"/>
      <c r="C29" s="332"/>
    </row>
    <row r="30" spans="2:3" s="313" customFormat="1" x14ac:dyDescent="0.25">
      <c r="B30" s="323"/>
      <c r="C30" s="332"/>
    </row>
    <row r="31" spans="2:3" s="313" customFormat="1" x14ac:dyDescent="0.25">
      <c r="B31" s="323"/>
      <c r="C31" s="332"/>
    </row>
    <row r="32" spans="2:3" s="313" customFormat="1" x14ac:dyDescent="0.25">
      <c r="B32" s="323"/>
      <c r="C32" s="332"/>
    </row>
    <row r="33" spans="2:3" s="313" customFormat="1" x14ac:dyDescent="0.25">
      <c r="B33" s="323"/>
      <c r="C33" s="332"/>
    </row>
    <row r="34" spans="2:3" s="313" customFormat="1" x14ac:dyDescent="0.25">
      <c r="B34" s="323"/>
      <c r="C34" s="3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H20" sqref="H20"/>
    </sheetView>
  </sheetViews>
  <sheetFormatPr baseColWidth="10" defaultColWidth="11.42578125" defaultRowHeight="15" x14ac:dyDescent="0.25"/>
  <cols>
    <col min="1" max="1" width="24.140625" style="237" bestFit="1" customWidth="1"/>
    <col min="2" max="2" width="12" style="237" bestFit="1" customWidth="1"/>
    <col min="3" max="16384" width="11.42578125" style="237"/>
  </cols>
  <sheetData>
    <row r="1" spans="1:10" x14ac:dyDescent="0.25">
      <c r="A1" s="339" t="s">
        <v>278</v>
      </c>
      <c r="B1" s="339"/>
      <c r="C1" s="339"/>
    </row>
    <row r="2" spans="1:10" x14ac:dyDescent="0.25">
      <c r="A2" s="309" t="s">
        <v>304</v>
      </c>
      <c r="B2" s="262">
        <v>1000000</v>
      </c>
      <c r="C2" s="245" t="s">
        <v>277</v>
      </c>
      <c r="D2" s="248"/>
      <c r="E2" s="248"/>
      <c r="F2" s="248"/>
      <c r="G2" s="248"/>
      <c r="H2" s="248"/>
      <c r="I2" s="248"/>
      <c r="J2" s="248"/>
    </row>
    <row r="3" spans="1:10" x14ac:dyDescent="0.25">
      <c r="A3" s="245" t="s">
        <v>279</v>
      </c>
      <c r="B3" s="262">
        <v>500000</v>
      </c>
      <c r="C3" s="245" t="s">
        <v>277</v>
      </c>
      <c r="D3" s="248"/>
      <c r="E3" s="248"/>
      <c r="F3" s="248"/>
      <c r="G3" s="248"/>
      <c r="H3" s="248"/>
      <c r="I3" s="248"/>
      <c r="J3" s="248"/>
    </row>
    <row r="4" spans="1:10" x14ac:dyDescent="0.25">
      <c r="A4" s="309" t="s">
        <v>305</v>
      </c>
      <c r="B4" s="246">
        <f>(750000+750000+689454)*1.38352</f>
        <v>3029153.3980800002</v>
      </c>
      <c r="C4" s="245" t="s">
        <v>277</v>
      </c>
      <c r="D4" s="261"/>
      <c r="E4" s="261"/>
      <c r="F4" s="261"/>
      <c r="G4" s="261"/>
      <c r="H4" s="261"/>
      <c r="I4" s="261"/>
      <c r="J4" s="261"/>
    </row>
    <row r="5" spans="1:10" x14ac:dyDescent="0.25">
      <c r="A5" s="309" t="s">
        <v>306</v>
      </c>
      <c r="B5" s="246">
        <v>250000</v>
      </c>
      <c r="C5" s="245" t="s">
        <v>277</v>
      </c>
      <c r="D5" s="261"/>
      <c r="E5" s="261"/>
      <c r="F5" s="261"/>
      <c r="G5" s="261"/>
      <c r="H5" s="261"/>
      <c r="I5" s="261"/>
      <c r="J5" s="261"/>
    </row>
    <row r="6" spans="1:10" x14ac:dyDescent="0.25">
      <c r="A6" s="310" t="s">
        <v>307</v>
      </c>
      <c r="B6" s="246">
        <v>80000</v>
      </c>
      <c r="C6" s="245" t="s">
        <v>277</v>
      </c>
    </row>
    <row r="7" spans="1:10" x14ac:dyDescent="0.25">
      <c r="A7" s="310" t="s">
        <v>308</v>
      </c>
      <c r="B7" s="246">
        <v>50000</v>
      </c>
      <c r="C7" s="245" t="s">
        <v>277</v>
      </c>
    </row>
    <row r="8" spans="1:10" x14ac:dyDescent="0.25">
      <c r="B8" s="326">
        <f>SUM(B2:B7)</f>
        <v>4909153.3980800007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F23" sqref="F23"/>
    </sheetView>
  </sheetViews>
  <sheetFormatPr baseColWidth="10" defaultColWidth="11.42578125" defaultRowHeight="15" x14ac:dyDescent="0.25"/>
  <cols>
    <col min="1" max="1" width="14.85546875" style="237" bestFit="1" customWidth="1"/>
    <col min="2" max="3" width="10.42578125" style="237" bestFit="1" customWidth="1"/>
    <col min="4" max="5" width="12" style="237" bestFit="1" customWidth="1"/>
    <col min="6" max="6" width="14.42578125" style="237" bestFit="1" customWidth="1"/>
    <col min="7" max="16384" width="11.42578125" style="237"/>
  </cols>
  <sheetData>
    <row r="1" spans="1:6" ht="15.75" thickBot="1" x14ac:dyDescent="0.3">
      <c r="A1" s="340" t="s">
        <v>310</v>
      </c>
      <c r="B1" s="340"/>
      <c r="C1" s="340"/>
      <c r="D1" s="340"/>
      <c r="E1" s="340"/>
      <c r="F1" s="340"/>
    </row>
    <row r="2" spans="1:6" ht="15.75" thickBot="1" x14ac:dyDescent="0.3">
      <c r="A2" s="263"/>
      <c r="B2" s="264" t="s">
        <v>298</v>
      </c>
      <c r="C2" s="265" t="s">
        <v>299</v>
      </c>
      <c r="D2" s="265" t="s">
        <v>300</v>
      </c>
      <c r="E2" s="265" t="s">
        <v>301</v>
      </c>
      <c r="F2" s="266" t="s">
        <v>280</v>
      </c>
    </row>
    <row r="3" spans="1:6" x14ac:dyDescent="0.25">
      <c r="A3" s="267" t="s">
        <v>281</v>
      </c>
      <c r="B3" s="268">
        <f>'C. Producción'!D15*'Produccion diseño'!B2</f>
        <v>628785.45454545459</v>
      </c>
      <c r="C3" s="269">
        <f>'C. Producción'!E15*'Produccion diseño'!B3</f>
        <v>857781.81818181823</v>
      </c>
      <c r="D3" s="269">
        <f>'C. Producción'!F15*'Produccion diseño'!B4</f>
        <v>674647.27272727271</v>
      </c>
      <c r="E3" s="269">
        <f>'C. Producción'!G15*'Produccion diseño'!B5</f>
        <v>698065.45454545459</v>
      </c>
      <c r="F3" s="270">
        <f>SUM(B3:E3)</f>
        <v>2859280.0000000005</v>
      </c>
    </row>
    <row r="4" spans="1:6" x14ac:dyDescent="0.25">
      <c r="A4" s="267" t="s">
        <v>282</v>
      </c>
      <c r="B4" s="271">
        <f>'C. Producción'!D5*'Produccion diseño'!B2*10%</f>
        <v>3894</v>
      </c>
      <c r="C4" s="243">
        <f>'C. Producción'!E5*'Produccion diseño'!B3*10%</f>
        <v>6606</v>
      </c>
      <c r="D4" s="243">
        <f>'C. Producción'!F5*'Produccion diseño'!B4*10%</f>
        <v>8708</v>
      </c>
      <c r="E4" s="243">
        <f>'C. Producción'!G5*'Produccion diseño'!B5*10%</f>
        <v>9056</v>
      </c>
      <c r="F4" s="272">
        <f>SUM(B4:E4)</f>
        <v>28264</v>
      </c>
    </row>
    <row r="5" spans="1:6" x14ac:dyDescent="0.25">
      <c r="A5" s="267" t="s">
        <v>283</v>
      </c>
      <c r="B5" s="271">
        <v>0</v>
      </c>
      <c r="C5" s="254">
        <v>0</v>
      </c>
      <c r="D5" s="254">
        <v>0</v>
      </c>
      <c r="E5" s="254">
        <v>0</v>
      </c>
      <c r="F5" s="272">
        <f>SUM(B5:E5)</f>
        <v>0</v>
      </c>
    </row>
    <row r="6" spans="1:6" ht="15.75" thickBot="1" x14ac:dyDescent="0.3">
      <c r="A6" s="273" t="s">
        <v>284</v>
      </c>
      <c r="B6" s="274">
        <v>0</v>
      </c>
      <c r="C6" s="275">
        <v>0</v>
      </c>
      <c r="D6" s="275">
        <v>0</v>
      </c>
      <c r="E6" s="275">
        <v>0</v>
      </c>
      <c r="F6" s="276">
        <f>SUM(B6:E6)</f>
        <v>0</v>
      </c>
    </row>
    <row r="7" spans="1:6" ht="15.75" x14ac:dyDescent="0.25">
      <c r="A7" s="247"/>
      <c r="B7" s="277"/>
      <c r="C7" s="260"/>
      <c r="D7" s="260"/>
      <c r="F7" s="278">
        <f>SUM(F3:F6)</f>
        <v>2887544.0000000005</v>
      </c>
    </row>
    <row r="8" spans="1:6" x14ac:dyDescent="0.25">
      <c r="A8" s="247"/>
      <c r="B8" s="277"/>
      <c r="C8" s="260"/>
      <c r="D8" s="260"/>
    </row>
    <row r="9" spans="1:6" x14ac:dyDescent="0.25">
      <c r="A9" s="247"/>
      <c r="B9" s="277"/>
      <c r="C9" s="260"/>
      <c r="D9" s="260"/>
    </row>
    <row r="10" spans="1:6" x14ac:dyDescent="0.25">
      <c r="A10" s="247"/>
      <c r="B10" s="277"/>
      <c r="C10" s="260"/>
      <c r="D10" s="260"/>
    </row>
    <row r="11" spans="1:6" x14ac:dyDescent="0.25">
      <c r="A11" s="247"/>
      <c r="B11" s="277"/>
      <c r="C11" s="260"/>
      <c r="D11" s="260"/>
    </row>
    <row r="12" spans="1:6" x14ac:dyDescent="0.25">
      <c r="A12" s="247"/>
      <c r="B12" s="277"/>
      <c r="C12" s="260"/>
      <c r="D12" s="260"/>
    </row>
    <row r="13" spans="1:6" x14ac:dyDescent="0.25">
      <c r="A13" s="247"/>
      <c r="B13" s="277"/>
      <c r="C13" s="260"/>
      <c r="D13" s="260"/>
    </row>
    <row r="14" spans="1:6" x14ac:dyDescent="0.25">
      <c r="A14" s="247"/>
      <c r="B14" s="277"/>
      <c r="C14" s="260"/>
      <c r="D14" s="260"/>
    </row>
    <row r="15" spans="1:6" x14ac:dyDescent="0.25">
      <c r="A15" s="247"/>
      <c r="B15" s="277"/>
      <c r="C15" s="260"/>
      <c r="D15" s="260"/>
    </row>
    <row r="16" spans="1:6" x14ac:dyDescent="0.25">
      <c r="A16" s="247"/>
      <c r="B16" s="277"/>
      <c r="C16" s="260"/>
      <c r="D16" s="260"/>
    </row>
    <row r="17" spans="1:4" x14ac:dyDescent="0.25">
      <c r="A17" s="247"/>
      <c r="B17" s="277"/>
      <c r="C17" s="260"/>
      <c r="D17" s="260"/>
    </row>
    <row r="18" spans="1:4" x14ac:dyDescent="0.25">
      <c r="A18" s="247"/>
      <c r="B18" s="277"/>
      <c r="C18" s="260"/>
      <c r="D18" s="260"/>
    </row>
    <row r="19" spans="1:4" ht="15.75" x14ac:dyDescent="0.25">
      <c r="A19" s="279"/>
      <c r="B19" s="280"/>
      <c r="C19" s="281"/>
      <c r="D19" s="281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>
      <selection sqref="A1:F12"/>
    </sheetView>
  </sheetViews>
  <sheetFormatPr baseColWidth="10" defaultColWidth="11.42578125" defaultRowHeight="15" x14ac:dyDescent="0.25"/>
  <cols>
    <col min="1" max="1" width="31" style="237" bestFit="1" customWidth="1"/>
    <col min="2" max="2" width="15.5703125" style="237" bestFit="1" customWidth="1"/>
    <col min="3" max="16384" width="11.42578125" style="237"/>
  </cols>
  <sheetData>
    <row r="1" spans="1:6" x14ac:dyDescent="0.25">
      <c r="A1" s="341" t="s">
        <v>285</v>
      </c>
      <c r="B1" s="341"/>
      <c r="C1" s="282"/>
      <c r="D1" s="282"/>
    </row>
    <row r="2" spans="1:6" x14ac:dyDescent="0.25">
      <c r="A2" s="244" t="s">
        <v>286</v>
      </c>
      <c r="B2" s="243">
        <v>1021000</v>
      </c>
    </row>
    <row r="3" spans="1:6" x14ac:dyDescent="0.25">
      <c r="A3" s="244" t="s">
        <v>287</v>
      </c>
      <c r="B3" s="243">
        <v>928000</v>
      </c>
    </row>
    <row r="4" spans="1:6" x14ac:dyDescent="0.25">
      <c r="A4" s="245" t="s">
        <v>288</v>
      </c>
      <c r="B4" s="246">
        <f>'C. Inic. MP'!F7</f>
        <v>2887544.0000000005</v>
      </c>
    </row>
    <row r="5" spans="1:6" x14ac:dyDescent="0.25">
      <c r="A5" s="245" t="s">
        <v>289</v>
      </c>
      <c r="B5" s="246">
        <f>30000000-29844851</f>
        <v>155149</v>
      </c>
    </row>
    <row r="6" spans="1:6" x14ac:dyDescent="0.25">
      <c r="A6" s="309" t="s">
        <v>311</v>
      </c>
      <c r="B6" s="246">
        <f>1100000*2+150000</f>
        <v>2350000</v>
      </c>
    </row>
    <row r="7" spans="1:6" x14ac:dyDescent="0.25">
      <c r="A7" s="309" t="s">
        <v>312</v>
      </c>
      <c r="B7" s="246">
        <f>250000*3+90000*3+80000</f>
        <v>1100000</v>
      </c>
    </row>
    <row r="8" spans="1:6" x14ac:dyDescent="0.25">
      <c r="A8" s="325" t="s">
        <v>320</v>
      </c>
      <c r="B8" s="330">
        <f>'C. fijos'!B4*2</f>
        <v>6058306.7961600004</v>
      </c>
      <c r="D8" s="342" t="s">
        <v>338</v>
      </c>
      <c r="E8" s="343"/>
      <c r="F8" s="343"/>
    </row>
    <row r="9" spans="1:6" x14ac:dyDescent="0.25">
      <c r="A9" s="325" t="s">
        <v>313</v>
      </c>
      <c r="B9" s="330">
        <f>'C. fijos'!B2*4</f>
        <v>4000000</v>
      </c>
      <c r="D9" s="343"/>
      <c r="E9" s="343"/>
      <c r="F9" s="343"/>
    </row>
    <row r="10" spans="1:6" x14ac:dyDescent="0.25">
      <c r="A10" s="325" t="s">
        <v>321</v>
      </c>
      <c r="B10" s="330">
        <f>'C. fijos'!B3*3</f>
        <v>1500000</v>
      </c>
      <c r="D10" s="343"/>
      <c r="E10" s="343"/>
      <c r="F10" s="343"/>
    </row>
    <row r="11" spans="1:6" x14ac:dyDescent="0.25">
      <c r="A11" s="329" t="s">
        <v>335</v>
      </c>
      <c r="B11" s="330">
        <v>10000000</v>
      </c>
      <c r="D11" s="343"/>
      <c r="E11" s="343"/>
      <c r="F11" s="343"/>
    </row>
    <row r="12" spans="1:6" x14ac:dyDescent="0.25">
      <c r="A12" s="255" t="s">
        <v>280</v>
      </c>
      <c r="B12" s="283">
        <f>SUM(B2:B11)</f>
        <v>29999999.796160001</v>
      </c>
    </row>
  </sheetData>
  <mergeCells count="2">
    <mergeCell ref="A1:B1"/>
    <mergeCell ref="D8:F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K175"/>
  <sheetViews>
    <sheetView showGridLines="0" tabSelected="1" topLeftCell="A54" workbookViewId="0">
      <selection activeCell="D49" sqref="D49"/>
    </sheetView>
  </sheetViews>
  <sheetFormatPr baseColWidth="10" defaultColWidth="11.42578125" defaultRowHeight="17.25" x14ac:dyDescent="0.3"/>
  <cols>
    <col min="1" max="1" width="59.5703125" style="17" bestFit="1" customWidth="1"/>
    <col min="2" max="2" width="25.5703125" style="17" bestFit="1" customWidth="1"/>
    <col min="3" max="3" width="9.7109375" style="59" bestFit="1" customWidth="1"/>
    <col min="4" max="4" width="8.42578125" style="59" customWidth="1"/>
    <col min="5" max="5" width="8.42578125" style="60" customWidth="1"/>
    <col min="6" max="6" width="22" style="23" bestFit="1" customWidth="1"/>
    <col min="7" max="7" width="30" style="23" customWidth="1"/>
    <col min="8" max="8" width="16.5703125" style="17" customWidth="1"/>
    <col min="9" max="9" width="25.5703125" style="17" bestFit="1" customWidth="1"/>
    <col min="10" max="10" width="26.5703125" style="17" bestFit="1" customWidth="1"/>
    <col min="11" max="11" width="21.7109375" style="17" customWidth="1"/>
    <col min="12" max="16384" width="11.42578125" style="17"/>
  </cols>
  <sheetData>
    <row r="1" spans="1:11" s="12" customFormat="1" ht="28.5" customHeight="1" x14ac:dyDescent="0.5">
      <c r="A1" s="370" t="s">
        <v>207</v>
      </c>
      <c r="B1" s="370"/>
      <c r="C1" s="370"/>
      <c r="D1" s="370"/>
      <c r="E1" s="370"/>
      <c r="F1" s="370"/>
      <c r="G1" s="370"/>
    </row>
    <row r="2" spans="1:11" s="13" customFormat="1" ht="28.5" x14ac:dyDescent="0.45">
      <c r="A2" s="358" t="s">
        <v>314</v>
      </c>
      <c r="B2" s="358"/>
      <c r="C2" s="358"/>
      <c r="D2" s="358"/>
      <c r="E2" s="358"/>
      <c r="F2" s="358"/>
      <c r="G2" s="358"/>
    </row>
    <row r="3" spans="1:11" s="14" customFormat="1" ht="23.25" x14ac:dyDescent="0.35">
      <c r="A3" s="371" t="s">
        <v>154</v>
      </c>
      <c r="B3" s="371"/>
      <c r="C3" s="371"/>
      <c r="D3" s="371"/>
      <c r="E3" s="371"/>
      <c r="F3" s="371"/>
      <c r="G3" s="371"/>
    </row>
    <row r="4" spans="1:11" s="14" customFormat="1" ht="24" thickBot="1" x14ac:dyDescent="0.4">
      <c r="A4" s="61"/>
      <c r="B4" s="61"/>
      <c r="C4" s="61"/>
      <c r="D4" s="61"/>
      <c r="E4" s="61"/>
      <c r="F4" s="61"/>
      <c r="G4" s="61"/>
    </row>
    <row r="5" spans="1:11" ht="19.5" thickBot="1" x14ac:dyDescent="0.35">
      <c r="A5" s="68" t="s">
        <v>212</v>
      </c>
      <c r="F5" s="75" t="s">
        <v>221</v>
      </c>
      <c r="G5" s="285">
        <v>2016</v>
      </c>
    </row>
    <row r="6" spans="1:11" s="63" customFormat="1" ht="15.75" x14ac:dyDescent="0.25">
      <c r="B6" s="64"/>
      <c r="C6" s="64"/>
      <c r="D6" s="64"/>
      <c r="E6" s="64"/>
    </row>
    <row r="7" spans="1:11" ht="18.75" x14ac:dyDescent="0.3">
      <c r="A7" s="284" t="s">
        <v>144</v>
      </c>
      <c r="B7" s="349" t="s">
        <v>211</v>
      </c>
      <c r="C7" s="349"/>
      <c r="D7" s="349"/>
      <c r="E7" s="349"/>
      <c r="F7" s="284" t="s">
        <v>145</v>
      </c>
      <c r="G7" s="284" t="s">
        <v>145</v>
      </c>
    </row>
    <row r="8" spans="1:11" s="20" customFormat="1" x14ac:dyDescent="0.3">
      <c r="A8" s="362" t="s">
        <v>149</v>
      </c>
      <c r="B8" s="363" t="s">
        <v>153</v>
      </c>
      <c r="C8" s="363"/>
      <c r="D8" s="363"/>
      <c r="E8" s="363"/>
      <c r="F8" s="65">
        <v>1</v>
      </c>
      <c r="G8" s="298" t="s">
        <v>298</v>
      </c>
    </row>
    <row r="9" spans="1:11" s="20" customFormat="1" x14ac:dyDescent="0.3">
      <c r="A9" s="362"/>
      <c r="B9" s="364" t="s">
        <v>153</v>
      </c>
      <c r="C9" s="365"/>
      <c r="D9" s="365"/>
      <c r="E9" s="366"/>
      <c r="F9" s="65">
        <v>2</v>
      </c>
      <c r="G9" s="298" t="s">
        <v>299</v>
      </c>
    </row>
    <row r="10" spans="1:11" s="20" customFormat="1" x14ac:dyDescent="0.3">
      <c r="A10" s="362"/>
      <c r="B10" s="364" t="s">
        <v>153</v>
      </c>
      <c r="C10" s="365"/>
      <c r="D10" s="365"/>
      <c r="E10" s="366"/>
      <c r="F10" s="65">
        <v>3</v>
      </c>
      <c r="G10" s="298" t="s">
        <v>300</v>
      </c>
    </row>
    <row r="11" spans="1:11" s="20" customFormat="1" x14ac:dyDescent="0.3">
      <c r="A11" s="362"/>
      <c r="B11" s="364" t="s">
        <v>153</v>
      </c>
      <c r="C11" s="365"/>
      <c r="D11" s="365"/>
      <c r="E11" s="366"/>
      <c r="F11" s="65">
        <v>4</v>
      </c>
      <c r="G11" s="298" t="s">
        <v>301</v>
      </c>
      <c r="I11" s="357"/>
      <c r="J11" s="357"/>
      <c r="K11" s="357"/>
    </row>
    <row r="12" spans="1:11" s="20" customFormat="1" hidden="1" x14ac:dyDescent="0.3">
      <c r="A12" s="362"/>
      <c r="B12" s="363" t="s">
        <v>153</v>
      </c>
      <c r="C12" s="363"/>
      <c r="D12" s="363"/>
      <c r="E12" s="363"/>
      <c r="F12" s="65">
        <v>8</v>
      </c>
      <c r="G12" s="286"/>
    </row>
    <row r="13" spans="1:11" s="20" customFormat="1" hidden="1" x14ac:dyDescent="0.3">
      <c r="A13" s="362"/>
      <c r="B13" s="363" t="s">
        <v>153</v>
      </c>
      <c r="C13" s="363"/>
      <c r="D13" s="363"/>
      <c r="E13" s="363"/>
      <c r="F13" s="65">
        <v>9</v>
      </c>
      <c r="G13" s="286"/>
      <c r="I13" s="357"/>
      <c r="J13" s="357"/>
      <c r="K13" s="357"/>
    </row>
    <row r="14" spans="1:11" s="20" customFormat="1" hidden="1" x14ac:dyDescent="0.3">
      <c r="A14" s="362"/>
      <c r="B14" s="363" t="s">
        <v>153</v>
      </c>
      <c r="C14" s="363"/>
      <c r="D14" s="363"/>
      <c r="E14" s="363"/>
      <c r="F14" s="65">
        <v>10</v>
      </c>
      <c r="G14" s="286"/>
      <c r="I14" s="384"/>
      <c r="J14" s="384"/>
      <c r="K14" s="384"/>
    </row>
    <row r="15" spans="1:11" s="20" customFormat="1" x14ac:dyDescent="0.3">
      <c r="A15" s="66"/>
      <c r="B15" s="67"/>
      <c r="C15" s="67"/>
      <c r="D15" s="67"/>
      <c r="E15" s="67"/>
      <c r="F15" s="19"/>
      <c r="G15" s="106"/>
      <c r="I15" s="29"/>
      <c r="J15" s="29"/>
      <c r="K15" s="29"/>
    </row>
    <row r="16" spans="1:11" s="20" customFormat="1" ht="19.5" thickBot="1" x14ac:dyDescent="0.35">
      <c r="A16" s="68" t="s">
        <v>244</v>
      </c>
      <c r="B16" s="87"/>
      <c r="C16" s="88"/>
      <c r="D16" s="88"/>
      <c r="E16" s="88"/>
      <c r="F16" s="89"/>
      <c r="G16" s="24"/>
      <c r="K16" s="29"/>
    </row>
    <row r="17" spans="1:11" s="20" customFormat="1" ht="19.5" thickBot="1" x14ac:dyDescent="0.35">
      <c r="A17" s="76"/>
      <c r="B17" s="87"/>
      <c r="C17" s="88"/>
      <c r="D17" s="88"/>
      <c r="E17" s="88"/>
      <c r="F17" s="367" t="s">
        <v>232</v>
      </c>
      <c r="G17" s="368"/>
      <c r="H17" s="368"/>
      <c r="I17" s="368"/>
      <c r="J17" s="369"/>
      <c r="K17" s="29"/>
    </row>
    <row r="18" spans="1:11" s="20" customFormat="1" ht="18.75" x14ac:dyDescent="0.3">
      <c r="A18" s="287" t="s">
        <v>224</v>
      </c>
      <c r="B18" s="288" t="s">
        <v>225</v>
      </c>
      <c r="C18" s="351" t="s">
        <v>247</v>
      </c>
      <c r="D18" s="349"/>
      <c r="E18" s="352"/>
      <c r="F18" s="289" t="s">
        <v>233</v>
      </c>
      <c r="G18" s="284" t="s">
        <v>208</v>
      </c>
      <c r="H18" s="349" t="s">
        <v>161</v>
      </c>
      <c r="I18" s="349"/>
      <c r="J18" s="290" t="s">
        <v>9</v>
      </c>
      <c r="K18" s="29"/>
    </row>
    <row r="19" spans="1:11" s="20" customFormat="1" ht="18.75" x14ac:dyDescent="0.3">
      <c r="A19" s="348" t="s">
        <v>226</v>
      </c>
      <c r="B19" s="90" t="str">
        <f>+$G$8</f>
        <v>TIPO 1</v>
      </c>
      <c r="C19" s="359">
        <v>140000</v>
      </c>
      <c r="D19" s="360"/>
      <c r="E19" s="361"/>
      <c r="F19" s="292">
        <f>'C. Producción'!D15</f>
        <v>62878.545454545456</v>
      </c>
      <c r="G19" s="39">
        <f>B$89*(C19*Parámetros!E$11)</f>
        <v>0</v>
      </c>
      <c r="H19" s="350"/>
      <c r="I19" s="350"/>
      <c r="J19" s="40">
        <f>SUM(F19:I19)</f>
        <v>62878.545454545456</v>
      </c>
      <c r="K19" s="29"/>
    </row>
    <row r="20" spans="1:11" s="20" customFormat="1" ht="18.75" x14ac:dyDescent="0.3">
      <c r="A20" s="348"/>
      <c r="B20" s="90" t="str">
        <f>+$G$9</f>
        <v>TIPO 2</v>
      </c>
      <c r="C20" s="359">
        <v>130000</v>
      </c>
      <c r="D20" s="360"/>
      <c r="E20" s="361"/>
      <c r="F20" s="292">
        <f>'C. Producción'!E15</f>
        <v>47654.545454545456</v>
      </c>
      <c r="G20" s="39">
        <f>B$89*(C20*Parámetros!E$11)</f>
        <v>0</v>
      </c>
      <c r="H20" s="350"/>
      <c r="I20" s="350"/>
      <c r="J20" s="40">
        <f>SUM(F20:I20)</f>
        <v>47654.545454545456</v>
      </c>
      <c r="K20" s="29"/>
    </row>
    <row r="21" spans="1:11" s="20" customFormat="1" ht="18.75" x14ac:dyDescent="0.3">
      <c r="A21" s="348"/>
      <c r="B21" s="90" t="str">
        <f>+$G$10</f>
        <v>TIPO 3</v>
      </c>
      <c r="C21" s="359">
        <v>80000</v>
      </c>
      <c r="D21" s="360"/>
      <c r="E21" s="361"/>
      <c r="F21" s="292">
        <f>'C. Producción'!F15</f>
        <v>24094.545454545456</v>
      </c>
      <c r="G21" s="39">
        <f>B$89*(C21*Parámetros!E$11)</f>
        <v>0</v>
      </c>
      <c r="H21" s="350"/>
      <c r="I21" s="350"/>
      <c r="J21" s="40">
        <f>SUM(F21:I21)</f>
        <v>24094.545454545456</v>
      </c>
      <c r="K21" s="29"/>
    </row>
    <row r="22" spans="1:11" s="20" customFormat="1" ht="18.75" x14ac:dyDescent="0.3">
      <c r="A22" s="348"/>
      <c r="B22" s="90" t="str">
        <f>+$G$11</f>
        <v>TIPO 4</v>
      </c>
      <c r="C22" s="359">
        <v>50000</v>
      </c>
      <c r="D22" s="360"/>
      <c r="E22" s="361"/>
      <c r="F22" s="292">
        <f>'C. Producción'!G15</f>
        <v>21814.545454545456</v>
      </c>
      <c r="G22" s="39">
        <f>B$89*(C22*Parámetros!E$11)</f>
        <v>0</v>
      </c>
      <c r="H22" s="350"/>
      <c r="I22" s="350"/>
      <c r="J22" s="40">
        <f>SUM(F22:I22)</f>
        <v>21814.545454545456</v>
      </c>
      <c r="K22" s="29"/>
    </row>
    <row r="23" spans="1:11" s="20" customFormat="1" ht="18" thickBot="1" x14ac:dyDescent="0.35">
      <c r="A23" s="66"/>
      <c r="B23" s="67"/>
      <c r="C23" s="67"/>
      <c r="D23" s="67"/>
      <c r="E23" s="67"/>
      <c r="F23" s="19"/>
      <c r="G23" s="106"/>
      <c r="I23" s="29"/>
      <c r="J23" s="29"/>
      <c r="K23" s="29"/>
    </row>
    <row r="24" spans="1:11" s="20" customFormat="1" ht="19.5" thickBot="1" x14ac:dyDescent="0.35">
      <c r="A24" s="68" t="s">
        <v>213</v>
      </c>
      <c r="B24" s="67"/>
      <c r="C24" s="67"/>
      <c r="D24" s="67"/>
      <c r="E24" s="67"/>
      <c r="F24" s="75" t="s">
        <v>147</v>
      </c>
      <c r="G24" s="220">
        <f>SUM(F27:F30)</f>
        <v>90960000</v>
      </c>
      <c r="I24" s="68" t="s">
        <v>227</v>
      </c>
      <c r="J24" s="75" t="s">
        <v>163</v>
      </c>
      <c r="K24" s="32">
        <f>SUM(J27:J30)</f>
        <v>35293587.19068414</v>
      </c>
    </row>
    <row r="25" spans="1:11" s="20" customFormat="1" ht="15" x14ac:dyDescent="0.25">
      <c r="C25" s="21"/>
      <c r="D25" s="21"/>
      <c r="E25" s="22"/>
    </row>
    <row r="26" spans="1:11" s="20" customFormat="1" ht="18.75" x14ac:dyDescent="0.3">
      <c r="A26" s="291" t="s">
        <v>144</v>
      </c>
      <c r="B26" s="291">
        <f>+G5</f>
        <v>2016</v>
      </c>
      <c r="C26" s="291" t="s">
        <v>214</v>
      </c>
      <c r="D26" s="291" t="s">
        <v>165</v>
      </c>
      <c r="E26" s="291" t="s">
        <v>215</v>
      </c>
      <c r="F26" s="291" t="s">
        <v>216</v>
      </c>
      <c r="I26" s="284" t="s">
        <v>162</v>
      </c>
      <c r="J26" s="284" t="s">
        <v>164</v>
      </c>
      <c r="K26" s="69"/>
    </row>
    <row r="27" spans="1:11" s="20" customFormat="1" ht="18.75" x14ac:dyDescent="0.3">
      <c r="A27" s="71" t="s">
        <v>148</v>
      </c>
      <c r="B27" s="74" t="str">
        <f>+$G$8</f>
        <v>TIPO 1</v>
      </c>
      <c r="C27" s="72"/>
      <c r="D27" s="72">
        <f>F27/G$24</f>
        <v>0.18469656992084432</v>
      </c>
      <c r="E27" s="73">
        <f>IF(F27=0,0,F27/(C19*(1+Parámetros!E$9)))</f>
        <v>116.44832605531296</v>
      </c>
      <c r="F27" s="292">
        <f>C19*'Produccion diseño'!B2*12</f>
        <v>16800000</v>
      </c>
      <c r="G27" s="26"/>
      <c r="H27" s="27"/>
      <c r="I27" s="81">
        <f>J19*(1+Parámetros!F$8)</f>
        <v>66651.258181818193</v>
      </c>
      <c r="J27" s="81">
        <f>IF(I27=0,0,I27*E27)</f>
        <v>7761427.444753211</v>
      </c>
      <c r="K27" s="25"/>
    </row>
    <row r="28" spans="1:11" s="20" customFormat="1" ht="18.75" x14ac:dyDescent="0.3">
      <c r="A28" s="71" t="s">
        <v>150</v>
      </c>
      <c r="B28" s="74" t="str">
        <f>+$G$9</f>
        <v>TIPO 2</v>
      </c>
      <c r="C28" s="72"/>
      <c r="D28" s="72">
        <f>F28/G$24</f>
        <v>0.30870712401055411</v>
      </c>
      <c r="E28" s="73">
        <f>IF(F28=0,0,F28/(C20*(1+Parámetros!E$9)))</f>
        <v>209.60698689956331</v>
      </c>
      <c r="F28" s="292">
        <f>C20*'Produccion diseño'!B3*12</f>
        <v>28080000</v>
      </c>
      <c r="G28" s="26"/>
      <c r="H28" s="27"/>
      <c r="I28" s="81">
        <f>J20*(1+Parámetros!F$8)</f>
        <v>50513.818181818184</v>
      </c>
      <c r="J28" s="81">
        <f>IF(I28=0,0,I28*E28)</f>
        <v>10588049.225883286</v>
      </c>
      <c r="K28" s="25"/>
    </row>
    <row r="29" spans="1:11" s="20" customFormat="1" ht="18.75" x14ac:dyDescent="0.3">
      <c r="A29" s="71" t="s">
        <v>151</v>
      </c>
      <c r="B29" s="74" t="str">
        <f>+$G$10</f>
        <v>TIPO 3</v>
      </c>
      <c r="C29" s="72"/>
      <c r="D29" s="72">
        <f>F29/G$24</f>
        <v>0.29551451187335093</v>
      </c>
      <c r="E29" s="73">
        <f>IF(F29=0,0,F29/(C21*(1+Parámetros!E$9)))</f>
        <v>326.05531295487629</v>
      </c>
      <c r="F29" s="292">
        <f>C21*'Produccion diseño'!B4*12</f>
        <v>26880000</v>
      </c>
      <c r="G29" s="26"/>
      <c r="H29" s="27"/>
      <c r="I29" s="81">
        <f>J21*(1+Parámetros!F$8)</f>
        <v>25540.218181818185</v>
      </c>
      <c r="J29" s="81">
        <f>IF(I29=0,0,I29*E29)</f>
        <v>8327523.8322085496</v>
      </c>
      <c r="K29" s="25"/>
    </row>
    <row r="30" spans="1:11" s="20" customFormat="1" ht="18.75" x14ac:dyDescent="0.3">
      <c r="A30" s="71" t="s">
        <v>152</v>
      </c>
      <c r="B30" s="74" t="str">
        <f>+$G$11</f>
        <v>TIPO 4</v>
      </c>
      <c r="C30" s="72"/>
      <c r="D30" s="72">
        <f>F30/G$24</f>
        <v>0.21108179419525067</v>
      </c>
      <c r="E30" s="73">
        <f>IF(F30=0,0,F30/(C22*(1+Parámetros!E$9)))</f>
        <v>372.63464337700145</v>
      </c>
      <c r="F30" s="292">
        <f>C22*'Produccion diseño'!B5*12</f>
        <v>19200000</v>
      </c>
      <c r="G30" s="26"/>
      <c r="I30" s="81">
        <f>J22*(1+Parámetros!F$8)</f>
        <v>23123.418181818186</v>
      </c>
      <c r="J30" s="81">
        <f>IF(I30=0,0,I30*E30)</f>
        <v>8616586.6878390908</v>
      </c>
      <c r="K30" s="25"/>
    </row>
    <row r="31" spans="1:11" s="20" customFormat="1" ht="19.5" thickBot="1" x14ac:dyDescent="0.35">
      <c r="A31" s="76"/>
      <c r="B31" s="77"/>
      <c r="C31" s="78"/>
      <c r="D31" s="78"/>
      <c r="E31" s="79"/>
      <c r="F31" s="80"/>
      <c r="G31" s="26"/>
      <c r="I31" s="33"/>
      <c r="J31" s="33"/>
      <c r="K31" s="25"/>
    </row>
    <row r="32" spans="1:11" s="20" customFormat="1" ht="19.5" thickBot="1" x14ac:dyDescent="0.35">
      <c r="A32" s="68" t="s">
        <v>217</v>
      </c>
      <c r="B32" s="77"/>
      <c r="C32" s="30">
        <f>G32/G24-1</f>
        <v>0.35000000000000009</v>
      </c>
      <c r="D32" s="78">
        <v>0.35</v>
      </c>
      <c r="E32" s="79"/>
      <c r="F32" s="75" t="s">
        <v>147</v>
      </c>
      <c r="G32" s="220">
        <f>SUM(F35:F38)</f>
        <v>122796000</v>
      </c>
      <c r="I32" s="68" t="s">
        <v>228</v>
      </c>
      <c r="J32" s="75" t="s">
        <v>163</v>
      </c>
      <c r="K32" s="32">
        <f>SUM(J35:J38)</f>
        <v>49034100.262008734</v>
      </c>
    </row>
    <row r="33" spans="1:11" s="20" customFormat="1" ht="18.75" x14ac:dyDescent="0.3">
      <c r="C33" s="21"/>
      <c r="D33" s="21"/>
      <c r="E33" s="22"/>
      <c r="F33" s="26"/>
      <c r="G33" s="26"/>
      <c r="I33" s="28"/>
      <c r="J33" s="28"/>
      <c r="K33" s="25"/>
    </row>
    <row r="34" spans="1:11" s="20" customFormat="1" ht="18.75" x14ac:dyDescent="0.3">
      <c r="A34" s="291" t="s">
        <v>144</v>
      </c>
      <c r="B34" s="291">
        <f>+B26+1</f>
        <v>2017</v>
      </c>
      <c r="C34" s="291" t="s">
        <v>214</v>
      </c>
      <c r="D34" s="291" t="s">
        <v>165</v>
      </c>
      <c r="E34" s="291" t="s">
        <v>215</v>
      </c>
      <c r="F34" s="291" t="s">
        <v>216</v>
      </c>
      <c r="H34" s="31"/>
      <c r="I34" s="284" t="s">
        <v>162</v>
      </c>
      <c r="J34" s="284" t="s">
        <v>164</v>
      </c>
    </row>
    <row r="35" spans="1:11" s="20" customFormat="1" ht="18.75" x14ac:dyDescent="0.3">
      <c r="A35" s="71" t="s">
        <v>148</v>
      </c>
      <c r="B35" s="74" t="str">
        <f>+$G$8</f>
        <v>TIPO 1</v>
      </c>
      <c r="C35" s="72">
        <f>IF(F27=0,0,F35/F27-1)</f>
        <v>0.35000000000000009</v>
      </c>
      <c r="D35" s="72">
        <f>F35/G$32</f>
        <v>0.18469656992084432</v>
      </c>
      <c r="E35" s="73">
        <f>IF(F35=0,0,F35/(C19*(1+Parámetros!E$9)*(1+Parámetros!F$9)))</f>
        <v>152.62644677152667</v>
      </c>
      <c r="F35" s="292">
        <f>(F27*(1+D$32))</f>
        <v>22680000</v>
      </c>
      <c r="G35" s="26"/>
      <c r="I35" s="81">
        <f>I27*(1+Parámetros!G$8)</f>
        <v>70650.333672727284</v>
      </c>
      <c r="J35" s="81">
        <f>IF(I35=0,0,I35*E35)</f>
        <v>10783109.391691109</v>
      </c>
      <c r="K35" s="25"/>
    </row>
    <row r="36" spans="1:11" s="20" customFormat="1" ht="18.75" x14ac:dyDescent="0.3">
      <c r="A36" s="71" t="s">
        <v>150</v>
      </c>
      <c r="B36" s="74" t="str">
        <f>+$G$9</f>
        <v>TIPO 2</v>
      </c>
      <c r="C36" s="72">
        <f>IF(F28=0,0,F36/F28-1)</f>
        <v>0.35000000000000009</v>
      </c>
      <c r="D36" s="72">
        <f>F36/G$32</f>
        <v>0.30870712401055411</v>
      </c>
      <c r="E36" s="73">
        <f>IF(F36=0,0,F36/(C20*(1+Parámetros!E$9)*(1+Parámetros!F$9)))</f>
        <v>274.72760418874799</v>
      </c>
      <c r="F36" s="292">
        <f>(F28*(1+D$32))</f>
        <v>37908000</v>
      </c>
      <c r="G36" s="26"/>
      <c r="I36" s="81">
        <f>I28*(1+Parámetros!G$8)</f>
        <v>53544.647272727278</v>
      </c>
      <c r="J36" s="81">
        <f>IF(I36=0,0,I36*E36)</f>
        <v>14710192.662367944</v>
      </c>
      <c r="K36" s="25"/>
    </row>
    <row r="37" spans="1:11" s="20" customFormat="1" ht="18.75" x14ac:dyDescent="0.3">
      <c r="A37" s="71" t="s">
        <v>151</v>
      </c>
      <c r="B37" s="74" t="str">
        <f>+$G$10</f>
        <v>TIPO 3</v>
      </c>
      <c r="C37" s="72">
        <f>IF(F29=0,0,F37/F29-1)</f>
        <v>0.35000000000000009</v>
      </c>
      <c r="D37" s="72">
        <f>F37/G$32</f>
        <v>0.29551451187335093</v>
      </c>
      <c r="E37" s="73">
        <f>IF(F37=0,0,F37/(C21*(1+Parámetros!E$9)*(1+Parámetros!F$9)))</f>
        <v>427.35405096027472</v>
      </c>
      <c r="F37" s="292">
        <f>(F29*(1+D$32))</f>
        <v>36288000</v>
      </c>
      <c r="G37" s="26"/>
      <c r="I37" s="81">
        <f>I29*(1+Parámetros!G$8)</f>
        <v>27072.631272727278</v>
      </c>
      <c r="J37" s="81">
        <f>IF(I37=0,0,I37*E37)</f>
        <v>11569598.64455382</v>
      </c>
      <c r="K37" s="25"/>
    </row>
    <row r="38" spans="1:11" s="20" customFormat="1" ht="18.75" x14ac:dyDescent="0.3">
      <c r="A38" s="71" t="s">
        <v>152</v>
      </c>
      <c r="B38" s="74" t="str">
        <f>+$G$11</f>
        <v>TIPO 4</v>
      </c>
      <c r="C38" s="72">
        <f>IF(F30=0,0,F38/F30-1)</f>
        <v>0.35000000000000009</v>
      </c>
      <c r="D38" s="72">
        <f>F38/G$32</f>
        <v>0.21108179419525067</v>
      </c>
      <c r="E38" s="73">
        <f>IF(F38=0,0,F38/(C22*(1+Parámetros!E$9)*(1+Parámetros!F$9)))</f>
        <v>488.40462966888538</v>
      </c>
      <c r="F38" s="292">
        <f>(F30*(1+D$32))</f>
        <v>25920000</v>
      </c>
      <c r="G38" s="26"/>
      <c r="I38" s="81">
        <f>I30*(1+Parámetros!G$8)</f>
        <v>24510.823272727277</v>
      </c>
      <c r="J38" s="81">
        <f>IF(I38=0,0,I38*E38)</f>
        <v>11971199.563395863</v>
      </c>
      <c r="K38" s="25"/>
    </row>
    <row r="39" spans="1:11" s="20" customFormat="1" ht="19.5" thickBot="1" x14ac:dyDescent="0.35">
      <c r="A39" s="76"/>
      <c r="B39" s="77"/>
      <c r="C39" s="78"/>
      <c r="D39" s="78"/>
      <c r="E39" s="79"/>
      <c r="F39" s="80"/>
      <c r="G39" s="26"/>
      <c r="I39" s="33"/>
      <c r="J39" s="33"/>
      <c r="K39" s="25"/>
    </row>
    <row r="40" spans="1:11" s="20" customFormat="1" ht="19.5" thickBot="1" x14ac:dyDescent="0.35">
      <c r="A40" s="68" t="s">
        <v>218</v>
      </c>
      <c r="B40" s="77"/>
      <c r="C40" s="30">
        <f>G40/G32-1</f>
        <v>0.19999999999999996</v>
      </c>
      <c r="D40" s="78">
        <v>0.2</v>
      </c>
      <c r="E40" s="79"/>
      <c r="F40" s="75" t="s">
        <v>147</v>
      </c>
      <c r="G40" s="220">
        <f>SUM(F43:F46)</f>
        <v>147355200</v>
      </c>
      <c r="I40" s="68" t="s">
        <v>229</v>
      </c>
      <c r="J40" s="75" t="s">
        <v>163</v>
      </c>
      <c r="K40" s="32">
        <f>SUM(J43:J46)</f>
        <v>59983462.456437871</v>
      </c>
    </row>
    <row r="41" spans="1:11" s="20" customFormat="1" ht="18.75" x14ac:dyDescent="0.3">
      <c r="C41" s="21"/>
      <c r="D41" s="21"/>
      <c r="E41" s="22"/>
      <c r="F41" s="26"/>
      <c r="G41" s="26"/>
      <c r="I41" s="28"/>
      <c r="J41" s="28"/>
      <c r="K41" s="25"/>
    </row>
    <row r="42" spans="1:11" s="20" customFormat="1" ht="18.75" x14ac:dyDescent="0.3">
      <c r="A42" s="284" t="s">
        <v>144</v>
      </c>
      <c r="B42" s="284">
        <f>+B34+1</f>
        <v>2018</v>
      </c>
      <c r="C42" s="284" t="s">
        <v>214</v>
      </c>
      <c r="D42" s="284" t="s">
        <v>165</v>
      </c>
      <c r="E42" s="284" t="s">
        <v>215</v>
      </c>
      <c r="F42" s="284" t="s">
        <v>216</v>
      </c>
      <c r="I42" s="284" t="s">
        <v>162</v>
      </c>
      <c r="J42" s="284" t="s">
        <v>164</v>
      </c>
    </row>
    <row r="43" spans="1:11" s="20" customFormat="1" ht="18.75" x14ac:dyDescent="0.3">
      <c r="A43" s="71" t="s">
        <v>148</v>
      </c>
      <c r="B43" s="74" t="str">
        <f>+$G$8</f>
        <v>TIPO 1</v>
      </c>
      <c r="C43" s="72">
        <f>IF(F35=0,0,F43/F35-1)</f>
        <v>0.19999999999999996</v>
      </c>
      <c r="D43" s="72">
        <f>F43/G$40</f>
        <v>0.18469656992084432</v>
      </c>
      <c r="E43" s="73">
        <f>IF(F43=0,0,(F43/(C19*(1+Parámetros!$E$9)*(1+Parámetros!$F$9)*(1+Parámetros!G$9))))</f>
        <v>177.81721953964274</v>
      </c>
      <c r="F43" s="292">
        <f>F35*(1+D$40)</f>
        <v>27216000</v>
      </c>
      <c r="G43" s="26"/>
      <c r="I43" s="81">
        <f>I35*(1+Parámetros!H$8)</f>
        <v>74182.850356363648</v>
      </c>
      <c r="J43" s="81">
        <f>IF(I43=0,0,I43*E43)</f>
        <v>13190988.187893979</v>
      </c>
      <c r="K43" s="25"/>
    </row>
    <row r="44" spans="1:11" s="20" customFormat="1" ht="18.75" x14ac:dyDescent="0.3">
      <c r="A44" s="71" t="s">
        <v>150</v>
      </c>
      <c r="B44" s="74" t="str">
        <f>+$G$9</f>
        <v>TIPO 2</v>
      </c>
      <c r="C44" s="72">
        <f>IF(F36=0,0,F44/F36-1)</f>
        <v>0.19999999999999996</v>
      </c>
      <c r="D44" s="72">
        <f>F44/G$40</f>
        <v>0.30870712401055411</v>
      </c>
      <c r="E44" s="73">
        <f>IF(F44=0,0,(F44/(C20*(1+Parámetros!$E$9)*(1+Parámetros!$F$9)*(1+Parámetros!G$9))))</f>
        <v>320.07099517135691</v>
      </c>
      <c r="F44" s="292">
        <f>F36*(1+D$40)</f>
        <v>45489600</v>
      </c>
      <c r="G44" s="26"/>
      <c r="I44" s="81">
        <f>I36*(1+Parámetros!H$8)</f>
        <v>56221.879636363643</v>
      </c>
      <c r="J44" s="81">
        <f>IF(I44=0,0,I44*E44)</f>
        <v>17994992.965615157</v>
      </c>
      <c r="K44" s="25"/>
    </row>
    <row r="45" spans="1:11" s="20" customFormat="1" ht="18.75" x14ac:dyDescent="0.3">
      <c r="A45" s="71" t="s">
        <v>151</v>
      </c>
      <c r="B45" s="74" t="str">
        <f>+$G$10</f>
        <v>TIPO 3</v>
      </c>
      <c r="C45" s="72">
        <f>IF(F37=0,0,F45/F37-1)</f>
        <v>0.19999999999999996</v>
      </c>
      <c r="D45" s="72">
        <f>F45/G$40</f>
        <v>0.29551451187335093</v>
      </c>
      <c r="E45" s="73">
        <f>IF(F45=0,0,(F45/(C21*(1+Parámetros!$E$9)*(1+Parámetros!$F$9)*(1+Parámetros!G$9))))</f>
        <v>497.88821471099965</v>
      </c>
      <c r="F45" s="292">
        <f>F37*(1+D$40)</f>
        <v>43545600</v>
      </c>
      <c r="G45" s="26"/>
      <c r="I45" s="81">
        <f>I37*(1+Parámetros!H$8)</f>
        <v>28426.262836363643</v>
      </c>
      <c r="J45" s="81">
        <f>IF(I45=0,0,I45*E45)</f>
        <v>14153101.254502732</v>
      </c>
      <c r="K45" s="25"/>
    </row>
    <row r="46" spans="1:11" s="20" customFormat="1" ht="18.75" x14ac:dyDescent="0.3">
      <c r="A46" s="71" t="s">
        <v>152</v>
      </c>
      <c r="B46" s="74" t="str">
        <f>+$G$11</f>
        <v>TIPO 4</v>
      </c>
      <c r="C46" s="72">
        <f>IF(F38=0,0,F46/F38-1)</f>
        <v>0.19999999999999996</v>
      </c>
      <c r="D46" s="72">
        <f>F46/G$40</f>
        <v>0.21108179419525067</v>
      </c>
      <c r="E46" s="73">
        <f>IF(F46=0,0,(F46/(C22*(1+Parámetros!$E$9)*(1+Parámetros!$F$9)*(1+Parámetros!G$9))))</f>
        <v>569.01510252685671</v>
      </c>
      <c r="F46" s="292">
        <f>F38*(1+D$40)</f>
        <v>31104000</v>
      </c>
      <c r="G46" s="26"/>
      <c r="I46" s="81">
        <f>I38*(1+Parámetros!H$8)</f>
        <v>25736.364436363641</v>
      </c>
      <c r="J46" s="81">
        <f>IF(I46=0,0,I46*E46)</f>
        <v>14644380.048426006</v>
      </c>
      <c r="K46" s="25"/>
    </row>
    <row r="47" spans="1:11" s="20" customFormat="1" ht="19.5" thickBot="1" x14ac:dyDescent="0.35">
      <c r="A47" s="76"/>
      <c r="B47" s="77"/>
      <c r="C47" s="78"/>
      <c r="D47" s="78"/>
      <c r="E47" s="79"/>
      <c r="F47" s="80"/>
      <c r="G47" s="26"/>
      <c r="I47" s="33"/>
      <c r="J47" s="33"/>
      <c r="K47" s="25"/>
    </row>
    <row r="48" spans="1:11" s="20" customFormat="1" ht="19.5" thickBot="1" x14ac:dyDescent="0.35">
      <c r="A48" s="68" t="s">
        <v>219</v>
      </c>
      <c r="B48" s="77"/>
      <c r="C48" s="30">
        <f>G48/G40-1</f>
        <v>0.19999999999999996</v>
      </c>
      <c r="D48" s="78">
        <v>0.2</v>
      </c>
      <c r="E48" s="79"/>
      <c r="F48" s="75" t="s">
        <v>147</v>
      </c>
      <c r="G48" s="220">
        <f>SUM(F51:F54)</f>
        <v>176826240</v>
      </c>
      <c r="I48" s="68" t="s">
        <v>230</v>
      </c>
      <c r="J48" s="75" t="s">
        <v>163</v>
      </c>
      <c r="K48" s="32">
        <f>SUM(J51:J54)</f>
        <v>69218087.050979644</v>
      </c>
    </row>
    <row r="49" spans="1:11" s="20" customFormat="1" ht="18.75" x14ac:dyDescent="0.3">
      <c r="C49" s="21"/>
      <c r="D49" s="21"/>
      <c r="E49" s="22"/>
      <c r="F49" s="26"/>
      <c r="G49" s="26"/>
      <c r="I49" s="28"/>
      <c r="J49" s="28"/>
      <c r="K49" s="25"/>
    </row>
    <row r="50" spans="1:11" s="20" customFormat="1" ht="18.75" x14ac:dyDescent="0.3">
      <c r="A50" s="291" t="s">
        <v>144</v>
      </c>
      <c r="B50" s="291">
        <f>+B42+1</f>
        <v>2019</v>
      </c>
      <c r="C50" s="291" t="s">
        <v>214</v>
      </c>
      <c r="D50" s="291" t="s">
        <v>165</v>
      </c>
      <c r="E50" s="291" t="s">
        <v>215</v>
      </c>
      <c r="F50" s="291" t="s">
        <v>216</v>
      </c>
      <c r="I50" s="305" t="s">
        <v>162</v>
      </c>
      <c r="J50" s="305" t="s">
        <v>164</v>
      </c>
    </row>
    <row r="51" spans="1:11" s="20" customFormat="1" ht="18.75" x14ac:dyDescent="0.3">
      <c r="A51" s="71" t="s">
        <v>148</v>
      </c>
      <c r="B51" s="74" t="str">
        <f>+$G$8</f>
        <v>TIPO 1</v>
      </c>
      <c r="C51" s="72">
        <f>IF(F35=0,0,F51/F35-1)</f>
        <v>0.43999999999999995</v>
      </c>
      <c r="D51" s="72">
        <f>+F51/G$56</f>
        <v>0.14775725593667546</v>
      </c>
      <c r="E51" s="73">
        <f>IF(F51=0,0,F51/(C19*(1+Parámetros!$E$9)*(1+Parámetros!$F$9)*(1+Parámetros!G$9)*(1+Parámetros!H$9)))</f>
        <v>207.16569266754493</v>
      </c>
      <c r="F51" s="292">
        <f>F43*(1+D$48)</f>
        <v>32659200</v>
      </c>
      <c r="G51" s="26"/>
      <c r="I51" s="81">
        <f>I35*(1+Parámetros!I$8)</f>
        <v>73476.347019636378</v>
      </c>
      <c r="J51" s="81">
        <f>IF(I51=0,0,I51*E51)</f>
        <v>15221778.325003872</v>
      </c>
      <c r="K51" s="25"/>
    </row>
    <row r="52" spans="1:11" s="20" customFormat="1" ht="18.75" x14ac:dyDescent="0.3">
      <c r="A52" s="71" t="s">
        <v>150</v>
      </c>
      <c r="B52" s="74" t="str">
        <f>+$G$9</f>
        <v>TIPO 2</v>
      </c>
      <c r="C52" s="72">
        <f>IF(F36=0,0,F52/F36-1)</f>
        <v>0.43999999999999995</v>
      </c>
      <c r="D52" s="72">
        <f>+F52/G$56</f>
        <v>0.24696569920844327</v>
      </c>
      <c r="E52" s="73">
        <f>IF(F52=0,0,F52/(C20*(1+Parámetros!$E$9)*(1+Parámetros!$F$9)*(1+Parámetros!G$9)*(1+Parámetros!H$9)))</f>
        <v>372.89824680158085</v>
      </c>
      <c r="F52" s="292">
        <f>F44*(1+D$48)</f>
        <v>54587520</v>
      </c>
      <c r="G52" s="26"/>
      <c r="I52" s="81">
        <f>I36*(1+Parámetros!I$8)</f>
        <v>55686.433163636371</v>
      </c>
      <c r="J52" s="81">
        <f>IF(I52=0,0,I52*E52)</f>
        <v>20765373.297353413</v>
      </c>
      <c r="K52" s="25"/>
    </row>
    <row r="53" spans="1:11" s="20" customFormat="1" ht="18.75" x14ac:dyDescent="0.3">
      <c r="A53" s="71" t="s">
        <v>151</v>
      </c>
      <c r="B53" s="74" t="str">
        <f>+$G$10</f>
        <v>TIPO 3</v>
      </c>
      <c r="C53" s="72">
        <f>IF(F37=0,0,F53/F37-1)</f>
        <v>0.43999999999999995</v>
      </c>
      <c r="D53" s="72">
        <f>+F53/G$56</f>
        <v>0.23641160949868073</v>
      </c>
      <c r="E53" s="73">
        <f>IF(F53=0,0,F53/(C21*(1+Parámetros!$E$9)*(1+Parámetros!$F$9)*(1+Parámetros!G$9)*(1+Parámetros!H$9)))</f>
        <v>580.06393946912578</v>
      </c>
      <c r="F53" s="292">
        <f>F45*(1+D$48)</f>
        <v>52254720</v>
      </c>
      <c r="G53" s="26"/>
      <c r="I53" s="81">
        <f>I37*(1+Parámetros!I$8)</f>
        <v>28155.536523636369</v>
      </c>
      <c r="J53" s="81">
        <f>IF(I53=0,0,I53*E53)</f>
        <v>16332011.433767367</v>
      </c>
      <c r="K53" s="25"/>
    </row>
    <row r="54" spans="1:11" s="20" customFormat="1" ht="18.75" x14ac:dyDescent="0.3">
      <c r="A54" s="71" t="s">
        <v>152</v>
      </c>
      <c r="B54" s="74" t="str">
        <f>+$G$11</f>
        <v>TIPO 4</v>
      </c>
      <c r="C54" s="72">
        <f>IF(F38=0,0,F54/F38-1)</f>
        <v>0.43999999999999995</v>
      </c>
      <c r="D54" s="72">
        <f>+F54/G$56</f>
        <v>0.16886543535620052</v>
      </c>
      <c r="E54" s="73">
        <f>IF(F54=0,0,F54/(C22*(1+Parámetros!$E$9)*(1+Parámetros!$F$9)*(1+Parámetros!G$9)*(1+Parámetros!H$9)))</f>
        <v>662.9302165361438</v>
      </c>
      <c r="F54" s="292">
        <f>F46*(1+D$48)</f>
        <v>37324800</v>
      </c>
      <c r="G54" s="26"/>
      <c r="I54" s="81">
        <f>I38*(1+Parámetros!I$8)</f>
        <v>25491.256203636371</v>
      </c>
      <c r="J54" s="81">
        <f>IF(I54=0,0,I54*E54)</f>
        <v>16898923.994854979</v>
      </c>
      <c r="K54" s="25"/>
    </row>
    <row r="55" spans="1:11" s="20" customFormat="1" ht="19.5" thickBot="1" x14ac:dyDescent="0.35">
      <c r="A55" s="76"/>
      <c r="B55" s="77"/>
      <c r="C55" s="78"/>
      <c r="D55" s="78"/>
      <c r="E55" s="79"/>
      <c r="F55" s="80"/>
      <c r="G55" s="26"/>
      <c r="I55" s="33"/>
      <c r="J55" s="33"/>
      <c r="K55" s="25"/>
    </row>
    <row r="56" spans="1:11" s="20" customFormat="1" ht="19.5" thickBot="1" x14ac:dyDescent="0.35">
      <c r="A56" s="68" t="s">
        <v>220</v>
      </c>
      <c r="B56" s="77"/>
      <c r="C56" s="30">
        <f>G56/G48-1</f>
        <v>0.25</v>
      </c>
      <c r="D56" s="78">
        <v>0.25</v>
      </c>
      <c r="E56" s="79"/>
      <c r="F56" s="75" t="s">
        <v>147</v>
      </c>
      <c r="G56" s="220">
        <f>SUM(F59:F62)</f>
        <v>221032800</v>
      </c>
      <c r="I56" s="68" t="s">
        <v>231</v>
      </c>
      <c r="J56" s="75" t="s">
        <v>163</v>
      </c>
      <c r="K56" s="32">
        <f>SUM(J59:J62)</f>
        <v>88202659.470301703</v>
      </c>
    </row>
    <row r="57" spans="1:11" s="20" customFormat="1" ht="18.75" x14ac:dyDescent="0.3">
      <c r="C57" s="21"/>
      <c r="D57" s="21"/>
      <c r="E57" s="22"/>
      <c r="F57" s="26"/>
      <c r="G57" s="26"/>
      <c r="I57" s="28"/>
      <c r="J57" s="28"/>
      <c r="K57" s="25"/>
    </row>
    <row r="58" spans="1:11" s="20" customFormat="1" ht="18.75" x14ac:dyDescent="0.3">
      <c r="A58" s="291" t="s">
        <v>144</v>
      </c>
      <c r="B58" s="291">
        <f>+B50+1</f>
        <v>2020</v>
      </c>
      <c r="C58" s="291" t="s">
        <v>214</v>
      </c>
      <c r="D58" s="291" t="s">
        <v>165</v>
      </c>
      <c r="E58" s="291" t="s">
        <v>215</v>
      </c>
      <c r="F58" s="291" t="s">
        <v>216</v>
      </c>
      <c r="I58" s="284" t="s">
        <v>162</v>
      </c>
      <c r="J58" s="284" t="s">
        <v>164</v>
      </c>
    </row>
    <row r="59" spans="1:11" s="20" customFormat="1" ht="18.75" x14ac:dyDescent="0.3">
      <c r="A59" s="71" t="s">
        <v>148</v>
      </c>
      <c r="B59" s="74" t="str">
        <f>+$G$8</f>
        <v>TIPO 1</v>
      </c>
      <c r="C59" s="72">
        <f>IF(F43=0,0,F59/F43-1)</f>
        <v>0.5</v>
      </c>
      <c r="D59" s="72">
        <f>+F59/G$56</f>
        <v>0.18469656992084432</v>
      </c>
      <c r="E59" s="73">
        <f>IF(F59=0,0,F59/(C19*(1+Parámetros!$E$9)*(1+Parámetros!$F$9)*(1+Parámetros!G$9)*(1+Parámetros!H$9)*(1+Parámetros!I$9)))</f>
        <v>251.41467556740889</v>
      </c>
      <c r="F59" s="292">
        <f>F51*(1+D$56)</f>
        <v>40824000</v>
      </c>
      <c r="G59" s="26"/>
      <c r="I59" s="81">
        <f>I43*(1+Parámetros!I$8)</f>
        <v>77150.164370618193</v>
      </c>
      <c r="J59" s="81">
        <f>IF(I59=0,0,I59*E59)</f>
        <v>19396683.545211241</v>
      </c>
      <c r="K59" s="25"/>
    </row>
    <row r="60" spans="1:11" s="20" customFormat="1" ht="18.75" x14ac:dyDescent="0.3">
      <c r="A60" s="71" t="s">
        <v>150</v>
      </c>
      <c r="B60" s="74" t="str">
        <f>+$G$9</f>
        <v>TIPO 2</v>
      </c>
      <c r="C60" s="72">
        <f>IF(F44=0,0,F60/F44-1)</f>
        <v>0.5</v>
      </c>
      <c r="D60" s="72">
        <f>+F60/G$56</f>
        <v>0.30870712401055411</v>
      </c>
      <c r="E60" s="73">
        <f>IF(F60=0,0,F60/(C20*(1+Parámetros!$E$9)*(1+Parámetros!$F$9)*(1+Parámetros!G$9)*(1+Parámetros!H$9)*(1+Parámetros!I$9)))</f>
        <v>452.54641602133597</v>
      </c>
      <c r="F60" s="292">
        <f>F52*(1+D$56)</f>
        <v>68234400</v>
      </c>
      <c r="G60" s="26"/>
      <c r="I60" s="81">
        <f>I44*(1+Parámetros!I$8)</f>
        <v>58470.754821818191</v>
      </c>
      <c r="J60" s="81">
        <f>IF(I60=0,0,I60*E60)</f>
        <v>26460730.536676072</v>
      </c>
      <c r="K60" s="25"/>
    </row>
    <row r="61" spans="1:11" s="20" customFormat="1" ht="18.75" x14ac:dyDescent="0.3">
      <c r="A61" s="71" t="s">
        <v>151</v>
      </c>
      <c r="B61" s="74" t="str">
        <f>+$G$10</f>
        <v>TIPO 3</v>
      </c>
      <c r="C61" s="72">
        <f>IF(F45=0,0,F61/F45-1)</f>
        <v>0.5</v>
      </c>
      <c r="D61" s="72">
        <f>+F61/G$56</f>
        <v>0.29551451187335093</v>
      </c>
      <c r="E61" s="73">
        <f>IF(F61=0,0,F61/(C21*(1+Parámetros!$E$9)*(1+Parámetros!$F$9)*(1+Parámetros!G$9)*(1+Parámetros!H$9)*(1+Parámetros!I$9)))</f>
        <v>703.96109158874481</v>
      </c>
      <c r="F61" s="292">
        <f>F53*(1+D$56)</f>
        <v>65318400</v>
      </c>
      <c r="G61" s="26"/>
      <c r="I61" s="81">
        <f>I45*(1+Parámetros!I$8)</f>
        <v>29563.313349818189</v>
      </c>
      <c r="J61" s="81">
        <f>IF(I61=0,0,I61*E61)</f>
        <v>20811422.336718123</v>
      </c>
      <c r="K61" s="25"/>
    </row>
    <row r="62" spans="1:11" s="20" customFormat="1" ht="18.75" x14ac:dyDescent="0.3">
      <c r="A62" s="71" t="s">
        <v>152</v>
      </c>
      <c r="B62" s="74" t="str">
        <f>+$G$11</f>
        <v>TIPO 4</v>
      </c>
      <c r="C62" s="72">
        <f>IF(F46=0,0,F62/F46-1)</f>
        <v>0.5</v>
      </c>
      <c r="D62" s="72">
        <f>+F62/G$56</f>
        <v>0.21108179419525067</v>
      </c>
      <c r="E62" s="73">
        <f>IF(F62=0,0,F62/(C22*(1+Parámetros!$E$9)*(1+Parámetros!$F$9)*(1+Parámetros!G$9)*(1+Parámetros!H$9)*(1+Parámetros!I$9)))</f>
        <v>804.52696181570843</v>
      </c>
      <c r="F62" s="292">
        <f>F54*(1+D$56)</f>
        <v>46656000</v>
      </c>
      <c r="G62" s="26"/>
      <c r="I62" s="81">
        <f>I46*(1+Parámetros!I$8)</f>
        <v>26765.819013818189</v>
      </c>
      <c r="J62" s="81">
        <f>IF(I62=0,0,I62*E62)</f>
        <v>21533823.051696271</v>
      </c>
      <c r="K62" s="25"/>
    </row>
    <row r="63" spans="1:11" s="20" customFormat="1" ht="18.75" x14ac:dyDescent="0.3">
      <c r="A63" s="76"/>
      <c r="B63" s="77"/>
      <c r="C63" s="78"/>
      <c r="D63" s="78"/>
      <c r="E63" s="79"/>
      <c r="F63" s="80"/>
      <c r="G63" s="26"/>
      <c r="I63" s="33"/>
      <c r="J63" s="33"/>
      <c r="K63" s="25"/>
    </row>
    <row r="64" spans="1:11" s="20" customFormat="1" ht="18.75" x14ac:dyDescent="0.3">
      <c r="A64" s="68" t="s">
        <v>265</v>
      </c>
      <c r="B64" s="84"/>
      <c r="C64" s="21"/>
      <c r="D64" s="21"/>
      <c r="E64" s="22"/>
      <c r="F64" s="34"/>
      <c r="G64" s="24"/>
      <c r="I64" s="33"/>
      <c r="J64" s="33"/>
      <c r="K64" s="25"/>
    </row>
    <row r="65" spans="1:11" s="20" customFormat="1" x14ac:dyDescent="0.3">
      <c r="A65" s="85"/>
      <c r="B65" s="85"/>
      <c r="C65" s="21"/>
      <c r="D65" s="21"/>
      <c r="E65" s="22"/>
      <c r="F65" s="36"/>
      <c r="G65" s="24"/>
      <c r="I65" s="28"/>
      <c r="J65" s="28"/>
      <c r="K65" s="25"/>
    </row>
    <row r="66" spans="1:11" s="20" customFormat="1" ht="18.75" x14ac:dyDescent="0.3">
      <c r="A66" s="284" t="s">
        <v>155</v>
      </c>
      <c r="B66" s="284" t="s">
        <v>222</v>
      </c>
      <c r="C66" s="349" t="s">
        <v>156</v>
      </c>
      <c r="D66" s="349"/>
      <c r="E66" s="349"/>
      <c r="F66" s="284" t="s">
        <v>223</v>
      </c>
      <c r="G66" s="24"/>
      <c r="I66" s="25"/>
      <c r="J66" s="25"/>
      <c r="K66" s="25"/>
    </row>
    <row r="67" spans="1:11" s="20" customFormat="1" ht="18.75" x14ac:dyDescent="0.3">
      <c r="A67" s="71" t="s">
        <v>160</v>
      </c>
      <c r="B67" s="86">
        <f>G5</f>
        <v>2016</v>
      </c>
      <c r="C67" s="356">
        <f>F67*30</f>
        <v>0</v>
      </c>
      <c r="D67" s="356"/>
      <c r="E67" s="356"/>
      <c r="F67" s="294">
        <v>0</v>
      </c>
      <c r="G67" s="24"/>
      <c r="I67" s="25"/>
      <c r="J67" s="25"/>
      <c r="K67" s="25"/>
    </row>
    <row r="68" spans="1:11" s="20" customFormat="1" ht="18.75" x14ac:dyDescent="0.3">
      <c r="A68" s="71" t="s">
        <v>160</v>
      </c>
      <c r="B68" s="86">
        <f>B67+1</f>
        <v>2017</v>
      </c>
      <c r="C68" s="356">
        <f>F68*30</f>
        <v>0</v>
      </c>
      <c r="D68" s="356"/>
      <c r="E68" s="356"/>
      <c r="F68" s="294">
        <v>0</v>
      </c>
      <c r="G68" s="24"/>
    </row>
    <row r="69" spans="1:11" s="20" customFormat="1" ht="18.75" x14ac:dyDescent="0.3">
      <c r="A69" s="71" t="s">
        <v>160</v>
      </c>
      <c r="B69" s="86">
        <f>B68+1</f>
        <v>2018</v>
      </c>
      <c r="C69" s="356">
        <f>F69*30</f>
        <v>0</v>
      </c>
      <c r="D69" s="356"/>
      <c r="E69" s="356"/>
      <c r="F69" s="294">
        <v>0</v>
      </c>
      <c r="G69" s="24"/>
    </row>
    <row r="70" spans="1:11" s="20" customFormat="1" ht="18.75" x14ac:dyDescent="0.3">
      <c r="A70" s="71" t="s">
        <v>160</v>
      </c>
      <c r="B70" s="86">
        <f>B69+1</f>
        <v>2019</v>
      </c>
      <c r="C70" s="356">
        <f>F70*30</f>
        <v>0</v>
      </c>
      <c r="D70" s="356"/>
      <c r="E70" s="356"/>
      <c r="F70" s="294">
        <v>0</v>
      </c>
      <c r="G70" s="24"/>
    </row>
    <row r="71" spans="1:11" s="20" customFormat="1" ht="18.75" x14ac:dyDescent="0.3">
      <c r="A71" s="71" t="s">
        <v>160</v>
      </c>
      <c r="B71" s="86">
        <f>B70+1</f>
        <v>2020</v>
      </c>
      <c r="C71" s="356">
        <f>F71*30</f>
        <v>0</v>
      </c>
      <c r="D71" s="356"/>
      <c r="E71" s="356"/>
      <c r="F71" s="294">
        <v>0</v>
      </c>
      <c r="G71" s="24"/>
    </row>
    <row r="72" spans="1:11" s="20" customFormat="1" ht="18.75" x14ac:dyDescent="0.3">
      <c r="C72" s="21"/>
      <c r="D72" s="21"/>
      <c r="E72" s="22"/>
      <c r="F72" s="37"/>
      <c r="G72" s="24"/>
    </row>
    <row r="73" spans="1:11" s="20" customFormat="1" ht="18.75" x14ac:dyDescent="0.3">
      <c r="A73" s="284" t="s">
        <v>157</v>
      </c>
      <c r="B73" s="284" t="s">
        <v>222</v>
      </c>
      <c r="C73" s="349" t="s">
        <v>156</v>
      </c>
      <c r="D73" s="349"/>
      <c r="E73" s="349"/>
      <c r="F73" s="284" t="s">
        <v>223</v>
      </c>
      <c r="G73" s="24"/>
    </row>
    <row r="74" spans="1:11" s="20" customFormat="1" ht="18.75" x14ac:dyDescent="0.3">
      <c r="A74" s="71" t="s">
        <v>159</v>
      </c>
      <c r="B74" s="86">
        <f>B67</f>
        <v>2016</v>
      </c>
      <c r="C74" s="353">
        <f>F74*30</f>
        <v>0</v>
      </c>
      <c r="D74" s="354"/>
      <c r="E74" s="355"/>
      <c r="F74" s="294">
        <v>0</v>
      </c>
      <c r="G74" s="24"/>
    </row>
    <row r="75" spans="1:11" s="20" customFormat="1" ht="18.75" x14ac:dyDescent="0.3">
      <c r="A75" s="71" t="s">
        <v>159</v>
      </c>
      <c r="B75" s="86">
        <f>B74+1</f>
        <v>2017</v>
      </c>
      <c r="C75" s="353">
        <f>F75*30</f>
        <v>0</v>
      </c>
      <c r="D75" s="354"/>
      <c r="E75" s="355"/>
      <c r="F75" s="294">
        <v>0</v>
      </c>
      <c r="G75" s="24"/>
    </row>
    <row r="76" spans="1:11" s="20" customFormat="1" ht="18.75" x14ac:dyDescent="0.3">
      <c r="A76" s="71" t="s">
        <v>159</v>
      </c>
      <c r="B76" s="86">
        <f>B75+1</f>
        <v>2018</v>
      </c>
      <c r="C76" s="353">
        <f>F76*30</f>
        <v>15</v>
      </c>
      <c r="D76" s="354"/>
      <c r="E76" s="355"/>
      <c r="F76" s="294">
        <v>0.5</v>
      </c>
      <c r="G76" s="24"/>
    </row>
    <row r="77" spans="1:11" s="20" customFormat="1" ht="18.75" x14ac:dyDescent="0.3">
      <c r="A77" s="71" t="s">
        <v>159</v>
      </c>
      <c r="B77" s="86">
        <f>B76+1</f>
        <v>2019</v>
      </c>
      <c r="C77" s="353">
        <f>F77*30</f>
        <v>15</v>
      </c>
      <c r="D77" s="354"/>
      <c r="E77" s="355"/>
      <c r="F77" s="294">
        <v>0.5</v>
      </c>
      <c r="G77" s="24"/>
    </row>
    <row r="78" spans="1:11" s="20" customFormat="1" ht="18.75" x14ac:dyDescent="0.3">
      <c r="A78" s="71" t="s">
        <v>159</v>
      </c>
      <c r="B78" s="86">
        <f>B77+1</f>
        <v>2020</v>
      </c>
      <c r="C78" s="353">
        <f>F78*30</f>
        <v>30</v>
      </c>
      <c r="D78" s="354"/>
      <c r="E78" s="355"/>
      <c r="F78" s="294">
        <v>1</v>
      </c>
      <c r="G78" s="24"/>
    </row>
    <row r="79" spans="1:11" s="20" customFormat="1" ht="18.75" x14ac:dyDescent="0.3">
      <c r="C79" s="21"/>
      <c r="D79" s="21"/>
      <c r="E79" s="22"/>
      <c r="F79" s="37"/>
      <c r="G79" s="24"/>
    </row>
    <row r="80" spans="1:11" s="20" customFormat="1" ht="18.75" x14ac:dyDescent="0.3">
      <c r="A80" s="284" t="s">
        <v>158</v>
      </c>
      <c r="B80" s="284" t="s">
        <v>222</v>
      </c>
      <c r="C80" s="349" t="s">
        <v>156</v>
      </c>
      <c r="D80" s="349"/>
      <c r="E80" s="349"/>
      <c r="F80" s="284" t="s">
        <v>223</v>
      </c>
      <c r="G80" s="24"/>
    </row>
    <row r="81" spans="1:7" s="20" customFormat="1" ht="18.75" x14ac:dyDescent="0.3">
      <c r="A81" s="71" t="s">
        <v>176</v>
      </c>
      <c r="B81" s="86">
        <f>B74</f>
        <v>2016</v>
      </c>
      <c r="C81" s="353">
        <f>F81*30</f>
        <v>30</v>
      </c>
      <c r="D81" s="354"/>
      <c r="E81" s="355"/>
      <c r="F81" s="294">
        <v>1</v>
      </c>
      <c r="G81" s="24"/>
    </row>
    <row r="82" spans="1:7" s="20" customFormat="1" ht="18.75" x14ac:dyDescent="0.3">
      <c r="A82" s="71" t="s">
        <v>176</v>
      </c>
      <c r="B82" s="86">
        <f>B81+1</f>
        <v>2017</v>
      </c>
      <c r="C82" s="353">
        <f>F82*30</f>
        <v>30</v>
      </c>
      <c r="D82" s="354"/>
      <c r="E82" s="355"/>
      <c r="F82" s="294">
        <v>1</v>
      </c>
      <c r="G82" s="24"/>
    </row>
    <row r="83" spans="1:7" s="20" customFormat="1" ht="18.75" x14ac:dyDescent="0.3">
      <c r="A83" s="71" t="s">
        <v>176</v>
      </c>
      <c r="B83" s="86">
        <f>B82+1</f>
        <v>2018</v>
      </c>
      <c r="C83" s="353">
        <f>F83*30</f>
        <v>30</v>
      </c>
      <c r="D83" s="354"/>
      <c r="E83" s="355"/>
      <c r="F83" s="294">
        <v>1</v>
      </c>
      <c r="G83" s="24"/>
    </row>
    <row r="84" spans="1:7" s="20" customFormat="1" ht="18.75" x14ac:dyDescent="0.3">
      <c r="A84" s="71" t="s">
        <v>176</v>
      </c>
      <c r="B84" s="86">
        <f>B83+1</f>
        <v>2019</v>
      </c>
      <c r="C84" s="353">
        <f>F84*30</f>
        <v>30</v>
      </c>
      <c r="D84" s="354"/>
      <c r="E84" s="355"/>
      <c r="F84" s="294">
        <v>1</v>
      </c>
      <c r="G84" s="24"/>
    </row>
    <row r="85" spans="1:7" s="20" customFormat="1" ht="18.75" x14ac:dyDescent="0.3">
      <c r="A85" s="71" t="s">
        <v>176</v>
      </c>
      <c r="B85" s="86">
        <f>B84+1</f>
        <v>2020</v>
      </c>
      <c r="C85" s="353">
        <f>F85*30</f>
        <v>30</v>
      </c>
      <c r="D85" s="354"/>
      <c r="E85" s="355"/>
      <c r="F85" s="294">
        <v>1</v>
      </c>
      <c r="G85" s="24"/>
    </row>
    <row r="86" spans="1:7" s="20" customFormat="1" ht="18.75" x14ac:dyDescent="0.3">
      <c r="A86" s="76"/>
      <c r="B86" s="87"/>
      <c r="C86" s="88"/>
      <c r="D86" s="88"/>
      <c r="E86" s="88"/>
      <c r="F86" s="89"/>
      <c r="G86" s="24"/>
    </row>
    <row r="87" spans="1:7" s="20" customFormat="1" ht="18.75" x14ac:dyDescent="0.3">
      <c r="A87" s="68" t="s">
        <v>266</v>
      </c>
      <c r="C87" s="21"/>
      <c r="D87" s="21"/>
      <c r="E87" s="22"/>
      <c r="F87" s="35"/>
      <c r="G87" s="23"/>
    </row>
    <row r="88" spans="1:7" s="20" customFormat="1" ht="18.75" x14ac:dyDescent="0.3">
      <c r="C88" s="21"/>
      <c r="D88" s="21"/>
      <c r="E88" s="22"/>
      <c r="F88" s="41"/>
      <c r="G88" s="23"/>
    </row>
    <row r="89" spans="1:7" s="20" customFormat="1" ht="18.75" x14ac:dyDescent="0.3">
      <c r="A89" s="75" t="s">
        <v>234</v>
      </c>
      <c r="B89" s="297">
        <v>0</v>
      </c>
      <c r="C89" s="21"/>
      <c r="D89" s="21"/>
      <c r="E89" s="22"/>
      <c r="F89" s="23"/>
      <c r="G89" s="23"/>
    </row>
    <row r="90" spans="1:7" s="20" customFormat="1" ht="18.75" x14ac:dyDescent="0.3">
      <c r="A90" s="75" t="s">
        <v>175</v>
      </c>
      <c r="B90" s="297">
        <v>0</v>
      </c>
      <c r="C90" s="21"/>
      <c r="D90" s="21"/>
      <c r="E90" s="22"/>
      <c r="F90" s="23"/>
      <c r="G90" s="23"/>
    </row>
    <row r="91" spans="1:7" s="20" customFormat="1" ht="18.75" x14ac:dyDescent="0.3">
      <c r="A91" s="75" t="s">
        <v>237</v>
      </c>
      <c r="B91" s="297">
        <v>0</v>
      </c>
      <c r="C91" s="21"/>
      <c r="D91" s="21"/>
      <c r="E91" s="22"/>
      <c r="F91" s="23"/>
      <c r="G91" s="23"/>
    </row>
    <row r="92" spans="1:7" s="20" customFormat="1" ht="18.75" x14ac:dyDescent="0.3">
      <c r="A92" s="75" t="s">
        <v>203</v>
      </c>
      <c r="B92" s="223">
        <f>('Inversion Inicial'!B2+'Inversion Inicial'!B3+'Inversion Inicial'!B4+'Inversion Inicial'!B5)/1000</f>
        <v>4991.6930000000002</v>
      </c>
      <c r="C92" s="21"/>
      <c r="D92" s="21"/>
      <c r="E92" s="22"/>
      <c r="G92" s="23"/>
    </row>
    <row r="93" spans="1:7" s="20" customFormat="1" ht="21" x14ac:dyDescent="0.35">
      <c r="B93" s="42"/>
      <c r="C93" s="373"/>
      <c r="D93" s="373"/>
      <c r="E93" s="373"/>
      <c r="F93" s="16"/>
    </row>
    <row r="94" spans="1:7" s="20" customFormat="1" ht="18.75" x14ac:dyDescent="0.3">
      <c r="A94" s="284" t="s">
        <v>174</v>
      </c>
      <c r="B94" s="284" t="s">
        <v>235</v>
      </c>
      <c r="C94" s="374">
        <f>SUM(B95:B100)</f>
        <v>54249.840776960002</v>
      </c>
      <c r="D94" s="375"/>
      <c r="E94" s="375"/>
    </row>
    <row r="95" spans="1:7" s="20" customFormat="1" ht="18.75" x14ac:dyDescent="0.3">
      <c r="A95" s="71" t="s">
        <v>168</v>
      </c>
      <c r="B95" s="295">
        <f>'C. fijos'!B4/1000*12</f>
        <v>36349.840776960002</v>
      </c>
      <c r="C95" s="377" t="s">
        <v>268</v>
      </c>
      <c r="D95" s="378"/>
      <c r="E95" s="291" t="s">
        <v>128</v>
      </c>
      <c r="F95" s="291" t="s">
        <v>246</v>
      </c>
    </row>
    <row r="96" spans="1:7" s="20" customFormat="1" ht="18.75" x14ac:dyDescent="0.3">
      <c r="A96" s="71" t="s">
        <v>169</v>
      </c>
      <c r="B96" s="295">
        <f>1000*12</f>
        <v>12000</v>
      </c>
      <c r="C96" s="379">
        <f>B81</f>
        <v>2016</v>
      </c>
      <c r="D96" s="379"/>
      <c r="E96" s="71"/>
      <c r="F96" s="91">
        <f>C94</f>
        <v>54249.840776960002</v>
      </c>
    </row>
    <row r="97" spans="1:8" s="20" customFormat="1" ht="18.75" x14ac:dyDescent="0.3">
      <c r="A97" s="71" t="s">
        <v>170</v>
      </c>
      <c r="B97" s="295">
        <v>1200</v>
      </c>
      <c r="C97" s="379">
        <f>B82</f>
        <v>2017</v>
      </c>
      <c r="D97" s="379"/>
      <c r="E97" s="296">
        <v>0.05</v>
      </c>
      <c r="F97" s="91">
        <f>C$94*(1+E97)</f>
        <v>56962.332815808004</v>
      </c>
    </row>
    <row r="98" spans="1:8" s="20" customFormat="1" ht="18.75" x14ac:dyDescent="0.3">
      <c r="A98" s="71" t="s">
        <v>166</v>
      </c>
      <c r="B98" s="295">
        <v>500</v>
      </c>
      <c r="C98" s="379">
        <f>B83</f>
        <v>2018</v>
      </c>
      <c r="D98" s="379"/>
      <c r="E98" s="296">
        <v>7.0000000000000007E-2</v>
      </c>
      <c r="F98" s="91">
        <f>F$97*(1+E98)</f>
        <v>60949.696112914571</v>
      </c>
    </row>
    <row r="99" spans="1:8" s="20" customFormat="1" ht="18.75" x14ac:dyDescent="0.3">
      <c r="A99" s="71" t="s">
        <v>167</v>
      </c>
      <c r="B99" s="295">
        <f>'C. fijos'!B5/1000*12</f>
        <v>3000</v>
      </c>
      <c r="C99" s="379">
        <f>B84</f>
        <v>2019</v>
      </c>
      <c r="D99" s="379"/>
      <c r="E99" s="296">
        <v>0.1</v>
      </c>
      <c r="F99" s="91">
        <f>F$98*(1+E99)</f>
        <v>67044.665724206032</v>
      </c>
    </row>
    <row r="100" spans="1:8" s="20" customFormat="1" ht="18.75" x14ac:dyDescent="0.3">
      <c r="A100" s="71" t="s">
        <v>185</v>
      </c>
      <c r="B100" s="295">
        <f>100*12</f>
        <v>1200</v>
      </c>
      <c r="C100" s="379">
        <f>B85</f>
        <v>2020</v>
      </c>
      <c r="D100" s="379"/>
      <c r="E100" s="296">
        <v>0.12</v>
      </c>
      <c r="F100" s="91">
        <f>F$99*(1+E100)</f>
        <v>75090.025611110759</v>
      </c>
    </row>
    <row r="101" spans="1:8" s="20" customFormat="1" ht="18.75" x14ac:dyDescent="0.3">
      <c r="C101" s="376"/>
      <c r="D101" s="376"/>
      <c r="E101" s="376"/>
      <c r="F101" s="45"/>
      <c r="G101" s="44"/>
      <c r="H101" s="23"/>
    </row>
    <row r="102" spans="1:8" s="20" customFormat="1" ht="21" x14ac:dyDescent="0.35">
      <c r="A102" s="284" t="s">
        <v>236</v>
      </c>
      <c r="B102" s="284" t="s">
        <v>128</v>
      </c>
      <c r="C102" s="82">
        <f>SUM(B103:B105)</f>
        <v>6.0000000000000005E-2</v>
      </c>
      <c r="D102" s="44"/>
      <c r="E102" s="44"/>
      <c r="F102" s="45"/>
      <c r="G102" s="46"/>
      <c r="H102" s="23"/>
    </row>
    <row r="103" spans="1:8" s="20" customFormat="1" ht="18.75" x14ac:dyDescent="0.3">
      <c r="A103" s="71" t="s">
        <v>171</v>
      </c>
      <c r="B103" s="297">
        <v>0.01</v>
      </c>
      <c r="C103" s="376"/>
      <c r="D103" s="376"/>
      <c r="E103" s="376"/>
      <c r="F103" s="45"/>
      <c r="G103" s="44"/>
      <c r="H103" s="23"/>
    </row>
    <row r="104" spans="1:8" s="20" customFormat="1" ht="18.75" x14ac:dyDescent="0.3">
      <c r="A104" s="71" t="s">
        <v>172</v>
      </c>
      <c r="B104" s="297">
        <v>0</v>
      </c>
      <c r="C104" s="376"/>
      <c r="D104" s="376"/>
      <c r="E104" s="376"/>
      <c r="F104" s="45"/>
      <c r="G104" s="44"/>
      <c r="H104" s="23"/>
    </row>
    <row r="105" spans="1:8" s="20" customFormat="1" ht="18.75" x14ac:dyDescent="0.3">
      <c r="A105" s="71" t="s">
        <v>173</v>
      </c>
      <c r="B105" s="297">
        <v>0.05</v>
      </c>
      <c r="C105" s="376"/>
      <c r="D105" s="376"/>
      <c r="E105" s="376"/>
      <c r="F105" s="45"/>
      <c r="G105" s="44"/>
      <c r="H105" s="23"/>
    </row>
    <row r="106" spans="1:8" s="20" customFormat="1" ht="18.75" x14ac:dyDescent="0.3">
      <c r="A106" s="76"/>
      <c r="B106" s="221"/>
      <c r="C106" s="219"/>
      <c r="D106" s="219"/>
      <c r="E106" s="219"/>
      <c r="F106" s="219"/>
      <c r="G106" s="44"/>
      <c r="H106" s="23"/>
    </row>
    <row r="107" spans="1:8" ht="18.75" x14ac:dyDescent="0.3">
      <c r="A107" s="284" t="s">
        <v>238</v>
      </c>
      <c r="B107" s="284" t="s">
        <v>239</v>
      </c>
      <c r="C107" s="381">
        <f>SUM(B108:B114)</f>
        <v>7000</v>
      </c>
      <c r="D107" s="381"/>
      <c r="E107" s="381"/>
      <c r="F107" s="51"/>
      <c r="G107" s="51"/>
    </row>
    <row r="108" spans="1:8" ht="18.75" x14ac:dyDescent="0.3">
      <c r="A108" s="71" t="s">
        <v>209</v>
      </c>
      <c r="B108" s="299">
        <v>1800</v>
      </c>
      <c r="C108" s="53"/>
      <c r="D108" s="55"/>
      <c r="E108" s="50"/>
      <c r="F108" s="54"/>
      <c r="G108" s="51"/>
    </row>
    <row r="109" spans="1:8" ht="18.75" x14ac:dyDescent="0.3">
      <c r="A109" s="71" t="s">
        <v>193</v>
      </c>
      <c r="B109" s="299">
        <v>1200</v>
      </c>
      <c r="C109" s="53"/>
      <c r="D109" s="49"/>
      <c r="E109" s="50"/>
      <c r="F109" s="380"/>
      <c r="G109" s="380"/>
    </row>
    <row r="110" spans="1:8" ht="18.75" x14ac:dyDescent="0.3">
      <c r="A110" s="71" t="s">
        <v>198</v>
      </c>
      <c r="B110" s="299">
        <v>0</v>
      </c>
      <c r="C110" s="53"/>
      <c r="D110" s="49"/>
      <c r="E110" s="50"/>
      <c r="F110" s="54"/>
      <c r="G110" s="51"/>
    </row>
    <row r="111" spans="1:8" ht="18.75" x14ac:dyDescent="0.3">
      <c r="A111" s="71" t="s">
        <v>197</v>
      </c>
      <c r="B111" s="299">
        <v>2000</v>
      </c>
      <c r="C111" s="53"/>
      <c r="D111" s="49"/>
      <c r="E111" s="50"/>
      <c r="F111" s="54"/>
      <c r="G111" s="51"/>
    </row>
    <row r="112" spans="1:8" ht="18.75" x14ac:dyDescent="0.3">
      <c r="A112" s="71" t="s">
        <v>199</v>
      </c>
      <c r="B112" s="299">
        <v>1000</v>
      </c>
      <c r="C112" s="53"/>
      <c r="D112" s="49"/>
      <c r="E112" s="50"/>
      <c r="F112" s="54"/>
      <c r="G112" s="51"/>
    </row>
    <row r="113" spans="1:7" ht="18.75" x14ac:dyDescent="0.3">
      <c r="A113" s="71" t="s">
        <v>194</v>
      </c>
      <c r="B113" s="299">
        <v>1000</v>
      </c>
      <c r="C113" s="53"/>
      <c r="D113" s="49"/>
      <c r="E113" s="50"/>
      <c r="F113" s="54"/>
      <c r="G113" s="51"/>
    </row>
    <row r="114" spans="1:7" ht="18.75" x14ac:dyDescent="0.3">
      <c r="A114" s="71" t="s">
        <v>200</v>
      </c>
      <c r="B114" s="299">
        <v>0</v>
      </c>
      <c r="C114" s="53"/>
      <c r="D114" s="55"/>
      <c r="E114" s="50"/>
      <c r="F114" s="56"/>
      <c r="G114" s="51"/>
    </row>
    <row r="115" spans="1:7" ht="18.75" x14ac:dyDescent="0.3">
      <c r="A115" s="20"/>
      <c r="B115" s="52"/>
      <c r="C115" s="53"/>
      <c r="D115" s="49"/>
      <c r="E115" s="50"/>
      <c r="F115" s="54"/>
      <c r="G115" s="51"/>
    </row>
    <row r="116" spans="1:7" ht="18.75" x14ac:dyDescent="0.3">
      <c r="A116" s="284" t="s">
        <v>240</v>
      </c>
      <c r="B116" s="284" t="s">
        <v>239</v>
      </c>
      <c r="C116" s="382">
        <f>SUM(B117:B119)</f>
        <v>1000</v>
      </c>
      <c r="D116" s="381"/>
      <c r="E116" s="381"/>
      <c r="F116" s="57"/>
      <c r="G116" s="17"/>
    </row>
    <row r="117" spans="1:7" ht="18.75" x14ac:dyDescent="0.3">
      <c r="A117" s="71" t="s">
        <v>210</v>
      </c>
      <c r="B117" s="299">
        <v>1000</v>
      </c>
      <c r="C117" s="58"/>
      <c r="D117" s="18"/>
      <c r="E117" s="20"/>
      <c r="F117" s="57"/>
      <c r="G117" s="17"/>
    </row>
    <row r="118" spans="1:7" ht="18.75" x14ac:dyDescent="0.3">
      <c r="A118" s="71" t="s">
        <v>195</v>
      </c>
      <c r="B118" s="299">
        <v>0</v>
      </c>
      <c r="C118" s="58"/>
      <c r="D118" s="18"/>
      <c r="E118" s="20"/>
      <c r="F118" s="17"/>
      <c r="G118" s="17"/>
    </row>
    <row r="119" spans="1:7" ht="18.75" x14ac:dyDescent="0.3">
      <c r="A119" s="71" t="s">
        <v>201</v>
      </c>
      <c r="B119" s="299">
        <v>0</v>
      </c>
      <c r="C119" s="58"/>
      <c r="D119" s="18"/>
      <c r="E119" s="20"/>
      <c r="F119" s="17"/>
      <c r="G119" s="17"/>
    </row>
    <row r="120" spans="1:7" ht="18.75" x14ac:dyDescent="0.3">
      <c r="A120" s="76"/>
      <c r="B120" s="222"/>
      <c r="C120" s="58"/>
      <c r="D120" s="18"/>
      <c r="E120" s="20"/>
      <c r="F120" s="17"/>
      <c r="G120" s="17"/>
    </row>
    <row r="121" spans="1:7" ht="18.75" x14ac:dyDescent="0.3">
      <c r="A121" s="284" t="s">
        <v>241</v>
      </c>
      <c r="B121" s="284" t="s">
        <v>239</v>
      </c>
      <c r="C121" s="382">
        <f>SUM(B122:B125)</f>
        <v>700</v>
      </c>
      <c r="D121" s="381"/>
      <c r="E121" s="381"/>
      <c r="F121" s="17"/>
      <c r="G121" s="17"/>
    </row>
    <row r="122" spans="1:7" ht="18.75" x14ac:dyDescent="0.3">
      <c r="A122" s="71" t="s">
        <v>196</v>
      </c>
      <c r="B122" s="299">
        <v>200</v>
      </c>
      <c r="C122" s="58"/>
      <c r="D122" s="18"/>
      <c r="E122" s="20"/>
      <c r="F122" s="17"/>
      <c r="G122" s="17"/>
    </row>
    <row r="123" spans="1:7" ht="18.75" x14ac:dyDescent="0.3">
      <c r="A123" s="71" t="s">
        <v>205</v>
      </c>
      <c r="B123" s="299">
        <v>500</v>
      </c>
      <c r="C123" s="58"/>
      <c r="D123" s="18"/>
      <c r="E123" s="20"/>
      <c r="F123" s="17"/>
      <c r="G123" s="17"/>
    </row>
    <row r="124" spans="1:7" ht="18.75" x14ac:dyDescent="0.3">
      <c r="A124" s="71" t="s">
        <v>201</v>
      </c>
      <c r="B124" s="299">
        <v>0</v>
      </c>
      <c r="C124" s="58"/>
      <c r="D124" s="18"/>
      <c r="E124" s="20"/>
      <c r="F124" s="17"/>
      <c r="G124" s="17"/>
    </row>
    <row r="125" spans="1:7" ht="18.75" x14ac:dyDescent="0.3">
      <c r="A125" s="76"/>
      <c r="B125" s="222"/>
      <c r="C125" s="58"/>
      <c r="D125" s="18"/>
      <c r="E125" s="20"/>
      <c r="F125" s="17"/>
      <c r="G125" s="17"/>
    </row>
    <row r="126" spans="1:7" s="20" customFormat="1" ht="18.75" x14ac:dyDescent="0.3">
      <c r="A126" s="68" t="s">
        <v>267</v>
      </c>
      <c r="B126" s="35"/>
      <c r="C126" s="21"/>
      <c r="D126" s="21"/>
      <c r="E126" s="22"/>
      <c r="F126" s="23"/>
      <c r="G126" s="23"/>
    </row>
    <row r="127" spans="1:7" s="20" customFormat="1" ht="18.75" x14ac:dyDescent="0.3">
      <c r="A127" s="62"/>
      <c r="B127" s="35"/>
      <c r="C127" s="21"/>
      <c r="D127" s="21"/>
      <c r="E127" s="22"/>
      <c r="F127" s="23"/>
      <c r="G127" s="23"/>
    </row>
    <row r="128" spans="1:7" s="20" customFormat="1" ht="18.75" x14ac:dyDescent="0.3">
      <c r="A128" s="291" t="s">
        <v>242</v>
      </c>
      <c r="B128" s="291" t="s">
        <v>142</v>
      </c>
      <c r="C128" s="385" t="s">
        <v>180</v>
      </c>
      <c r="D128" s="386"/>
      <c r="E128" s="387"/>
      <c r="F128" s="291" t="s">
        <v>184</v>
      </c>
      <c r="G128" s="23"/>
    </row>
    <row r="129" spans="1:7" s="20" customFormat="1" ht="18.75" x14ac:dyDescent="0.3">
      <c r="A129" s="92" t="s">
        <v>178</v>
      </c>
      <c r="B129" s="92">
        <f>+G5</f>
        <v>2016</v>
      </c>
      <c r="C129" s="372" t="s">
        <v>248</v>
      </c>
      <c r="D129" s="372"/>
      <c r="E129" s="372"/>
      <c r="F129" s="300">
        <f>'Inversion Inicial'!B6/1000</f>
        <v>2350</v>
      </c>
      <c r="G129" s="23"/>
    </row>
    <row r="130" spans="1:7" s="20" customFormat="1" ht="18.75" x14ac:dyDescent="0.3">
      <c r="A130" s="345" t="s">
        <v>181</v>
      </c>
      <c r="B130" s="92">
        <f>+B129+1</f>
        <v>2017</v>
      </c>
      <c r="C130" s="372"/>
      <c r="D130" s="372"/>
      <c r="E130" s="372"/>
      <c r="F130" s="300">
        <v>0</v>
      </c>
      <c r="G130" s="23"/>
    </row>
    <row r="131" spans="1:7" s="20" customFormat="1" ht="18.75" x14ac:dyDescent="0.3">
      <c r="A131" s="346"/>
      <c r="B131" s="92">
        <f>+B130+1</f>
        <v>2018</v>
      </c>
      <c r="C131" s="372"/>
      <c r="D131" s="372"/>
      <c r="E131" s="372"/>
      <c r="F131" s="300">
        <v>0</v>
      </c>
      <c r="G131" s="23"/>
    </row>
    <row r="132" spans="1:7" s="20" customFormat="1" ht="18.75" x14ac:dyDescent="0.3">
      <c r="A132" s="346"/>
      <c r="B132" s="92">
        <f>+B131+1</f>
        <v>2019</v>
      </c>
      <c r="C132" s="372" t="s">
        <v>248</v>
      </c>
      <c r="D132" s="372"/>
      <c r="E132" s="372"/>
      <c r="F132" s="300">
        <v>2150</v>
      </c>
      <c r="G132" s="23"/>
    </row>
    <row r="133" spans="1:7" s="20" customFormat="1" ht="18.75" x14ac:dyDescent="0.3">
      <c r="A133" s="347"/>
      <c r="B133" s="92">
        <f>+B132+1</f>
        <v>2020</v>
      </c>
      <c r="C133" s="372"/>
      <c r="D133" s="372"/>
      <c r="E133" s="372"/>
      <c r="F133" s="300">
        <v>0</v>
      </c>
      <c r="G133" s="23"/>
    </row>
    <row r="134" spans="1:7" s="20" customFormat="1" ht="18.75" x14ac:dyDescent="0.3">
      <c r="B134" s="15"/>
      <c r="C134" s="344"/>
      <c r="D134" s="344"/>
      <c r="E134" s="344"/>
      <c r="F134" s="23"/>
      <c r="G134" s="23"/>
    </row>
    <row r="135" spans="1:7" s="20" customFormat="1" ht="18.75" x14ac:dyDescent="0.3">
      <c r="A135" s="284" t="s">
        <v>242</v>
      </c>
      <c r="B135" s="284" t="str">
        <f>+B128</f>
        <v>AÑO</v>
      </c>
      <c r="C135" s="349" t="s">
        <v>180</v>
      </c>
      <c r="D135" s="349"/>
      <c r="E135" s="349"/>
      <c r="F135" s="284" t="s">
        <v>184</v>
      </c>
      <c r="G135" s="23"/>
    </row>
    <row r="136" spans="1:7" s="20" customFormat="1" ht="18.75" x14ac:dyDescent="0.3">
      <c r="A136" s="345" t="s">
        <v>179</v>
      </c>
      <c r="B136" s="92">
        <f>+B129</f>
        <v>2016</v>
      </c>
      <c r="C136" s="372" t="s">
        <v>312</v>
      </c>
      <c r="D136" s="372"/>
      <c r="E136" s="372"/>
      <c r="F136" s="300">
        <f>'Inversion Inicial'!B7/1000</f>
        <v>1100</v>
      </c>
      <c r="G136" s="23"/>
    </row>
    <row r="137" spans="1:7" s="20" customFormat="1" ht="18.75" x14ac:dyDescent="0.3">
      <c r="A137" s="346"/>
      <c r="B137" s="92">
        <f>+B136+1</f>
        <v>2017</v>
      </c>
      <c r="C137" s="372" t="s">
        <v>312</v>
      </c>
      <c r="D137" s="372"/>
      <c r="E137" s="372"/>
      <c r="F137" s="300">
        <v>500</v>
      </c>
      <c r="G137" s="23"/>
    </row>
    <row r="138" spans="1:7" s="20" customFormat="1" ht="18.75" x14ac:dyDescent="0.3">
      <c r="A138" s="346"/>
      <c r="B138" s="92">
        <f>+B137+1</f>
        <v>2018</v>
      </c>
      <c r="C138" s="372" t="s">
        <v>312</v>
      </c>
      <c r="D138" s="372"/>
      <c r="E138" s="372"/>
      <c r="F138" s="300">
        <v>500</v>
      </c>
      <c r="G138" s="23"/>
    </row>
    <row r="139" spans="1:7" s="20" customFormat="1" ht="18.75" x14ac:dyDescent="0.3">
      <c r="A139" s="346"/>
      <c r="B139" s="92">
        <f>+B138+1</f>
        <v>2019</v>
      </c>
      <c r="C139" s="372" t="s">
        <v>312</v>
      </c>
      <c r="D139" s="372"/>
      <c r="E139" s="372"/>
      <c r="F139" s="300">
        <v>500</v>
      </c>
      <c r="G139" s="23"/>
    </row>
    <row r="140" spans="1:7" s="20" customFormat="1" ht="18.75" x14ac:dyDescent="0.3">
      <c r="A140" s="347"/>
      <c r="B140" s="92">
        <f>+B139+1</f>
        <v>2020</v>
      </c>
      <c r="C140" s="372" t="s">
        <v>312</v>
      </c>
      <c r="D140" s="372"/>
      <c r="E140" s="372"/>
      <c r="F140" s="300">
        <v>500</v>
      </c>
      <c r="G140" s="23"/>
    </row>
    <row r="141" spans="1:7" s="20" customFormat="1" ht="18.75" x14ac:dyDescent="0.3">
      <c r="B141" s="15"/>
      <c r="C141" s="344"/>
      <c r="D141" s="344"/>
      <c r="E141" s="344"/>
      <c r="F141" s="23"/>
      <c r="G141" s="23"/>
    </row>
    <row r="142" spans="1:7" s="20" customFormat="1" ht="18.75" x14ac:dyDescent="0.3">
      <c r="A142" s="284" t="s">
        <v>242</v>
      </c>
      <c r="B142" s="284" t="str">
        <f>+B135</f>
        <v>AÑO</v>
      </c>
      <c r="C142" s="349" t="s">
        <v>180</v>
      </c>
      <c r="D142" s="349"/>
      <c r="E142" s="349"/>
      <c r="F142" s="284" t="s">
        <v>184</v>
      </c>
      <c r="G142" s="23"/>
    </row>
    <row r="143" spans="1:7" s="20" customFormat="1" ht="18.75" x14ac:dyDescent="0.3">
      <c r="A143" s="345" t="s">
        <v>123</v>
      </c>
      <c r="B143" s="92">
        <f>+B136</f>
        <v>2016</v>
      </c>
      <c r="C143" s="372"/>
      <c r="D143" s="372"/>
      <c r="E143" s="372"/>
      <c r="F143" s="300">
        <v>0</v>
      </c>
      <c r="G143" s="23"/>
    </row>
    <row r="144" spans="1:7" s="20" customFormat="1" ht="18.75" x14ac:dyDescent="0.3">
      <c r="A144" s="346"/>
      <c r="B144" s="92">
        <f>+B143+1</f>
        <v>2017</v>
      </c>
      <c r="C144" s="372"/>
      <c r="D144" s="372"/>
      <c r="E144" s="372"/>
      <c r="F144" s="300">
        <v>0</v>
      </c>
      <c r="G144" s="23"/>
    </row>
    <row r="145" spans="1:7" s="20" customFormat="1" ht="18.75" x14ac:dyDescent="0.3">
      <c r="A145" s="346"/>
      <c r="B145" s="92">
        <f>+B144+1</f>
        <v>2018</v>
      </c>
      <c r="C145" s="372"/>
      <c r="D145" s="372"/>
      <c r="E145" s="372"/>
      <c r="F145" s="300">
        <v>0</v>
      </c>
      <c r="G145" s="23"/>
    </row>
    <row r="146" spans="1:7" s="20" customFormat="1" ht="18.75" x14ac:dyDescent="0.3">
      <c r="A146" s="346"/>
      <c r="B146" s="92">
        <f>+B145+1</f>
        <v>2019</v>
      </c>
      <c r="C146" s="372"/>
      <c r="D146" s="372"/>
      <c r="E146" s="372"/>
      <c r="F146" s="300">
        <v>0</v>
      </c>
      <c r="G146" s="23"/>
    </row>
    <row r="147" spans="1:7" s="20" customFormat="1" ht="18.75" x14ac:dyDescent="0.3">
      <c r="A147" s="347"/>
      <c r="B147" s="92">
        <f>+B146+1</f>
        <v>2020</v>
      </c>
      <c r="C147" s="372"/>
      <c r="D147" s="372"/>
      <c r="E147" s="372"/>
      <c r="F147" s="300">
        <v>0</v>
      </c>
      <c r="G147" s="23"/>
    </row>
    <row r="148" spans="1:7" s="20" customFormat="1" ht="18.75" x14ac:dyDescent="0.3">
      <c r="B148" s="15"/>
      <c r="C148" s="344"/>
      <c r="D148" s="344"/>
      <c r="E148" s="344"/>
      <c r="F148" s="23"/>
      <c r="G148" s="23"/>
    </row>
    <row r="149" spans="1:7" s="20" customFormat="1" ht="18.75" x14ac:dyDescent="0.3">
      <c r="A149" s="345" t="s">
        <v>182</v>
      </c>
      <c r="B149" s="284" t="str">
        <f>+B142</f>
        <v>AÑO</v>
      </c>
      <c r="C149" s="349" t="s">
        <v>180</v>
      </c>
      <c r="D149" s="349"/>
      <c r="E149" s="349"/>
      <c r="F149" s="284" t="s">
        <v>184</v>
      </c>
      <c r="G149" s="23"/>
    </row>
    <row r="150" spans="1:7" s="20" customFormat="1" ht="18.75" x14ac:dyDescent="0.3">
      <c r="A150" s="346"/>
      <c r="B150" s="92">
        <f>+B143</f>
        <v>2016</v>
      </c>
      <c r="C150" s="383"/>
      <c r="D150" s="383"/>
      <c r="E150" s="383"/>
      <c r="F150" s="93">
        <f>+F143+F136+F129</f>
        <v>3450</v>
      </c>
      <c r="G150" s="23"/>
    </row>
    <row r="151" spans="1:7" s="20" customFormat="1" ht="18.75" x14ac:dyDescent="0.3">
      <c r="A151" s="346"/>
      <c r="B151" s="92">
        <f>+B150+1</f>
        <v>2017</v>
      </c>
      <c r="C151" s="383"/>
      <c r="D151" s="383"/>
      <c r="E151" s="383"/>
      <c r="F151" s="93">
        <f>+F144+F137+F130</f>
        <v>500</v>
      </c>
      <c r="G151" s="23"/>
    </row>
    <row r="152" spans="1:7" s="20" customFormat="1" ht="18.75" x14ac:dyDescent="0.3">
      <c r="A152" s="346"/>
      <c r="B152" s="92">
        <f>+B151+1</f>
        <v>2018</v>
      </c>
      <c r="C152" s="383"/>
      <c r="D152" s="383"/>
      <c r="E152" s="383"/>
      <c r="F152" s="93">
        <f>+F145+F138+F131</f>
        <v>500</v>
      </c>
      <c r="G152" s="23"/>
    </row>
    <row r="153" spans="1:7" s="20" customFormat="1" ht="18.75" x14ac:dyDescent="0.3">
      <c r="A153" s="346"/>
      <c r="B153" s="92">
        <f>+B152+1</f>
        <v>2019</v>
      </c>
      <c r="C153" s="383"/>
      <c r="D153" s="383"/>
      <c r="E153" s="383"/>
      <c r="F153" s="93">
        <f>+F146+F139+F132</f>
        <v>2650</v>
      </c>
      <c r="G153" s="23"/>
    </row>
    <row r="154" spans="1:7" s="20" customFormat="1" ht="18.75" x14ac:dyDescent="0.3">
      <c r="A154" s="347"/>
      <c r="B154" s="92">
        <f>+B153+1</f>
        <v>2020</v>
      </c>
      <c r="C154" s="383"/>
      <c r="D154" s="383"/>
      <c r="E154" s="383"/>
      <c r="F154" s="93">
        <f>+F147+F140+F133</f>
        <v>500</v>
      </c>
      <c r="G154" s="23"/>
    </row>
    <row r="155" spans="1:7" s="20" customFormat="1" ht="18.75" x14ac:dyDescent="0.3">
      <c r="B155" s="15"/>
      <c r="C155" s="344"/>
      <c r="D155" s="344"/>
      <c r="E155" s="344"/>
      <c r="F155" s="23"/>
      <c r="G155" s="23"/>
    </row>
    <row r="156" spans="1:7" s="20" customFormat="1" ht="18.75" x14ac:dyDescent="0.3">
      <c r="B156" s="15"/>
      <c r="C156" s="388"/>
      <c r="D156" s="388"/>
      <c r="E156" s="388"/>
      <c r="F156" s="23"/>
      <c r="G156" s="23"/>
    </row>
    <row r="157" spans="1:7" s="20" customFormat="1" ht="18.75" x14ac:dyDescent="0.3">
      <c r="B157" s="15"/>
      <c r="C157" s="388"/>
      <c r="D157" s="388"/>
      <c r="E157" s="388"/>
      <c r="F157" s="23"/>
      <c r="G157" s="23"/>
    </row>
    <row r="158" spans="1:7" ht="18.75" x14ac:dyDescent="0.3">
      <c r="B158" s="15"/>
      <c r="C158" s="388"/>
      <c r="D158" s="388"/>
      <c r="E158" s="388"/>
    </row>
    <row r="159" spans="1:7" ht="18.75" x14ac:dyDescent="0.3">
      <c r="B159" s="15"/>
      <c r="C159" s="388"/>
      <c r="D159" s="388"/>
      <c r="E159" s="388"/>
    </row>
    <row r="160" spans="1:7" ht="18.75" x14ac:dyDescent="0.3">
      <c r="B160" s="15"/>
      <c r="C160" s="388"/>
      <c r="D160" s="388"/>
      <c r="E160" s="388"/>
    </row>
    <row r="161" spans="3:5" x14ac:dyDescent="0.3">
      <c r="C161" s="388"/>
      <c r="D161" s="388"/>
      <c r="E161" s="388"/>
    </row>
    <row r="162" spans="3:5" x14ac:dyDescent="0.3">
      <c r="C162" s="388"/>
      <c r="D162" s="388"/>
      <c r="E162" s="388"/>
    </row>
    <row r="163" spans="3:5" x14ac:dyDescent="0.3">
      <c r="C163" s="388"/>
      <c r="D163" s="388"/>
      <c r="E163" s="388"/>
    </row>
    <row r="164" spans="3:5" x14ac:dyDescent="0.3">
      <c r="C164" s="388"/>
      <c r="D164" s="388"/>
      <c r="E164" s="388"/>
    </row>
    <row r="165" spans="3:5" x14ac:dyDescent="0.3">
      <c r="C165" s="388"/>
      <c r="D165" s="388"/>
      <c r="E165" s="388"/>
    </row>
    <row r="166" spans="3:5" x14ac:dyDescent="0.3">
      <c r="C166" s="388"/>
      <c r="D166" s="388"/>
      <c r="E166" s="388"/>
    </row>
    <row r="167" spans="3:5" x14ac:dyDescent="0.3">
      <c r="C167" s="388"/>
      <c r="D167" s="388"/>
      <c r="E167" s="388"/>
    </row>
    <row r="168" spans="3:5" x14ac:dyDescent="0.3">
      <c r="C168" s="388"/>
      <c r="D168" s="388"/>
      <c r="E168" s="388"/>
    </row>
    <row r="169" spans="3:5" x14ac:dyDescent="0.3">
      <c r="C169" s="388"/>
      <c r="D169" s="388"/>
      <c r="E169" s="388"/>
    </row>
    <row r="170" spans="3:5" x14ac:dyDescent="0.3">
      <c r="C170" s="388"/>
      <c r="D170" s="388"/>
      <c r="E170" s="388"/>
    </row>
    <row r="171" spans="3:5" x14ac:dyDescent="0.3">
      <c r="C171" s="388"/>
      <c r="D171" s="388"/>
      <c r="E171" s="388"/>
    </row>
    <row r="172" spans="3:5" x14ac:dyDescent="0.3">
      <c r="C172" s="388"/>
      <c r="D172" s="388"/>
      <c r="E172" s="388"/>
    </row>
    <row r="173" spans="3:5" x14ac:dyDescent="0.3">
      <c r="C173" s="388"/>
      <c r="D173" s="388"/>
      <c r="E173" s="388"/>
    </row>
    <row r="174" spans="3:5" x14ac:dyDescent="0.3">
      <c r="C174" s="388"/>
      <c r="D174" s="388"/>
      <c r="E174" s="388"/>
    </row>
    <row r="175" spans="3:5" x14ac:dyDescent="0.3">
      <c r="C175" s="388"/>
      <c r="D175" s="388"/>
      <c r="E175" s="388"/>
    </row>
  </sheetData>
  <sheetProtection selectLockedCells="1" selectUnlockedCells="1"/>
  <protectedRanges>
    <protectedRange sqref="B117:B120 B125" name="Rango21"/>
    <protectedRange sqref="B108:B114" name="Rango20"/>
    <protectedRange sqref="B95:B100 C101:F101" name="Rango17"/>
    <protectedRange sqref="B89" name="Rango16"/>
    <protectedRange sqref="F19:F22" name="Rango15"/>
    <protectedRange sqref="C19:C22" name="Rango14"/>
    <protectedRange sqref="F16:F17 F81:F86" name="Rango13"/>
    <protectedRange sqref="F74:F78" name="Rango12"/>
    <protectedRange sqref="F67:F71" name="Rango11"/>
    <protectedRange sqref="F63 F55" name="Rango8"/>
    <protectedRange sqref="F47" name="Rango7"/>
    <protectedRange sqref="F35:F39 F43:F46 F59:F62 F51:F54" name="Rango6"/>
    <protectedRange sqref="F27:F31" name="Rango5"/>
    <protectedRange sqref="G23 G8:G15" name="Rango4"/>
    <protectedRange sqref="C129:F133" name="Rango3"/>
    <protectedRange sqref="C136:F140" name="Rango2"/>
    <protectedRange sqref="C143:F147" name="Rango1"/>
    <protectedRange sqref="B103:B106" name="Rango19"/>
    <protectedRange sqref="B122:B124" name="Rango22_1"/>
  </protectedRanges>
  <dataConsolidate/>
  <mergeCells count="113">
    <mergeCell ref="C175:E175"/>
    <mergeCell ref="C140:E140"/>
    <mergeCell ref="C147:E147"/>
    <mergeCell ref="C154:E154"/>
    <mergeCell ref="C161:E161"/>
    <mergeCell ref="C162:E162"/>
    <mergeCell ref="C163:E163"/>
    <mergeCell ref="C164:E164"/>
    <mergeCell ref="C165:E165"/>
    <mergeCell ref="C166:E166"/>
    <mergeCell ref="C155:E155"/>
    <mergeCell ref="C156:E156"/>
    <mergeCell ref="C157:E157"/>
    <mergeCell ref="C158:E158"/>
    <mergeCell ref="C171:E171"/>
    <mergeCell ref="C172:E172"/>
    <mergeCell ref="C173:E173"/>
    <mergeCell ref="C174:E174"/>
    <mergeCell ref="C167:E167"/>
    <mergeCell ref="C168:E168"/>
    <mergeCell ref="C169:E169"/>
    <mergeCell ref="C170:E170"/>
    <mergeCell ref="C159:E159"/>
    <mergeCell ref="C160:E160"/>
    <mergeCell ref="C150:E150"/>
    <mergeCell ref="C151:E151"/>
    <mergeCell ref="C152:E152"/>
    <mergeCell ref="C153:E153"/>
    <mergeCell ref="I14:K14"/>
    <mergeCell ref="C146:E146"/>
    <mergeCell ref="C134:E134"/>
    <mergeCell ref="C135:E135"/>
    <mergeCell ref="C136:E136"/>
    <mergeCell ref="C137:E137"/>
    <mergeCell ref="C138:E138"/>
    <mergeCell ref="C139:E139"/>
    <mergeCell ref="C141:E141"/>
    <mergeCell ref="C142:E142"/>
    <mergeCell ref="C143:E143"/>
    <mergeCell ref="C144:E144"/>
    <mergeCell ref="C145:E145"/>
    <mergeCell ref="C133:E133"/>
    <mergeCell ref="C104:E104"/>
    <mergeCell ref="C105:E105"/>
    <mergeCell ref="C128:E128"/>
    <mergeCell ref="C129:E129"/>
    <mergeCell ref="C82:E82"/>
    <mergeCell ref="C83:E83"/>
    <mergeCell ref="C149:E149"/>
    <mergeCell ref="A1:G1"/>
    <mergeCell ref="A3:G3"/>
    <mergeCell ref="C130:E130"/>
    <mergeCell ref="C131:E131"/>
    <mergeCell ref="C132:E132"/>
    <mergeCell ref="C93:E93"/>
    <mergeCell ref="C94:E94"/>
    <mergeCell ref="C101:E101"/>
    <mergeCell ref="C103:E103"/>
    <mergeCell ref="C95:D95"/>
    <mergeCell ref="C96:D96"/>
    <mergeCell ref="C97:D97"/>
    <mergeCell ref="C98:D98"/>
    <mergeCell ref="C99:D99"/>
    <mergeCell ref="C100:D100"/>
    <mergeCell ref="F109:G109"/>
    <mergeCell ref="C107:E107"/>
    <mergeCell ref="C85:E85"/>
    <mergeCell ref="C76:E76"/>
    <mergeCell ref="A143:A147"/>
    <mergeCell ref="A149:A154"/>
    <mergeCell ref="C116:E116"/>
    <mergeCell ref="C121:E121"/>
    <mergeCell ref="I11:K11"/>
    <mergeCell ref="A2:G2"/>
    <mergeCell ref="I13:K13"/>
    <mergeCell ref="C75:E75"/>
    <mergeCell ref="C19:E19"/>
    <mergeCell ref="C20:E20"/>
    <mergeCell ref="C21:E21"/>
    <mergeCell ref="C22:E22"/>
    <mergeCell ref="A8:A14"/>
    <mergeCell ref="B7:E7"/>
    <mergeCell ref="B8:E8"/>
    <mergeCell ref="B9:E9"/>
    <mergeCell ref="B10:E10"/>
    <mergeCell ref="B11:E11"/>
    <mergeCell ref="B12:E12"/>
    <mergeCell ref="B13:E13"/>
    <mergeCell ref="B14:E14"/>
    <mergeCell ref="C66:E66"/>
    <mergeCell ref="C67:E67"/>
    <mergeCell ref="C68:E68"/>
    <mergeCell ref="C69:E69"/>
    <mergeCell ref="F17:J17"/>
    <mergeCell ref="C148:E148"/>
    <mergeCell ref="A130:A133"/>
    <mergeCell ref="A136:A140"/>
    <mergeCell ref="A19:A22"/>
    <mergeCell ref="H18:I18"/>
    <mergeCell ref="H19:I19"/>
    <mergeCell ref="H20:I20"/>
    <mergeCell ref="H21:I21"/>
    <mergeCell ref="H22:I22"/>
    <mergeCell ref="C18:E18"/>
    <mergeCell ref="C77:E77"/>
    <mergeCell ref="C78:E78"/>
    <mergeCell ref="C80:E80"/>
    <mergeCell ref="C81:E81"/>
    <mergeCell ref="C70:E70"/>
    <mergeCell ref="C71:E71"/>
    <mergeCell ref="C73:E73"/>
    <mergeCell ref="C74:E74"/>
    <mergeCell ref="C84:E84"/>
  </mergeCells>
  <phoneticPr fontId="10" type="noConversion"/>
  <pageMargins left="0.75" right="0.75" top="1" bottom="1" header="0" footer="0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22"/>
  <sheetViews>
    <sheetView showGridLines="0" zoomScale="130" zoomScaleNormal="130" workbookViewId="0">
      <pane xSplit="1" ySplit="3" topLeftCell="E10" activePane="bottomRight" state="frozen"/>
      <selection pane="topRight" activeCell="B1" sqref="B1"/>
      <selection pane="bottomLeft" activeCell="A3" sqref="A3"/>
      <selection pane="bottomRight" activeCell="I15" sqref="I15"/>
    </sheetView>
  </sheetViews>
  <sheetFormatPr baseColWidth="10" defaultColWidth="11.42578125" defaultRowHeight="12.75" x14ac:dyDescent="0.2"/>
  <cols>
    <col min="1" max="1" width="33" style="17" customWidth="1"/>
    <col min="2" max="4" width="12" style="17" hidden="1" customWidth="1"/>
    <col min="5" max="9" width="12.85546875" style="17" customWidth="1"/>
    <col min="10" max="16384" width="11.42578125" style="17"/>
  </cols>
  <sheetData>
    <row r="1" spans="1:9" ht="33.75" x14ac:dyDescent="0.5">
      <c r="A1" s="389" t="s">
        <v>207</v>
      </c>
      <c r="B1" s="389"/>
      <c r="C1" s="389"/>
      <c r="D1" s="389"/>
      <c r="E1" s="389"/>
      <c r="F1" s="389"/>
      <c r="G1" s="389"/>
      <c r="H1" s="389"/>
      <c r="I1" s="389"/>
    </row>
    <row r="2" spans="1:9" ht="23.25" x14ac:dyDescent="0.35">
      <c r="A2" s="391" t="str">
        <f>+Resúmen!A2:G2</f>
        <v>BOLSOS</v>
      </c>
      <c r="B2" s="391"/>
      <c r="C2" s="391"/>
      <c r="D2" s="391"/>
      <c r="E2" s="391"/>
      <c r="F2" s="391"/>
      <c r="G2" s="391"/>
      <c r="H2" s="391"/>
      <c r="I2" s="391"/>
    </row>
    <row r="3" spans="1:9" ht="23.25" x14ac:dyDescent="0.35">
      <c r="A3" s="390" t="s">
        <v>177</v>
      </c>
      <c r="B3" s="390"/>
      <c r="C3" s="390"/>
      <c r="D3" s="390"/>
      <c r="E3" s="390"/>
      <c r="F3" s="390"/>
      <c r="G3" s="390"/>
      <c r="H3" s="390"/>
      <c r="I3" s="390"/>
    </row>
    <row r="4" spans="1:9" ht="32.25" thickBot="1" x14ac:dyDescent="0.55000000000000004">
      <c r="A4" s="94"/>
      <c r="B4" s="94"/>
      <c r="C4" s="94"/>
      <c r="D4" s="94"/>
      <c r="E4" s="94"/>
      <c r="F4" s="94"/>
      <c r="G4" s="94"/>
      <c r="H4" s="94"/>
      <c r="I4" s="94"/>
    </row>
    <row r="5" spans="1:9" s="43" customFormat="1" ht="23.25" customHeight="1" thickBot="1" x14ac:dyDescent="0.35">
      <c r="A5" s="293" t="s">
        <v>142</v>
      </c>
      <c r="B5" s="293">
        <v>2007</v>
      </c>
      <c r="C5" s="293">
        <f>B5+1</f>
        <v>2008</v>
      </c>
      <c r="D5" s="293">
        <f t="shared" ref="D5:I5" si="0">C5+1</f>
        <v>2009</v>
      </c>
      <c r="E5" s="293">
        <v>2016</v>
      </c>
      <c r="F5" s="293">
        <f t="shared" si="0"/>
        <v>2017</v>
      </c>
      <c r="G5" s="293">
        <f t="shared" si="0"/>
        <v>2018</v>
      </c>
      <c r="H5" s="293">
        <f t="shared" si="0"/>
        <v>2019</v>
      </c>
      <c r="I5" s="293">
        <f t="shared" si="0"/>
        <v>2020</v>
      </c>
    </row>
    <row r="6" spans="1:9" s="43" customFormat="1" ht="23.25" customHeight="1" x14ac:dyDescent="0.3">
      <c r="A6" s="95"/>
      <c r="B6" s="96"/>
      <c r="C6" s="96"/>
      <c r="D6" s="96"/>
      <c r="E6" s="96"/>
      <c r="F6" s="96"/>
      <c r="G6" s="96"/>
      <c r="H6" s="96"/>
      <c r="I6" s="96"/>
    </row>
    <row r="7" spans="1:9" ht="19.5" customHeight="1" x14ac:dyDescent="0.25">
      <c r="A7" s="97" t="s">
        <v>315</v>
      </c>
      <c r="B7" s="98">
        <v>0.05</v>
      </c>
      <c r="C7" s="98">
        <v>0.06</v>
      </c>
      <c r="D7" s="98">
        <v>5.0000000000000001E-3</v>
      </c>
      <c r="E7" s="98">
        <v>3.78E-2</v>
      </c>
      <c r="F7" s="98">
        <v>5.1999999999999998E-2</v>
      </c>
      <c r="G7" s="98">
        <v>5.1999999999999998E-2</v>
      </c>
      <c r="H7" s="98">
        <v>5.1999999999999998E-2</v>
      </c>
      <c r="I7" s="98">
        <v>5.1999999999999998E-2</v>
      </c>
    </row>
    <row r="8" spans="1:9" ht="19.5" customHeight="1" x14ac:dyDescent="0.25">
      <c r="A8" s="97" t="s">
        <v>0</v>
      </c>
      <c r="B8" s="98">
        <v>5.6899999999999999E-2</v>
      </c>
      <c r="C8" s="98">
        <v>7.6700000000000004E-2</v>
      </c>
      <c r="D8" s="98">
        <v>0.02</v>
      </c>
      <c r="E8" s="98">
        <v>0.08</v>
      </c>
      <c r="F8" s="98">
        <v>0.06</v>
      </c>
      <c r="G8" s="98">
        <v>0.06</v>
      </c>
      <c r="H8" s="98">
        <v>0.05</v>
      </c>
      <c r="I8" s="98">
        <v>0.04</v>
      </c>
    </row>
    <row r="9" spans="1:9" ht="19.5" customHeight="1" x14ac:dyDescent="0.25">
      <c r="A9" s="97" t="s">
        <v>1</v>
      </c>
      <c r="B9" s="98">
        <v>0.03</v>
      </c>
      <c r="C9" s="98">
        <v>0.03</v>
      </c>
      <c r="D9" s="98">
        <v>0.03</v>
      </c>
      <c r="E9" s="98">
        <v>3.0499999999999999E-2</v>
      </c>
      <c r="F9" s="98">
        <v>0.03</v>
      </c>
      <c r="G9" s="98">
        <v>0.03</v>
      </c>
      <c r="H9" s="98">
        <v>0.03</v>
      </c>
      <c r="I9" s="98">
        <v>0.03</v>
      </c>
    </row>
    <row r="10" spans="1:9" ht="19.5" customHeight="1" x14ac:dyDescent="0.25">
      <c r="A10" s="97" t="s">
        <v>2</v>
      </c>
      <c r="B10" s="98">
        <f>+B8*0.9</f>
        <v>5.1209999999999999E-2</v>
      </c>
      <c r="C10" s="98">
        <f>+C8*0.9</f>
        <v>6.9030000000000008E-2</v>
      </c>
      <c r="D10" s="98">
        <f>+D8*0.9</f>
        <v>1.8000000000000002E-2</v>
      </c>
      <c r="E10" s="98">
        <v>0.01</v>
      </c>
      <c r="F10" s="98">
        <v>-8.0000000000000002E-3</v>
      </c>
      <c r="G10" s="98">
        <v>1.7000000000000001E-2</v>
      </c>
      <c r="H10" s="98">
        <v>2.8000000000000001E-2</v>
      </c>
      <c r="I10" s="98">
        <v>2.8000000000000001E-2</v>
      </c>
    </row>
    <row r="11" spans="1:9" s="101" customFormat="1" ht="19.5" customHeight="1" x14ac:dyDescent="0.25">
      <c r="A11" s="99" t="s">
        <v>3</v>
      </c>
      <c r="B11" s="100">
        <v>2700</v>
      </c>
      <c r="C11" s="100">
        <f>+B11*(1+B10)</f>
        <v>2838.2669999999998</v>
      </c>
      <c r="D11" s="100">
        <v>2000</v>
      </c>
      <c r="E11" s="100">
        <f>+D11*(1+E10)</f>
        <v>2020</v>
      </c>
      <c r="F11" s="100">
        <f>+E11*(1+F10)</f>
        <v>2003.84</v>
      </c>
      <c r="G11" s="100">
        <f>+F11*(1+G10)</f>
        <v>2037.9052799999997</v>
      </c>
      <c r="H11" s="100">
        <f>+G11*(1+H10)</f>
        <v>2094.9666278399995</v>
      </c>
      <c r="I11" s="100">
        <f>+H11*(1+I10)</f>
        <v>2153.6256934195194</v>
      </c>
    </row>
    <row r="12" spans="1:9" ht="19.5" customHeight="1" x14ac:dyDescent="0.25">
      <c r="A12" s="97" t="s">
        <v>4</v>
      </c>
      <c r="B12" s="98">
        <v>0.06</v>
      </c>
      <c r="C12" s="98">
        <v>0.06</v>
      </c>
      <c r="D12" s="98">
        <v>0.06</v>
      </c>
      <c r="E12" s="98">
        <v>5.2999999999999999E-2</v>
      </c>
      <c r="F12" s="98">
        <v>5.2999999999999999E-2</v>
      </c>
      <c r="G12" s="98">
        <v>5.2999999999999999E-2</v>
      </c>
      <c r="H12" s="98">
        <v>5.2999999999999999E-2</v>
      </c>
      <c r="I12" s="98">
        <v>5.2999999999999999E-2</v>
      </c>
    </row>
    <row r="13" spans="1:9" ht="19.5" customHeight="1" x14ac:dyDescent="0.25">
      <c r="A13" s="97" t="s">
        <v>5</v>
      </c>
      <c r="B13" s="98">
        <v>0.15</v>
      </c>
      <c r="C13" s="98">
        <v>0.14000000000000001</v>
      </c>
      <c r="D13" s="98">
        <v>0.14000000000000001</v>
      </c>
      <c r="E13" s="98">
        <v>0.11</v>
      </c>
      <c r="F13" s="98">
        <v>0.11</v>
      </c>
      <c r="G13" s="98">
        <v>0.11</v>
      </c>
      <c r="H13" s="98">
        <v>0.11</v>
      </c>
      <c r="I13" s="98">
        <v>0.11</v>
      </c>
    </row>
    <row r="14" spans="1:9" ht="19.5" customHeight="1" x14ac:dyDescent="0.25">
      <c r="A14" s="97" t="s">
        <v>316</v>
      </c>
      <c r="B14" s="98">
        <v>7.0000000000000007E-2</v>
      </c>
      <c r="C14" s="98">
        <v>7.0000000000000007E-2</v>
      </c>
      <c r="D14" s="98">
        <v>0.06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</row>
    <row r="15" spans="1:9" ht="19.5" customHeight="1" x14ac:dyDescent="0.25">
      <c r="A15" s="97" t="s">
        <v>6</v>
      </c>
      <c r="B15" s="98">
        <v>0.06</v>
      </c>
      <c r="C15" s="98">
        <v>0.06</v>
      </c>
      <c r="D15" s="98">
        <v>0.06</v>
      </c>
      <c r="E15" s="98">
        <v>0.12</v>
      </c>
      <c r="F15" s="98">
        <v>0.12</v>
      </c>
      <c r="G15" s="98">
        <v>0.12</v>
      </c>
      <c r="H15" s="98">
        <v>0.12</v>
      </c>
      <c r="I15" s="98">
        <v>0.12</v>
      </c>
    </row>
    <row r="16" spans="1:9" ht="19.5" customHeight="1" x14ac:dyDescent="0.25">
      <c r="A16" s="97" t="s">
        <v>7</v>
      </c>
      <c r="B16" s="98">
        <v>0.16</v>
      </c>
      <c r="C16" s="98">
        <v>0.16</v>
      </c>
      <c r="D16" s="98">
        <v>0.16</v>
      </c>
      <c r="E16" s="98">
        <v>0.16</v>
      </c>
      <c r="F16" s="98">
        <v>0.16</v>
      </c>
      <c r="G16" s="98">
        <v>0.16</v>
      </c>
      <c r="H16" s="98">
        <v>0.16</v>
      </c>
      <c r="I16" s="98">
        <v>0.16</v>
      </c>
    </row>
    <row r="17" spans="1:9" ht="19.5" customHeight="1" x14ac:dyDescent="0.25">
      <c r="A17" s="97" t="s">
        <v>8</v>
      </c>
      <c r="B17" s="98">
        <v>0.35</v>
      </c>
      <c r="C17" s="98">
        <v>0.33</v>
      </c>
      <c r="D17" s="98">
        <v>0.33</v>
      </c>
      <c r="E17" s="98">
        <v>0.25</v>
      </c>
      <c r="F17" s="98">
        <v>0.25</v>
      </c>
      <c r="G17" s="98">
        <v>0.25</v>
      </c>
      <c r="H17" s="98">
        <v>0.25</v>
      </c>
      <c r="I17" s="98">
        <v>0.25</v>
      </c>
    </row>
    <row r="18" spans="1:9" ht="19.5" customHeight="1" x14ac:dyDescent="0.25">
      <c r="A18" s="97" t="s">
        <v>317</v>
      </c>
      <c r="B18" s="98">
        <v>0.35</v>
      </c>
      <c r="C18" s="98">
        <v>0.33</v>
      </c>
      <c r="D18" s="98">
        <v>0.33</v>
      </c>
      <c r="E18" s="98">
        <v>0.09</v>
      </c>
      <c r="F18" s="98">
        <v>0.09</v>
      </c>
      <c r="G18" s="98">
        <v>0.09</v>
      </c>
      <c r="H18" s="98">
        <v>0.09</v>
      </c>
      <c r="I18" s="98">
        <v>0.09</v>
      </c>
    </row>
    <row r="19" spans="1:9" s="57" customFormat="1" ht="19.5" customHeight="1" x14ac:dyDescent="0.25">
      <c r="A19" s="102" t="s">
        <v>318</v>
      </c>
      <c r="B19" s="103">
        <v>274219924</v>
      </c>
      <c r="C19" s="103">
        <f>+B19*(1+C7)</f>
        <v>290673119.44</v>
      </c>
      <c r="D19" s="103">
        <f>+C19*(1+D7)</f>
        <v>292126485.03719997</v>
      </c>
      <c r="E19" s="103">
        <v>254658056</v>
      </c>
      <c r="F19" s="103">
        <v>271207511</v>
      </c>
      <c r="G19" s="103">
        <v>287756966</v>
      </c>
      <c r="H19" s="103">
        <v>287756967</v>
      </c>
      <c r="I19" s="103">
        <v>287756967</v>
      </c>
    </row>
    <row r="20" spans="1:9" ht="13.5" thickBot="1" x14ac:dyDescent="0.25">
      <c r="A20" s="104"/>
      <c r="B20" s="104"/>
      <c r="C20" s="104"/>
      <c r="D20" s="104"/>
      <c r="E20" s="104"/>
      <c r="F20" s="104"/>
      <c r="G20" s="104"/>
      <c r="H20" s="104"/>
      <c r="I20" s="104"/>
    </row>
    <row r="21" spans="1:9" x14ac:dyDescent="0.2">
      <c r="A21" s="14"/>
      <c r="B21" s="14"/>
      <c r="C21" s="14"/>
      <c r="D21" s="14"/>
      <c r="E21" s="14"/>
      <c r="F21" s="14"/>
      <c r="G21" s="14"/>
      <c r="H21" s="14"/>
      <c r="I21" s="14"/>
    </row>
    <row r="22" spans="1:9" x14ac:dyDescent="0.2">
      <c r="A22" s="105" t="s">
        <v>243</v>
      </c>
    </row>
  </sheetData>
  <sheetProtection selectLockedCells="1" selectUnlockedCells="1"/>
  <mergeCells count="3">
    <mergeCell ref="A1:I1"/>
    <mergeCell ref="A3:I3"/>
    <mergeCell ref="A2:I2"/>
  </mergeCells>
  <phoneticPr fontId="10" type="noConversion"/>
  <printOptions horizontalCentered="1" verticalCentered="1"/>
  <pageMargins left="1.26" right="0.78740157480314965" top="0.78740157480314965" bottom="0.78740157480314965" header="0.39370078740157483" footer="0.39370078740157483"/>
  <pageSetup scale="70" orientation="landscape" horizontalDpi="300" verticalDpi="300" r:id="rId1"/>
  <headerFooter alignWithMargins="0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B5" sqref="B5"/>
    </sheetView>
  </sheetViews>
  <sheetFormatPr baseColWidth="10" defaultRowHeight="12.75" x14ac:dyDescent="0.2"/>
  <cols>
    <col min="3" max="3" width="0" hidden="1" customWidth="1"/>
    <col min="5" max="5" width="0" hidden="1" customWidth="1"/>
    <col min="7" max="7" width="0" hidden="1" customWidth="1"/>
    <col min="9" max="9" width="0" hidden="1" customWidth="1"/>
    <col min="11" max="11" width="0" hidden="1" customWidth="1"/>
    <col min="13" max="13" width="0" hidden="1" customWidth="1"/>
    <col min="15" max="15" width="0" hidden="1" customWidth="1"/>
    <col min="17" max="17" width="0" hidden="1" customWidth="1"/>
    <col min="19" max="19" width="0" hidden="1" customWidth="1"/>
  </cols>
  <sheetData>
    <row r="1" spans="1:20" ht="23.25" x14ac:dyDescent="0.35">
      <c r="A1" s="8" t="s">
        <v>10</v>
      </c>
    </row>
    <row r="3" spans="1:20" s="4" customFormat="1" x14ac:dyDescent="0.2">
      <c r="A3" s="3"/>
      <c r="B3" s="3" t="s">
        <v>11</v>
      </c>
      <c r="C3" s="3"/>
      <c r="D3" s="3" t="s">
        <v>12</v>
      </c>
      <c r="E3" s="3"/>
      <c r="F3" s="3" t="s">
        <v>13</v>
      </c>
      <c r="G3" s="3"/>
      <c r="H3" s="3" t="s">
        <v>14</v>
      </c>
      <c r="I3" s="3"/>
      <c r="J3" s="3" t="s">
        <v>15</v>
      </c>
      <c r="K3" s="3"/>
      <c r="L3" s="3" t="s">
        <v>16</v>
      </c>
      <c r="M3" s="3"/>
      <c r="N3" s="3" t="s">
        <v>17</v>
      </c>
      <c r="O3" s="3"/>
      <c r="P3" s="3" t="s">
        <v>18</v>
      </c>
      <c r="Q3" s="3"/>
      <c r="R3" s="3" t="s">
        <v>19</v>
      </c>
      <c r="S3" s="3"/>
      <c r="T3" s="3" t="s">
        <v>20</v>
      </c>
    </row>
    <row r="4" spans="1:20" x14ac:dyDescent="0.2">
      <c r="A4" s="2" t="s">
        <v>21</v>
      </c>
      <c r="B4" s="5">
        <v>3.5000000000000003E-2</v>
      </c>
      <c r="C4" s="5"/>
      <c r="D4" s="5">
        <v>0.03</v>
      </c>
      <c r="E4" s="5"/>
      <c r="F4" s="5">
        <v>2.5000000000000001E-2</v>
      </c>
      <c r="G4" s="5"/>
      <c r="H4" s="5">
        <v>1.4999999999999999E-2</v>
      </c>
      <c r="I4" s="5"/>
      <c r="J4" s="5">
        <v>1.4999999999999999E-2</v>
      </c>
      <c r="K4" s="5"/>
      <c r="L4" s="5">
        <v>1.4999999999999999E-2</v>
      </c>
      <c r="M4" s="5"/>
      <c r="N4" s="5">
        <v>1.4999999999999999E-2</v>
      </c>
      <c r="O4" s="5"/>
      <c r="P4" s="5">
        <v>1.4999999999999999E-2</v>
      </c>
      <c r="Q4" s="5"/>
      <c r="R4" s="5">
        <v>1.4999999999999999E-2</v>
      </c>
      <c r="S4" s="5"/>
      <c r="T4" s="5">
        <v>1.4999999999999999E-2</v>
      </c>
    </row>
    <row r="5" spans="1:20" x14ac:dyDescent="0.2">
      <c r="A5" s="2" t="s">
        <v>22</v>
      </c>
      <c r="B5" s="5"/>
      <c r="C5" s="5"/>
      <c r="D5" s="5">
        <v>0.03</v>
      </c>
      <c r="E5" s="5"/>
      <c r="F5" s="5">
        <v>2.5000000000000001E-2</v>
      </c>
      <c r="G5" s="5"/>
      <c r="H5" s="5">
        <v>1.4999999999999999E-2</v>
      </c>
      <c r="I5" s="5"/>
      <c r="J5" s="5">
        <v>1.4999999999999999E-2</v>
      </c>
      <c r="K5" s="5"/>
      <c r="L5" s="5">
        <v>1.4999999999999999E-2</v>
      </c>
      <c r="M5" s="5"/>
      <c r="N5" s="5">
        <v>1.4999999999999999E-2</v>
      </c>
      <c r="O5" s="5"/>
      <c r="P5" s="5">
        <v>1.4999999999999999E-2</v>
      </c>
      <c r="Q5" s="5"/>
      <c r="R5" s="5">
        <v>1.4999999999999999E-2</v>
      </c>
      <c r="S5" s="5"/>
      <c r="T5" s="5">
        <v>1.4999999999999999E-2</v>
      </c>
    </row>
    <row r="6" spans="1:20" x14ac:dyDescent="0.2">
      <c r="A6" s="2" t="s">
        <v>23</v>
      </c>
      <c r="B6" s="5"/>
      <c r="C6" s="5"/>
      <c r="D6" s="5"/>
      <c r="E6" s="5"/>
      <c r="F6" s="5">
        <v>0.03</v>
      </c>
      <c r="G6" s="5"/>
      <c r="H6" s="5">
        <v>2.5000000000000001E-2</v>
      </c>
      <c r="I6" s="5"/>
      <c r="J6" s="5">
        <v>1.4999999999999999E-2</v>
      </c>
      <c r="K6" s="5"/>
      <c r="L6" s="5">
        <v>1.4999999999999999E-2</v>
      </c>
      <c r="M6" s="5"/>
      <c r="N6" s="5">
        <v>1.4999999999999999E-2</v>
      </c>
      <c r="O6" s="5"/>
      <c r="P6" s="5">
        <v>1.4999999999999999E-2</v>
      </c>
      <c r="Q6" s="5"/>
      <c r="R6" s="5">
        <v>1.4999999999999999E-2</v>
      </c>
      <c r="S6" s="5"/>
      <c r="T6" s="5">
        <v>1.4999999999999999E-2</v>
      </c>
    </row>
    <row r="7" spans="1:20" x14ac:dyDescent="0.2">
      <c r="A7" s="2" t="s">
        <v>24</v>
      </c>
      <c r="B7" s="5"/>
      <c r="C7" s="5"/>
      <c r="D7" s="5"/>
      <c r="E7" s="5"/>
      <c r="F7" s="5"/>
      <c r="G7" s="5"/>
      <c r="H7" s="5">
        <v>0.03</v>
      </c>
      <c r="I7" s="5"/>
      <c r="J7" s="5">
        <v>2.5000000000000001E-2</v>
      </c>
      <c r="K7" s="5"/>
      <c r="L7" s="5">
        <v>1.4999999999999999E-2</v>
      </c>
      <c r="M7" s="5"/>
      <c r="N7" s="5">
        <v>1.4999999999999999E-2</v>
      </c>
      <c r="O7" s="5"/>
      <c r="P7" s="5">
        <v>1.4999999999999999E-2</v>
      </c>
      <c r="Q7" s="5"/>
      <c r="R7" s="5">
        <v>1.4999999999999999E-2</v>
      </c>
      <c r="S7" s="5"/>
      <c r="T7" s="5">
        <v>1.4999999999999999E-2</v>
      </c>
    </row>
    <row r="8" spans="1:20" x14ac:dyDescent="0.2">
      <c r="A8" s="2" t="s">
        <v>25</v>
      </c>
      <c r="B8" s="5"/>
      <c r="C8" s="5"/>
      <c r="D8" s="5"/>
      <c r="E8" s="5"/>
      <c r="F8" s="5"/>
      <c r="G8" s="5"/>
      <c r="H8" s="5">
        <v>0.03</v>
      </c>
      <c r="I8" s="5"/>
      <c r="J8" s="5">
        <v>2.5000000000000001E-2</v>
      </c>
      <c r="K8" s="5"/>
      <c r="L8" s="5">
        <v>1.4999999999999999E-2</v>
      </c>
      <c r="M8" s="5"/>
      <c r="N8" s="5">
        <v>1.4999999999999999E-2</v>
      </c>
      <c r="O8" s="5"/>
      <c r="P8" s="5">
        <v>1.4999999999999999E-2</v>
      </c>
      <c r="Q8" s="5"/>
      <c r="R8" s="5">
        <v>1.4999999999999999E-2</v>
      </c>
      <c r="S8" s="5"/>
      <c r="T8" s="5">
        <v>1.4999999999999999E-2</v>
      </c>
    </row>
    <row r="9" spans="1:20" x14ac:dyDescent="0.2">
      <c r="A9" s="2" t="s">
        <v>26</v>
      </c>
      <c r="B9" s="5"/>
      <c r="C9" s="5"/>
      <c r="D9" s="5"/>
      <c r="E9" s="5"/>
      <c r="F9" s="5"/>
      <c r="G9" s="5"/>
      <c r="H9" s="5"/>
      <c r="I9" s="5"/>
      <c r="J9" s="5">
        <v>0.03</v>
      </c>
      <c r="K9" s="5"/>
      <c r="L9" s="5">
        <v>2.5000000000000001E-2</v>
      </c>
      <c r="M9" s="5"/>
      <c r="N9" s="5">
        <v>1.4999999999999999E-2</v>
      </c>
      <c r="O9" s="5"/>
      <c r="P9" s="5">
        <v>1.4999999999999999E-2</v>
      </c>
      <c r="Q9" s="5"/>
      <c r="R9" s="5">
        <v>1.4999999999999999E-2</v>
      </c>
      <c r="S9" s="5"/>
      <c r="T9" s="5">
        <v>1.4999999999999999E-2</v>
      </c>
    </row>
    <row r="10" spans="1:20" x14ac:dyDescent="0.2">
      <c r="A10" s="2" t="s">
        <v>27</v>
      </c>
      <c r="B10" s="5"/>
      <c r="C10" s="5"/>
      <c r="D10" s="5"/>
      <c r="E10" s="5"/>
      <c r="F10" s="5"/>
      <c r="G10" s="5"/>
      <c r="H10" s="5"/>
      <c r="I10" s="5"/>
      <c r="J10" s="5">
        <v>0.03</v>
      </c>
      <c r="K10" s="5"/>
      <c r="L10" s="5">
        <v>2.5000000000000001E-2</v>
      </c>
      <c r="M10" s="5"/>
      <c r="N10" s="5">
        <v>1.4999999999999999E-2</v>
      </c>
      <c r="O10" s="5"/>
      <c r="P10" s="5">
        <v>1.4999999999999999E-2</v>
      </c>
      <c r="Q10" s="5"/>
      <c r="R10" s="5">
        <v>1.4999999999999999E-2</v>
      </c>
      <c r="S10" s="5"/>
      <c r="T10" s="5">
        <v>1.4999999999999999E-2</v>
      </c>
    </row>
    <row r="11" spans="1:20" s="6" customFormat="1" ht="15.75" x14ac:dyDescent="0.25">
      <c r="A11" s="1" t="s">
        <v>9</v>
      </c>
      <c r="B11" s="7">
        <f>AVERAGE(B4)</f>
        <v>3.5000000000000003E-2</v>
      </c>
      <c r="C11" s="7"/>
      <c r="D11" s="7">
        <f>AVERAGE(D4:D5)</f>
        <v>0.03</v>
      </c>
      <c r="E11" s="7"/>
      <c r="F11" s="7">
        <f>AVERAGE(F4:F6)</f>
        <v>2.6666666666666668E-2</v>
      </c>
      <c r="G11" s="7"/>
      <c r="H11" s="7">
        <f>AVERAGE(H4:H8)</f>
        <v>2.3E-2</v>
      </c>
      <c r="I11" s="7"/>
      <c r="J11" s="7">
        <f>AVERAGE(J4:J10)</f>
        <v>2.2142857142857141E-2</v>
      </c>
      <c r="K11" s="7"/>
      <c r="L11" s="7">
        <f>AVERAGE(L4:L10)</f>
        <v>1.7857142857142856E-2</v>
      </c>
      <c r="M11" s="7"/>
      <c r="N11" s="7">
        <f>AVERAGE(N4:N10)</f>
        <v>1.4999999999999999E-2</v>
      </c>
      <c r="O11" s="7"/>
      <c r="P11" s="7">
        <f>AVERAGE(P4:P10)</f>
        <v>1.4999999999999999E-2</v>
      </c>
      <c r="Q11" s="7"/>
      <c r="R11" s="7">
        <f>AVERAGE(R4:R10)</f>
        <v>1.4999999999999999E-2</v>
      </c>
      <c r="S11" s="7"/>
      <c r="T11" s="7">
        <f>AVERAGE(T4:T10)</f>
        <v>1.4999999999999999E-2</v>
      </c>
    </row>
  </sheetData>
  <phoneticPr fontId="10" type="noConversion"/>
  <printOptions gridLines="1" gridLinesSet="0"/>
  <pageMargins left="0.75" right="0.75" top="1" bottom="1" header="0.511811024" footer="0.511811024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7</vt:i4>
      </vt:variant>
    </vt:vector>
  </HeadingPairs>
  <TitlesOfParts>
    <vt:vector size="23" baseType="lpstr">
      <vt:lpstr>Materiales</vt:lpstr>
      <vt:lpstr>C. Producción</vt:lpstr>
      <vt:lpstr>Produccion diseño</vt:lpstr>
      <vt:lpstr>C. fijos</vt:lpstr>
      <vt:lpstr>C. Inic. MP</vt:lpstr>
      <vt:lpstr>Inversion Inicial</vt:lpstr>
      <vt:lpstr>Resúmen</vt:lpstr>
      <vt:lpstr>Parámetros</vt:lpstr>
      <vt:lpstr>PUBLI.</vt:lpstr>
      <vt:lpstr>FLUJO</vt:lpstr>
      <vt:lpstr>PyG</vt:lpstr>
      <vt:lpstr>BALANCE</vt:lpstr>
      <vt:lpstr>VEA</vt:lpstr>
      <vt:lpstr>INDICADORES</vt:lpstr>
      <vt:lpstr>FCLO</vt:lpstr>
      <vt:lpstr>Amortización</vt:lpstr>
      <vt:lpstr>BALANCE!Área_de_impresión</vt:lpstr>
      <vt:lpstr>FCLO!Área_de_impresión</vt:lpstr>
      <vt:lpstr>FLUJO!Área_de_impresión</vt:lpstr>
      <vt:lpstr>INDICADORES!Área_de_impresión</vt:lpstr>
      <vt:lpstr>Parámetros!Área_de_impresión</vt:lpstr>
      <vt:lpstr>PyG!Área_de_impresión</vt:lpstr>
      <vt:lpstr>VEA!Área_de_impresión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Agrovet Modelo</dc:title>
  <dc:subject>Valoraciòn contratada por Libor Corporation</dc:subject>
  <dc:creator>Walter Moreno y Natalia Villalba</dc:creator>
  <cp:lastModifiedBy>Auxiliares Biblioteca Angelico</cp:lastModifiedBy>
  <cp:lastPrinted>2021-04-22T15:54:05Z</cp:lastPrinted>
  <dcterms:created xsi:type="dcterms:W3CDTF">1999-11-15T15:24:29Z</dcterms:created>
  <dcterms:modified xsi:type="dcterms:W3CDTF">2021-04-22T15:54:11Z</dcterms:modified>
</cp:coreProperties>
</file>