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User1/Desktop/Documentos Tesis-Juan Reyes/"/>
    </mc:Choice>
  </mc:AlternateContent>
  <xr:revisionPtr revIDLastSave="0" documentId="13_ncr:1_{C5C578F9-5D10-4742-94C9-DAFBDA2D8D51}" xr6:coauthVersionLast="47" xr6:coauthVersionMax="47" xr10:uidLastSave="{00000000-0000-0000-0000-000000000000}"/>
  <bookViews>
    <workbookView xWindow="0" yWindow="500" windowWidth="28800" windowHeight="16220" activeTab="5" xr2:uid="{22AC65DD-7B6D-4802-8446-26597EB81082}"/>
  </bookViews>
  <sheets>
    <sheet name="PC C1" sheetId="2" r:id="rId1"/>
    <sheet name="PC C2" sheetId="3" r:id="rId2"/>
    <sheet name="PC C1 aislante" sheetId="1" r:id="rId3"/>
    <sheet name="PC C2 aislante" sheetId="4" r:id="rId4"/>
    <sheet name="Perdidas y recuperacion de carb" sheetId="5" r:id="rId5"/>
    <sheet name="Cuantificación PC niveles" sheetId="7" r:id="rId6"/>
    <sheet name="Cuantificación PC aisl niv" sheetId="8" r:id="rId7"/>
    <sheet name="Costo de inversion" sheetId="6" r:id="rId8"/>
    <sheet name="Desviación cam sin aislt" sheetId="9" r:id="rId9"/>
  </sheets>
  <definedNames>
    <definedName name="_xlchart.v2.0" hidden="1">'Cuantificación PC niveles'!$T$28</definedName>
    <definedName name="_xlchart.v2.1" hidden="1">'Cuantificación PC niveles'!$T$30:$T$34</definedName>
    <definedName name="_xlchart.v2.2" hidden="1">'Cuantificación PC niveles'!$U$28</definedName>
    <definedName name="_xlchart.v2.3" hidden="1">'Cuantificación PC niveles'!$U$30:$U$34</definedName>
    <definedName name="_xlchart.v2.4" hidden="1">'Cuantificación PC niveles'!$V$28</definedName>
    <definedName name="_xlchart.v2.5" hidden="1">'Cuantificación PC niveles'!$V$30:$V$34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31" i="7" l="1"/>
  <c r="V32" i="7"/>
  <c r="V33" i="7"/>
  <c r="V34" i="7"/>
  <c r="V30" i="7"/>
  <c r="U31" i="7"/>
  <c r="U32" i="7"/>
  <c r="U33" i="7"/>
  <c r="U34" i="7"/>
  <c r="U30" i="7"/>
  <c r="R31" i="7"/>
  <c r="R32" i="7"/>
  <c r="R33" i="7"/>
  <c r="R34" i="7"/>
  <c r="R30" i="7"/>
  <c r="Q31" i="7"/>
  <c r="Q32" i="7"/>
  <c r="Q33" i="7"/>
  <c r="Q34" i="7"/>
  <c r="Q30" i="7"/>
  <c r="N30" i="7"/>
  <c r="R8" i="6"/>
  <c r="Q12" i="8"/>
  <c r="R11" i="6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5" i="1"/>
  <c r="AB6" i="1"/>
  <c r="AB7" i="1"/>
  <c r="AB8" i="1"/>
  <c r="AB9" i="1"/>
  <c r="AB10" i="1"/>
  <c r="AB11" i="1"/>
  <c r="AB12" i="1"/>
  <c r="AB13" i="1"/>
  <c r="AB14" i="1"/>
  <c r="AB15" i="1"/>
  <c r="AB4" i="1"/>
  <c r="N26" i="7"/>
  <c r="M26" i="7"/>
  <c r="E6" i="7"/>
  <c r="E7" i="7"/>
  <c r="I12" i="7"/>
  <c r="B6" i="7"/>
  <c r="C6" i="7" s="1"/>
  <c r="G16" i="7" s="1"/>
  <c r="K5" i="9"/>
  <c r="S5" i="9"/>
  <c r="G5" i="9"/>
  <c r="L4" i="9" s="1"/>
  <c r="Q22" i="5"/>
  <c r="P22" i="5"/>
  <c r="P21" i="5"/>
  <c r="L7" i="9" l="1"/>
  <c r="L5" i="9"/>
  <c r="H32" i="8"/>
  <c r="L5" i="4" l="1"/>
  <c r="L6" i="4"/>
  <c r="L7" i="4"/>
  <c r="M7" i="4" s="1"/>
  <c r="N7" i="4" s="1"/>
  <c r="L8" i="4"/>
  <c r="L9" i="4"/>
  <c r="L10" i="4"/>
  <c r="L11" i="4"/>
  <c r="M11" i="4" s="1"/>
  <c r="N11" i="4" s="1"/>
  <c r="L12" i="4"/>
  <c r="L13" i="4"/>
  <c r="L14" i="4"/>
  <c r="L15" i="4"/>
  <c r="M15" i="4" s="1"/>
  <c r="N15" i="4" s="1"/>
  <c r="L16" i="4"/>
  <c r="L17" i="4"/>
  <c r="L18" i="4"/>
  <c r="L19" i="4"/>
  <c r="M19" i="4" s="1"/>
  <c r="N19" i="4" s="1"/>
  <c r="L20" i="4"/>
  <c r="L21" i="4"/>
  <c r="L22" i="4"/>
  <c r="L23" i="4"/>
  <c r="M23" i="4" s="1"/>
  <c r="N23" i="4" s="1"/>
  <c r="L24" i="4"/>
  <c r="L25" i="4"/>
  <c r="L26" i="4"/>
  <c r="L27" i="4"/>
  <c r="M27" i="4" s="1"/>
  <c r="N27" i="4" s="1"/>
  <c r="L28" i="4"/>
  <c r="L29" i="4"/>
  <c r="L30" i="4"/>
  <c r="L31" i="4"/>
  <c r="M31" i="4" s="1"/>
  <c r="N31" i="4" s="1"/>
  <c r="L32" i="4"/>
  <c r="L33" i="4"/>
  <c r="L34" i="4"/>
  <c r="L35" i="4"/>
  <c r="M35" i="4" s="1"/>
  <c r="N35" i="4" s="1"/>
  <c r="L36" i="4"/>
  <c r="L37" i="4"/>
  <c r="L38" i="4"/>
  <c r="L39" i="4"/>
  <c r="M39" i="4" s="1"/>
  <c r="N39" i="4" s="1"/>
  <c r="L40" i="4"/>
  <c r="L41" i="4"/>
  <c r="L42" i="4"/>
  <c r="L43" i="4"/>
  <c r="M43" i="4" s="1"/>
  <c r="N43" i="4" s="1"/>
  <c r="L44" i="4"/>
  <c r="L45" i="4"/>
  <c r="L46" i="4"/>
  <c r="L47" i="4"/>
  <c r="M47" i="4" s="1"/>
  <c r="N47" i="4" s="1"/>
  <c r="L48" i="4"/>
  <c r="L49" i="4"/>
  <c r="L50" i="4"/>
  <c r="L51" i="4"/>
  <c r="M51" i="4" s="1"/>
  <c r="N51" i="4" s="1"/>
  <c r="L52" i="4"/>
  <c r="L53" i="4"/>
  <c r="L54" i="4"/>
  <c r="L55" i="4"/>
  <c r="M55" i="4" s="1"/>
  <c r="N55" i="4" s="1"/>
  <c r="L56" i="4"/>
  <c r="L57" i="4"/>
  <c r="L58" i="4"/>
  <c r="L59" i="4"/>
  <c r="M59" i="4" s="1"/>
  <c r="N59" i="4" s="1"/>
  <c r="L60" i="4"/>
  <c r="L61" i="4"/>
  <c r="L62" i="4"/>
  <c r="L63" i="4"/>
  <c r="M63" i="4" s="1"/>
  <c r="N63" i="4" s="1"/>
  <c r="L64" i="4"/>
  <c r="L65" i="4"/>
  <c r="L66" i="4"/>
  <c r="L67" i="4"/>
  <c r="M67" i="4" s="1"/>
  <c r="N67" i="4" s="1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M91" i="4" s="1"/>
  <c r="N91" i="4" s="1"/>
  <c r="L92" i="4"/>
  <c r="L93" i="4"/>
  <c r="L94" i="4"/>
  <c r="L95" i="4"/>
  <c r="M95" i="4" s="1"/>
  <c r="N95" i="4" s="1"/>
  <c r="L96" i="4"/>
  <c r="L97" i="4"/>
  <c r="L98" i="4"/>
  <c r="L99" i="4"/>
  <c r="M99" i="4" s="1"/>
  <c r="N99" i="4" s="1"/>
  <c r="L100" i="4"/>
  <c r="L101" i="4"/>
  <c r="L102" i="4"/>
  <c r="L103" i="4"/>
  <c r="M103" i="4" s="1"/>
  <c r="N103" i="4" s="1"/>
  <c r="L104" i="4"/>
  <c r="L105" i="4"/>
  <c r="L106" i="4"/>
  <c r="L107" i="4"/>
  <c r="M107" i="4" s="1"/>
  <c r="N107" i="4" s="1"/>
  <c r="L108" i="4"/>
  <c r="L109" i="4"/>
  <c r="L110" i="4"/>
  <c r="L111" i="4"/>
  <c r="M111" i="4" s="1"/>
  <c r="N111" i="4" s="1"/>
  <c r="L112" i="4"/>
  <c r="L113" i="4"/>
  <c r="L114" i="4"/>
  <c r="L115" i="4"/>
  <c r="M115" i="4" s="1"/>
  <c r="N115" i="4" s="1"/>
  <c r="L116" i="4"/>
  <c r="L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4" i="4"/>
  <c r="K4" i="1"/>
  <c r="L5" i="1"/>
  <c r="L6" i="1"/>
  <c r="L7" i="1"/>
  <c r="L8" i="1"/>
  <c r="M8" i="1" s="1"/>
  <c r="N8" i="1" s="1"/>
  <c r="L9" i="1"/>
  <c r="L10" i="1"/>
  <c r="L11" i="1"/>
  <c r="L12" i="1"/>
  <c r="M12" i="1" s="1"/>
  <c r="N12" i="1" s="1"/>
  <c r="L13" i="1"/>
  <c r="L14" i="1"/>
  <c r="L15" i="1"/>
  <c r="L16" i="1"/>
  <c r="L17" i="1"/>
  <c r="L18" i="1"/>
  <c r="L19" i="1"/>
  <c r="L20" i="1"/>
  <c r="M20" i="1" s="1"/>
  <c r="N20" i="1" s="1"/>
  <c r="L21" i="1"/>
  <c r="L22" i="1"/>
  <c r="L23" i="1"/>
  <c r="L24" i="1"/>
  <c r="L25" i="1"/>
  <c r="L26" i="1"/>
  <c r="L27" i="1"/>
  <c r="L28" i="1"/>
  <c r="M28" i="1" s="1"/>
  <c r="N28" i="1" s="1"/>
  <c r="L29" i="1"/>
  <c r="L30" i="1"/>
  <c r="L31" i="1"/>
  <c r="L32" i="1"/>
  <c r="L33" i="1"/>
  <c r="L34" i="1"/>
  <c r="L35" i="1"/>
  <c r="L36" i="1"/>
  <c r="M36" i="1" s="1"/>
  <c r="N36" i="1" s="1"/>
  <c r="L37" i="1"/>
  <c r="L38" i="1"/>
  <c r="L39" i="1"/>
  <c r="L40" i="1"/>
  <c r="L41" i="1"/>
  <c r="L42" i="1"/>
  <c r="L43" i="1"/>
  <c r="L44" i="1"/>
  <c r="M44" i="1" s="1"/>
  <c r="N44" i="1" s="1"/>
  <c r="L45" i="1"/>
  <c r="L46" i="1"/>
  <c r="L47" i="1"/>
  <c r="L48" i="1"/>
  <c r="L49" i="1"/>
  <c r="L50" i="1"/>
  <c r="L51" i="1"/>
  <c r="L52" i="1"/>
  <c r="M52" i="1" s="1"/>
  <c r="N52" i="1" s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4" i="1"/>
  <c r="K6" i="1"/>
  <c r="K7" i="1"/>
  <c r="M7" i="1" s="1"/>
  <c r="N7" i="1" s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5" i="1"/>
  <c r="I22" i="7"/>
  <c r="I21" i="7"/>
  <c r="I20" i="7"/>
  <c r="I19" i="7"/>
  <c r="I18" i="7"/>
  <c r="I16" i="7"/>
  <c r="M101" i="1" l="1"/>
  <c r="N101" i="1" s="1"/>
  <c r="M97" i="1"/>
  <c r="N97" i="1" s="1"/>
  <c r="M93" i="1"/>
  <c r="N93" i="1" s="1"/>
  <c r="M89" i="1"/>
  <c r="N89" i="1" s="1"/>
  <c r="M85" i="1"/>
  <c r="N85" i="1" s="1"/>
  <c r="M81" i="1"/>
  <c r="N81" i="1" s="1"/>
  <c r="M77" i="1"/>
  <c r="N77" i="1" s="1"/>
  <c r="M73" i="1"/>
  <c r="N73" i="1" s="1"/>
  <c r="M69" i="1"/>
  <c r="N69" i="1" s="1"/>
  <c r="M65" i="1"/>
  <c r="N65" i="1" s="1"/>
  <c r="M61" i="1"/>
  <c r="N61" i="1" s="1"/>
  <c r="M57" i="1"/>
  <c r="N57" i="1" s="1"/>
  <c r="M53" i="1"/>
  <c r="N53" i="1" s="1"/>
  <c r="M49" i="1"/>
  <c r="N49" i="1" s="1"/>
  <c r="M45" i="1"/>
  <c r="N45" i="1" s="1"/>
  <c r="M41" i="1"/>
  <c r="N41" i="1" s="1"/>
  <c r="M37" i="1"/>
  <c r="N37" i="1" s="1"/>
  <c r="M33" i="1"/>
  <c r="N33" i="1" s="1"/>
  <c r="M29" i="1"/>
  <c r="N29" i="1" s="1"/>
  <c r="M25" i="1"/>
  <c r="N25" i="1" s="1"/>
  <c r="M21" i="1"/>
  <c r="N21" i="1" s="1"/>
  <c r="M17" i="1"/>
  <c r="N17" i="1" s="1"/>
  <c r="M13" i="1"/>
  <c r="N13" i="1" s="1"/>
  <c r="M87" i="4"/>
  <c r="N87" i="4" s="1"/>
  <c r="M79" i="4"/>
  <c r="N79" i="4" s="1"/>
  <c r="M71" i="4"/>
  <c r="N71" i="4" s="1"/>
  <c r="M116" i="4"/>
  <c r="N116" i="4" s="1"/>
  <c r="M112" i="4"/>
  <c r="N112" i="4" s="1"/>
  <c r="M108" i="4"/>
  <c r="N108" i="4" s="1"/>
  <c r="M104" i="4"/>
  <c r="N104" i="4" s="1"/>
  <c r="M100" i="4"/>
  <c r="N100" i="4" s="1"/>
  <c r="M96" i="4"/>
  <c r="N96" i="4" s="1"/>
  <c r="M92" i="4"/>
  <c r="N92" i="4" s="1"/>
  <c r="M68" i="4"/>
  <c r="N68" i="4" s="1"/>
  <c r="M64" i="4"/>
  <c r="N64" i="4" s="1"/>
  <c r="M60" i="4"/>
  <c r="N60" i="4" s="1"/>
  <c r="M56" i="4"/>
  <c r="N56" i="4" s="1"/>
  <c r="M52" i="4"/>
  <c r="N52" i="4" s="1"/>
  <c r="M48" i="4"/>
  <c r="N48" i="4" s="1"/>
  <c r="M44" i="4"/>
  <c r="N44" i="4" s="1"/>
  <c r="M40" i="4"/>
  <c r="N40" i="4" s="1"/>
  <c r="M36" i="4"/>
  <c r="N36" i="4" s="1"/>
  <c r="M32" i="4"/>
  <c r="N32" i="4" s="1"/>
  <c r="M28" i="4"/>
  <c r="N28" i="4" s="1"/>
  <c r="M24" i="4"/>
  <c r="N24" i="4" s="1"/>
  <c r="M20" i="4"/>
  <c r="N20" i="4" s="1"/>
  <c r="M16" i="4"/>
  <c r="N16" i="4" s="1"/>
  <c r="M12" i="4"/>
  <c r="N12" i="4" s="1"/>
  <c r="M8" i="4"/>
  <c r="N8" i="4" s="1"/>
  <c r="M4" i="1"/>
  <c r="N4" i="1" s="1"/>
  <c r="M99" i="1"/>
  <c r="N99" i="1" s="1"/>
  <c r="M95" i="1"/>
  <c r="N95" i="1" s="1"/>
  <c r="M91" i="1"/>
  <c r="N91" i="1" s="1"/>
  <c r="M87" i="1"/>
  <c r="N87" i="1" s="1"/>
  <c r="M83" i="1"/>
  <c r="N83" i="1" s="1"/>
  <c r="M79" i="1"/>
  <c r="N79" i="1" s="1"/>
  <c r="M75" i="1"/>
  <c r="N75" i="1" s="1"/>
  <c r="M71" i="1"/>
  <c r="N71" i="1" s="1"/>
  <c r="M67" i="1"/>
  <c r="N67" i="1" s="1"/>
  <c r="M63" i="1"/>
  <c r="N63" i="1" s="1"/>
  <c r="M59" i="1"/>
  <c r="N59" i="1" s="1"/>
  <c r="M114" i="4"/>
  <c r="N114" i="4" s="1"/>
  <c r="M110" i="4"/>
  <c r="N110" i="4" s="1"/>
  <c r="M106" i="4"/>
  <c r="N106" i="4" s="1"/>
  <c r="M102" i="4"/>
  <c r="N102" i="4" s="1"/>
  <c r="M98" i="4"/>
  <c r="N98" i="4" s="1"/>
  <c r="M94" i="4"/>
  <c r="N94" i="4" s="1"/>
  <c r="M90" i="4"/>
  <c r="N90" i="4" s="1"/>
  <c r="M66" i="4"/>
  <c r="N66" i="4" s="1"/>
  <c r="M62" i="4"/>
  <c r="N62" i="4" s="1"/>
  <c r="M58" i="4"/>
  <c r="N58" i="4" s="1"/>
  <c r="M54" i="4"/>
  <c r="N54" i="4" s="1"/>
  <c r="M50" i="4"/>
  <c r="N50" i="4" s="1"/>
  <c r="M46" i="4"/>
  <c r="N46" i="4" s="1"/>
  <c r="M42" i="4"/>
  <c r="N42" i="4" s="1"/>
  <c r="M38" i="4"/>
  <c r="N38" i="4" s="1"/>
  <c r="M34" i="4"/>
  <c r="N34" i="4" s="1"/>
  <c r="M30" i="4"/>
  <c r="N30" i="4" s="1"/>
  <c r="M26" i="4"/>
  <c r="N26" i="4" s="1"/>
  <c r="M22" i="4"/>
  <c r="N22" i="4" s="1"/>
  <c r="M18" i="4"/>
  <c r="N18" i="4" s="1"/>
  <c r="M14" i="4"/>
  <c r="N14" i="4" s="1"/>
  <c r="M10" i="4"/>
  <c r="N10" i="4" s="1"/>
  <c r="M6" i="4"/>
  <c r="N6" i="4" s="1"/>
  <c r="M100" i="1"/>
  <c r="N100" i="1" s="1"/>
  <c r="M96" i="1"/>
  <c r="N96" i="1" s="1"/>
  <c r="M92" i="1"/>
  <c r="N92" i="1" s="1"/>
  <c r="M88" i="1"/>
  <c r="N88" i="1" s="1"/>
  <c r="M84" i="1"/>
  <c r="N84" i="1" s="1"/>
  <c r="M80" i="1"/>
  <c r="N80" i="1" s="1"/>
  <c r="M76" i="1"/>
  <c r="N76" i="1" s="1"/>
  <c r="M72" i="1"/>
  <c r="N72" i="1" s="1"/>
  <c r="M68" i="1"/>
  <c r="N68" i="1" s="1"/>
  <c r="M64" i="1"/>
  <c r="N64" i="1" s="1"/>
  <c r="M60" i="1"/>
  <c r="N60" i="1" s="1"/>
  <c r="M56" i="1"/>
  <c r="N56" i="1" s="1"/>
  <c r="M48" i="1"/>
  <c r="N48" i="1" s="1"/>
  <c r="M40" i="1"/>
  <c r="N40" i="1" s="1"/>
  <c r="M32" i="1"/>
  <c r="N32" i="1" s="1"/>
  <c r="M24" i="1"/>
  <c r="N24" i="1" s="1"/>
  <c r="M16" i="1"/>
  <c r="N16" i="1" s="1"/>
  <c r="M102" i="1"/>
  <c r="N102" i="1" s="1"/>
  <c r="M98" i="1"/>
  <c r="N98" i="1" s="1"/>
  <c r="M94" i="1"/>
  <c r="N94" i="1" s="1"/>
  <c r="M90" i="1"/>
  <c r="N90" i="1" s="1"/>
  <c r="M86" i="1"/>
  <c r="N86" i="1" s="1"/>
  <c r="M82" i="1"/>
  <c r="N82" i="1" s="1"/>
  <c r="M78" i="1"/>
  <c r="N78" i="1" s="1"/>
  <c r="M74" i="1"/>
  <c r="N74" i="1" s="1"/>
  <c r="M70" i="1"/>
  <c r="N70" i="1" s="1"/>
  <c r="M66" i="1"/>
  <c r="N66" i="1" s="1"/>
  <c r="M62" i="1"/>
  <c r="N62" i="1" s="1"/>
  <c r="M58" i="1"/>
  <c r="N58" i="1" s="1"/>
  <c r="M4" i="4"/>
  <c r="N4" i="4" s="1"/>
  <c r="M113" i="4"/>
  <c r="N113" i="4" s="1"/>
  <c r="M109" i="4"/>
  <c r="N109" i="4" s="1"/>
  <c r="M105" i="4"/>
  <c r="N105" i="4" s="1"/>
  <c r="M101" i="4"/>
  <c r="N101" i="4" s="1"/>
  <c r="M97" i="4"/>
  <c r="N97" i="4" s="1"/>
  <c r="M93" i="4"/>
  <c r="N93" i="4" s="1"/>
  <c r="M69" i="4"/>
  <c r="N69" i="4" s="1"/>
  <c r="M65" i="4"/>
  <c r="N65" i="4" s="1"/>
  <c r="M61" i="4"/>
  <c r="N61" i="4" s="1"/>
  <c r="M57" i="4"/>
  <c r="N57" i="4" s="1"/>
  <c r="M53" i="4"/>
  <c r="N53" i="4" s="1"/>
  <c r="M49" i="4"/>
  <c r="N49" i="4" s="1"/>
  <c r="M45" i="4"/>
  <c r="N45" i="4" s="1"/>
  <c r="M41" i="4"/>
  <c r="N41" i="4" s="1"/>
  <c r="M37" i="4"/>
  <c r="N37" i="4" s="1"/>
  <c r="M33" i="4"/>
  <c r="N33" i="4" s="1"/>
  <c r="M29" i="4"/>
  <c r="N29" i="4" s="1"/>
  <c r="M25" i="4"/>
  <c r="N25" i="4" s="1"/>
  <c r="M21" i="4"/>
  <c r="N21" i="4" s="1"/>
  <c r="M17" i="4"/>
  <c r="N17" i="4" s="1"/>
  <c r="M13" i="4"/>
  <c r="N13" i="4" s="1"/>
  <c r="M9" i="4"/>
  <c r="N9" i="4" s="1"/>
  <c r="M5" i="4"/>
  <c r="N5" i="4" s="1"/>
  <c r="M9" i="1"/>
  <c r="N9" i="1" s="1"/>
  <c r="M5" i="1"/>
  <c r="N5" i="1" s="1"/>
  <c r="M55" i="1"/>
  <c r="N55" i="1" s="1"/>
  <c r="M51" i="1"/>
  <c r="N51" i="1" s="1"/>
  <c r="M47" i="1"/>
  <c r="N47" i="1" s="1"/>
  <c r="M43" i="1"/>
  <c r="N43" i="1" s="1"/>
  <c r="M39" i="1"/>
  <c r="N39" i="1" s="1"/>
  <c r="M35" i="1"/>
  <c r="N35" i="1" s="1"/>
  <c r="M31" i="1"/>
  <c r="N31" i="1" s="1"/>
  <c r="M27" i="1"/>
  <c r="N27" i="1" s="1"/>
  <c r="M23" i="1"/>
  <c r="N23" i="1" s="1"/>
  <c r="M19" i="1"/>
  <c r="N19" i="1" s="1"/>
  <c r="M15" i="1"/>
  <c r="N15" i="1" s="1"/>
  <c r="M11" i="1"/>
  <c r="N11" i="1" s="1"/>
  <c r="M54" i="1"/>
  <c r="N54" i="1" s="1"/>
  <c r="M50" i="1"/>
  <c r="N50" i="1" s="1"/>
  <c r="M46" i="1"/>
  <c r="N46" i="1" s="1"/>
  <c r="M42" i="1"/>
  <c r="N42" i="1" s="1"/>
  <c r="M38" i="1"/>
  <c r="N38" i="1" s="1"/>
  <c r="M34" i="1"/>
  <c r="N34" i="1" s="1"/>
  <c r="M30" i="1"/>
  <c r="N30" i="1" s="1"/>
  <c r="M26" i="1"/>
  <c r="N26" i="1" s="1"/>
  <c r="M22" i="1"/>
  <c r="N22" i="1" s="1"/>
  <c r="M18" i="1"/>
  <c r="N18" i="1" s="1"/>
  <c r="M14" i="1"/>
  <c r="N14" i="1" s="1"/>
  <c r="M10" i="1"/>
  <c r="N10" i="1" s="1"/>
  <c r="M6" i="1"/>
  <c r="N6" i="1" s="1"/>
  <c r="M75" i="4"/>
  <c r="N75" i="4" s="1"/>
  <c r="M83" i="4"/>
  <c r="N83" i="4" s="1"/>
  <c r="M86" i="4"/>
  <c r="N86" i="4" s="1"/>
  <c r="M82" i="4"/>
  <c r="N82" i="4" s="1"/>
  <c r="M78" i="4"/>
  <c r="N78" i="4" s="1"/>
  <c r="M74" i="4"/>
  <c r="N74" i="4" s="1"/>
  <c r="M70" i="4"/>
  <c r="N70" i="4" s="1"/>
  <c r="M89" i="4"/>
  <c r="N89" i="4" s="1"/>
  <c r="M85" i="4"/>
  <c r="N85" i="4" s="1"/>
  <c r="M81" i="4"/>
  <c r="N81" i="4" s="1"/>
  <c r="M77" i="4"/>
  <c r="N77" i="4" s="1"/>
  <c r="M73" i="4"/>
  <c r="N73" i="4" s="1"/>
  <c r="M88" i="4"/>
  <c r="N88" i="4" s="1"/>
  <c r="M84" i="4"/>
  <c r="N84" i="4" s="1"/>
  <c r="M80" i="4"/>
  <c r="N80" i="4" s="1"/>
  <c r="M76" i="4"/>
  <c r="N76" i="4" s="1"/>
  <c r="M72" i="4"/>
  <c r="N72" i="4" s="1"/>
  <c r="T22" i="3"/>
  <c r="T23" i="3"/>
  <c r="T4" i="3"/>
  <c r="H20" i="6" l="1"/>
  <c r="O94" i="4"/>
  <c r="P94" i="4" s="1"/>
  <c r="O5" i="4"/>
  <c r="P5" i="4" s="1"/>
  <c r="O6" i="4"/>
  <c r="P6" i="4" s="1"/>
  <c r="O7" i="4"/>
  <c r="P7" i="4" s="1"/>
  <c r="O8" i="4"/>
  <c r="P8" i="4" s="1"/>
  <c r="O9" i="4"/>
  <c r="P9" i="4" s="1"/>
  <c r="O10" i="4"/>
  <c r="P10" i="4" s="1"/>
  <c r="O11" i="4"/>
  <c r="P11" i="4" s="1"/>
  <c r="O12" i="4"/>
  <c r="P12" i="4" s="1"/>
  <c r="O13" i="4"/>
  <c r="P13" i="4" s="1"/>
  <c r="O14" i="4"/>
  <c r="P14" i="4" s="1"/>
  <c r="O15" i="4"/>
  <c r="P15" i="4" s="1"/>
  <c r="O16" i="4"/>
  <c r="P16" i="4" s="1"/>
  <c r="O17" i="4"/>
  <c r="P17" i="4" s="1"/>
  <c r="O18" i="4"/>
  <c r="P18" i="4" s="1"/>
  <c r="O19" i="4"/>
  <c r="P19" i="4" s="1"/>
  <c r="O20" i="4"/>
  <c r="P20" i="4" s="1"/>
  <c r="O21" i="4"/>
  <c r="P21" i="4" s="1"/>
  <c r="O22" i="4"/>
  <c r="P22" i="4" s="1"/>
  <c r="O23" i="4"/>
  <c r="P23" i="4" s="1"/>
  <c r="O24" i="4"/>
  <c r="P24" i="4" s="1"/>
  <c r="O25" i="4"/>
  <c r="P25" i="4" s="1"/>
  <c r="O26" i="4"/>
  <c r="P26" i="4" s="1"/>
  <c r="O27" i="4"/>
  <c r="P27" i="4" s="1"/>
  <c r="O28" i="4"/>
  <c r="P28" i="4" s="1"/>
  <c r="O29" i="4"/>
  <c r="P29" i="4" s="1"/>
  <c r="O30" i="4"/>
  <c r="P30" i="4" s="1"/>
  <c r="O31" i="4"/>
  <c r="P31" i="4" s="1"/>
  <c r="O32" i="4"/>
  <c r="P32" i="4" s="1"/>
  <c r="O33" i="4"/>
  <c r="P33" i="4" s="1"/>
  <c r="O34" i="4"/>
  <c r="P34" i="4" s="1"/>
  <c r="O35" i="4"/>
  <c r="P35" i="4" s="1"/>
  <c r="O36" i="4"/>
  <c r="P36" i="4" s="1"/>
  <c r="O37" i="4"/>
  <c r="P37" i="4" s="1"/>
  <c r="O38" i="4"/>
  <c r="P38" i="4" s="1"/>
  <c r="O39" i="4"/>
  <c r="P39" i="4" s="1"/>
  <c r="O40" i="4"/>
  <c r="P40" i="4" s="1"/>
  <c r="O41" i="4"/>
  <c r="P41" i="4" s="1"/>
  <c r="O42" i="4"/>
  <c r="P42" i="4" s="1"/>
  <c r="O43" i="4"/>
  <c r="P43" i="4" s="1"/>
  <c r="O44" i="4"/>
  <c r="P44" i="4" s="1"/>
  <c r="O45" i="4"/>
  <c r="P45" i="4" s="1"/>
  <c r="O46" i="4"/>
  <c r="P46" i="4" s="1"/>
  <c r="O47" i="4"/>
  <c r="P47" i="4" s="1"/>
  <c r="O48" i="4"/>
  <c r="P48" i="4" s="1"/>
  <c r="O49" i="4"/>
  <c r="P49" i="4" s="1"/>
  <c r="O50" i="4"/>
  <c r="P50" i="4" s="1"/>
  <c r="O51" i="4"/>
  <c r="P51" i="4" s="1"/>
  <c r="O52" i="4"/>
  <c r="P52" i="4" s="1"/>
  <c r="O53" i="4"/>
  <c r="P53" i="4" s="1"/>
  <c r="O54" i="4"/>
  <c r="P54" i="4" s="1"/>
  <c r="O55" i="4"/>
  <c r="P55" i="4" s="1"/>
  <c r="O56" i="4"/>
  <c r="P56" i="4" s="1"/>
  <c r="O57" i="4"/>
  <c r="P57" i="4" s="1"/>
  <c r="O58" i="4"/>
  <c r="P58" i="4" s="1"/>
  <c r="O59" i="4"/>
  <c r="P59" i="4" s="1"/>
  <c r="O60" i="4"/>
  <c r="P60" i="4" s="1"/>
  <c r="O61" i="4"/>
  <c r="P61" i="4" s="1"/>
  <c r="O62" i="4"/>
  <c r="P62" i="4" s="1"/>
  <c r="O63" i="4"/>
  <c r="P63" i="4" s="1"/>
  <c r="O64" i="4"/>
  <c r="P64" i="4" s="1"/>
  <c r="O65" i="4"/>
  <c r="P65" i="4" s="1"/>
  <c r="O66" i="4"/>
  <c r="P66" i="4" s="1"/>
  <c r="O67" i="4"/>
  <c r="P67" i="4" s="1"/>
  <c r="O68" i="4"/>
  <c r="P68" i="4" s="1"/>
  <c r="O69" i="4"/>
  <c r="P69" i="4" s="1"/>
  <c r="O70" i="4"/>
  <c r="P70" i="4" s="1"/>
  <c r="O71" i="4"/>
  <c r="P71" i="4" s="1"/>
  <c r="O72" i="4"/>
  <c r="P72" i="4" s="1"/>
  <c r="O73" i="4"/>
  <c r="P73" i="4" s="1"/>
  <c r="O74" i="4"/>
  <c r="P74" i="4" s="1"/>
  <c r="O75" i="4"/>
  <c r="P75" i="4" s="1"/>
  <c r="O76" i="4"/>
  <c r="P76" i="4" s="1"/>
  <c r="O77" i="4"/>
  <c r="P77" i="4" s="1"/>
  <c r="O78" i="4"/>
  <c r="P78" i="4" s="1"/>
  <c r="O79" i="4"/>
  <c r="P79" i="4" s="1"/>
  <c r="O80" i="4"/>
  <c r="P80" i="4" s="1"/>
  <c r="O81" i="4"/>
  <c r="P81" i="4" s="1"/>
  <c r="O82" i="4"/>
  <c r="P82" i="4" s="1"/>
  <c r="O83" i="4"/>
  <c r="P83" i="4" s="1"/>
  <c r="O84" i="4"/>
  <c r="P84" i="4" s="1"/>
  <c r="O85" i="4"/>
  <c r="P85" i="4" s="1"/>
  <c r="O86" i="4"/>
  <c r="P86" i="4" s="1"/>
  <c r="O87" i="4"/>
  <c r="P87" i="4" s="1"/>
  <c r="O88" i="4"/>
  <c r="P88" i="4" s="1"/>
  <c r="O89" i="4"/>
  <c r="P89" i="4" s="1"/>
  <c r="O90" i="4"/>
  <c r="P90" i="4" s="1"/>
  <c r="O91" i="4"/>
  <c r="P91" i="4" s="1"/>
  <c r="O92" i="4"/>
  <c r="P92" i="4" s="1"/>
  <c r="O93" i="4"/>
  <c r="P93" i="4" s="1"/>
  <c r="O95" i="4"/>
  <c r="P95" i="4" s="1"/>
  <c r="O96" i="4"/>
  <c r="P96" i="4" s="1"/>
  <c r="O97" i="4"/>
  <c r="P97" i="4" s="1"/>
  <c r="O98" i="4"/>
  <c r="P98" i="4" s="1"/>
  <c r="O99" i="4"/>
  <c r="P99" i="4" s="1"/>
  <c r="O100" i="4"/>
  <c r="P100" i="4" s="1"/>
  <c r="O101" i="4"/>
  <c r="P101" i="4" s="1"/>
  <c r="O102" i="4"/>
  <c r="P102" i="4" s="1"/>
  <c r="O103" i="4"/>
  <c r="P103" i="4" s="1"/>
  <c r="O104" i="4"/>
  <c r="P104" i="4" s="1"/>
  <c r="O105" i="4"/>
  <c r="P105" i="4" s="1"/>
  <c r="O106" i="4"/>
  <c r="P106" i="4" s="1"/>
  <c r="O107" i="4"/>
  <c r="P107" i="4" s="1"/>
  <c r="O108" i="4"/>
  <c r="P108" i="4" s="1"/>
  <c r="O109" i="4"/>
  <c r="P109" i="4" s="1"/>
  <c r="O110" i="4"/>
  <c r="P110" i="4" s="1"/>
  <c r="O111" i="4"/>
  <c r="P111" i="4" s="1"/>
  <c r="O112" i="4"/>
  <c r="P112" i="4" s="1"/>
  <c r="O113" i="4"/>
  <c r="P113" i="4" s="1"/>
  <c r="O114" i="4"/>
  <c r="P114" i="4" s="1"/>
  <c r="O115" i="4"/>
  <c r="P115" i="4" s="1"/>
  <c r="O116" i="4"/>
  <c r="P116" i="4" s="1"/>
  <c r="O4" i="4"/>
  <c r="P4" i="4" s="1"/>
  <c r="T103" i="3"/>
  <c r="T104" i="3"/>
  <c r="T105" i="3"/>
  <c r="T106" i="3"/>
  <c r="T107" i="3"/>
  <c r="T108" i="3"/>
  <c r="T109" i="3"/>
  <c r="T110" i="3"/>
  <c r="T111" i="3"/>
  <c r="T112" i="3"/>
  <c r="T113" i="3"/>
  <c r="T114" i="3"/>
  <c r="T115" i="3"/>
  <c r="T116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N103" i="3"/>
  <c r="P103" i="3" s="1"/>
  <c r="N104" i="3"/>
  <c r="P104" i="3" s="1"/>
  <c r="N105" i="3"/>
  <c r="P105" i="3" s="1"/>
  <c r="N106" i="3"/>
  <c r="P106" i="3" s="1"/>
  <c r="N107" i="3"/>
  <c r="P107" i="3" s="1"/>
  <c r="N108" i="3"/>
  <c r="P108" i="3" s="1"/>
  <c r="N109" i="3"/>
  <c r="P109" i="3" s="1"/>
  <c r="N110" i="3"/>
  <c r="P110" i="3" s="1"/>
  <c r="N111" i="3"/>
  <c r="P111" i="3" s="1"/>
  <c r="N112" i="3"/>
  <c r="P112" i="3" s="1"/>
  <c r="N113" i="3"/>
  <c r="P113" i="3" s="1"/>
  <c r="N114" i="3"/>
  <c r="P114" i="3" s="1"/>
  <c r="N115" i="3"/>
  <c r="P115" i="3" s="1"/>
  <c r="N116" i="3"/>
  <c r="P116" i="3" s="1"/>
  <c r="M103" i="3"/>
  <c r="O103" i="3" s="1"/>
  <c r="M104" i="3"/>
  <c r="O104" i="3" s="1"/>
  <c r="M105" i="3"/>
  <c r="O105" i="3" s="1"/>
  <c r="M106" i="3"/>
  <c r="O106" i="3" s="1"/>
  <c r="M107" i="3"/>
  <c r="O107" i="3" s="1"/>
  <c r="M108" i="3"/>
  <c r="O108" i="3" s="1"/>
  <c r="M109" i="3"/>
  <c r="O109" i="3" s="1"/>
  <c r="M110" i="3"/>
  <c r="O110" i="3" s="1"/>
  <c r="M111" i="3"/>
  <c r="O111" i="3" s="1"/>
  <c r="M112" i="3"/>
  <c r="O112" i="3" s="1"/>
  <c r="M113" i="3"/>
  <c r="O113" i="3" s="1"/>
  <c r="M114" i="3"/>
  <c r="O114" i="3" s="1"/>
  <c r="M115" i="3"/>
  <c r="O115" i="3" s="1"/>
  <c r="M116" i="3"/>
  <c r="O116" i="3" s="1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69" i="3"/>
  <c r="T70" i="3"/>
  <c r="T71" i="3"/>
  <c r="T72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0" i="3"/>
  <c r="T101" i="3"/>
  <c r="T102" i="3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4" i="3"/>
  <c r="P5" i="3"/>
  <c r="P13" i="3"/>
  <c r="P21" i="3"/>
  <c r="P29" i="3"/>
  <c r="P37" i="3"/>
  <c r="P53" i="3"/>
  <c r="P69" i="3"/>
  <c r="P85" i="3"/>
  <c r="P101" i="3"/>
  <c r="N5" i="3"/>
  <c r="N6" i="3"/>
  <c r="P6" i="3" s="1"/>
  <c r="N7" i="3"/>
  <c r="P7" i="3" s="1"/>
  <c r="N8" i="3"/>
  <c r="P8" i="3" s="1"/>
  <c r="N9" i="3"/>
  <c r="P9" i="3" s="1"/>
  <c r="N10" i="3"/>
  <c r="P10" i="3" s="1"/>
  <c r="N11" i="3"/>
  <c r="P11" i="3" s="1"/>
  <c r="N12" i="3"/>
  <c r="P12" i="3" s="1"/>
  <c r="N13" i="3"/>
  <c r="N14" i="3"/>
  <c r="P14" i="3" s="1"/>
  <c r="N15" i="3"/>
  <c r="P15" i="3" s="1"/>
  <c r="N16" i="3"/>
  <c r="P16" i="3" s="1"/>
  <c r="N17" i="3"/>
  <c r="P17" i="3" s="1"/>
  <c r="N18" i="3"/>
  <c r="P18" i="3" s="1"/>
  <c r="N19" i="3"/>
  <c r="P19" i="3" s="1"/>
  <c r="N20" i="3"/>
  <c r="P20" i="3" s="1"/>
  <c r="N21" i="3"/>
  <c r="N22" i="3"/>
  <c r="P22" i="3" s="1"/>
  <c r="N23" i="3"/>
  <c r="P23" i="3" s="1"/>
  <c r="N24" i="3"/>
  <c r="P24" i="3" s="1"/>
  <c r="N25" i="3"/>
  <c r="P25" i="3" s="1"/>
  <c r="N26" i="3"/>
  <c r="P26" i="3" s="1"/>
  <c r="N27" i="3"/>
  <c r="P27" i="3" s="1"/>
  <c r="N28" i="3"/>
  <c r="P28" i="3" s="1"/>
  <c r="N29" i="3"/>
  <c r="N30" i="3"/>
  <c r="P30" i="3" s="1"/>
  <c r="N31" i="3"/>
  <c r="P31" i="3" s="1"/>
  <c r="N32" i="3"/>
  <c r="P32" i="3" s="1"/>
  <c r="N33" i="3"/>
  <c r="P33" i="3" s="1"/>
  <c r="N34" i="3"/>
  <c r="P34" i="3" s="1"/>
  <c r="N35" i="3"/>
  <c r="P35" i="3" s="1"/>
  <c r="N36" i="3"/>
  <c r="P36" i="3" s="1"/>
  <c r="N37" i="3"/>
  <c r="N38" i="3"/>
  <c r="P38" i="3" s="1"/>
  <c r="N39" i="3"/>
  <c r="P39" i="3" s="1"/>
  <c r="N40" i="3"/>
  <c r="P40" i="3" s="1"/>
  <c r="N41" i="3"/>
  <c r="P41" i="3" s="1"/>
  <c r="N42" i="3"/>
  <c r="P42" i="3" s="1"/>
  <c r="N43" i="3"/>
  <c r="P43" i="3" s="1"/>
  <c r="N44" i="3"/>
  <c r="P44" i="3" s="1"/>
  <c r="N45" i="3"/>
  <c r="P45" i="3" s="1"/>
  <c r="N46" i="3"/>
  <c r="P46" i="3" s="1"/>
  <c r="N47" i="3"/>
  <c r="P47" i="3" s="1"/>
  <c r="N48" i="3"/>
  <c r="P48" i="3" s="1"/>
  <c r="N49" i="3"/>
  <c r="P49" i="3" s="1"/>
  <c r="N50" i="3"/>
  <c r="P50" i="3" s="1"/>
  <c r="N51" i="3"/>
  <c r="P51" i="3" s="1"/>
  <c r="N52" i="3"/>
  <c r="P52" i="3" s="1"/>
  <c r="N53" i="3"/>
  <c r="N54" i="3"/>
  <c r="P54" i="3" s="1"/>
  <c r="N55" i="3"/>
  <c r="P55" i="3" s="1"/>
  <c r="N56" i="3"/>
  <c r="P56" i="3" s="1"/>
  <c r="N57" i="3"/>
  <c r="P57" i="3" s="1"/>
  <c r="N58" i="3"/>
  <c r="P58" i="3" s="1"/>
  <c r="N59" i="3"/>
  <c r="P59" i="3" s="1"/>
  <c r="N60" i="3"/>
  <c r="P60" i="3" s="1"/>
  <c r="N61" i="3"/>
  <c r="P61" i="3" s="1"/>
  <c r="N62" i="3"/>
  <c r="P62" i="3" s="1"/>
  <c r="N63" i="3"/>
  <c r="P63" i="3" s="1"/>
  <c r="N64" i="3"/>
  <c r="P64" i="3" s="1"/>
  <c r="N65" i="3"/>
  <c r="P65" i="3" s="1"/>
  <c r="N66" i="3"/>
  <c r="P66" i="3" s="1"/>
  <c r="N67" i="3"/>
  <c r="P67" i="3" s="1"/>
  <c r="N68" i="3"/>
  <c r="P68" i="3" s="1"/>
  <c r="N69" i="3"/>
  <c r="N70" i="3"/>
  <c r="P70" i="3" s="1"/>
  <c r="N71" i="3"/>
  <c r="P71" i="3" s="1"/>
  <c r="N72" i="3"/>
  <c r="P72" i="3" s="1"/>
  <c r="N73" i="3"/>
  <c r="P73" i="3" s="1"/>
  <c r="N74" i="3"/>
  <c r="P74" i="3" s="1"/>
  <c r="N75" i="3"/>
  <c r="P75" i="3" s="1"/>
  <c r="N76" i="3"/>
  <c r="P76" i="3" s="1"/>
  <c r="N77" i="3"/>
  <c r="P77" i="3" s="1"/>
  <c r="N78" i="3"/>
  <c r="P78" i="3" s="1"/>
  <c r="N79" i="3"/>
  <c r="P79" i="3" s="1"/>
  <c r="N80" i="3"/>
  <c r="P80" i="3" s="1"/>
  <c r="N81" i="3"/>
  <c r="P81" i="3" s="1"/>
  <c r="N82" i="3"/>
  <c r="P82" i="3" s="1"/>
  <c r="N83" i="3"/>
  <c r="P83" i="3" s="1"/>
  <c r="N84" i="3"/>
  <c r="P84" i="3" s="1"/>
  <c r="N85" i="3"/>
  <c r="N86" i="3"/>
  <c r="P86" i="3" s="1"/>
  <c r="N87" i="3"/>
  <c r="P87" i="3" s="1"/>
  <c r="N88" i="3"/>
  <c r="P88" i="3" s="1"/>
  <c r="N89" i="3"/>
  <c r="P89" i="3" s="1"/>
  <c r="N90" i="3"/>
  <c r="P90" i="3" s="1"/>
  <c r="N91" i="3"/>
  <c r="P91" i="3" s="1"/>
  <c r="N92" i="3"/>
  <c r="P92" i="3" s="1"/>
  <c r="N93" i="3"/>
  <c r="P93" i="3" s="1"/>
  <c r="N94" i="3"/>
  <c r="P94" i="3" s="1"/>
  <c r="N95" i="3"/>
  <c r="P95" i="3" s="1"/>
  <c r="N96" i="3"/>
  <c r="P96" i="3" s="1"/>
  <c r="N97" i="3"/>
  <c r="P97" i="3" s="1"/>
  <c r="N98" i="3"/>
  <c r="P98" i="3" s="1"/>
  <c r="N99" i="3"/>
  <c r="P99" i="3" s="1"/>
  <c r="N100" i="3"/>
  <c r="P100" i="3" s="1"/>
  <c r="N101" i="3"/>
  <c r="N102" i="3"/>
  <c r="P102" i="3" s="1"/>
  <c r="M5" i="3"/>
  <c r="M6" i="3"/>
  <c r="O6" i="3" s="1"/>
  <c r="M7" i="3"/>
  <c r="O7" i="3" s="1"/>
  <c r="M8" i="3"/>
  <c r="O8" i="3" s="1"/>
  <c r="M9" i="3"/>
  <c r="M10" i="3"/>
  <c r="O10" i="3" s="1"/>
  <c r="M11" i="3"/>
  <c r="O11" i="3" s="1"/>
  <c r="M12" i="3"/>
  <c r="O12" i="3" s="1"/>
  <c r="M13" i="3"/>
  <c r="O13" i="3" s="1"/>
  <c r="M14" i="3"/>
  <c r="O14" i="3" s="1"/>
  <c r="M15" i="3"/>
  <c r="O15" i="3" s="1"/>
  <c r="M16" i="3"/>
  <c r="O16" i="3" s="1"/>
  <c r="M17" i="3"/>
  <c r="O17" i="3" s="1"/>
  <c r="M18" i="3"/>
  <c r="O18" i="3" s="1"/>
  <c r="M19" i="3"/>
  <c r="O19" i="3" s="1"/>
  <c r="M20" i="3"/>
  <c r="O20" i="3" s="1"/>
  <c r="M21" i="3"/>
  <c r="M22" i="3"/>
  <c r="O22" i="3" s="1"/>
  <c r="M23" i="3"/>
  <c r="O23" i="3" s="1"/>
  <c r="M24" i="3"/>
  <c r="O24" i="3" s="1"/>
  <c r="M25" i="3"/>
  <c r="M26" i="3"/>
  <c r="O26" i="3" s="1"/>
  <c r="M27" i="3"/>
  <c r="O27" i="3" s="1"/>
  <c r="M28" i="3"/>
  <c r="O28" i="3" s="1"/>
  <c r="M29" i="3"/>
  <c r="O29" i="3" s="1"/>
  <c r="M30" i="3"/>
  <c r="O30" i="3" s="1"/>
  <c r="M31" i="3"/>
  <c r="O31" i="3" s="1"/>
  <c r="M32" i="3"/>
  <c r="O32" i="3" s="1"/>
  <c r="M33" i="3"/>
  <c r="O33" i="3" s="1"/>
  <c r="M34" i="3"/>
  <c r="O34" i="3" s="1"/>
  <c r="M35" i="3"/>
  <c r="O35" i="3" s="1"/>
  <c r="M36" i="3"/>
  <c r="O36" i="3" s="1"/>
  <c r="M37" i="3"/>
  <c r="M38" i="3"/>
  <c r="O38" i="3" s="1"/>
  <c r="M39" i="3"/>
  <c r="O39" i="3" s="1"/>
  <c r="M40" i="3"/>
  <c r="O40" i="3" s="1"/>
  <c r="M41" i="3"/>
  <c r="M42" i="3"/>
  <c r="O42" i="3" s="1"/>
  <c r="M43" i="3"/>
  <c r="O43" i="3" s="1"/>
  <c r="M44" i="3"/>
  <c r="O44" i="3" s="1"/>
  <c r="M45" i="3"/>
  <c r="O45" i="3" s="1"/>
  <c r="M46" i="3"/>
  <c r="O46" i="3" s="1"/>
  <c r="M47" i="3"/>
  <c r="O47" i="3" s="1"/>
  <c r="M48" i="3"/>
  <c r="O48" i="3" s="1"/>
  <c r="M49" i="3"/>
  <c r="O49" i="3" s="1"/>
  <c r="M50" i="3"/>
  <c r="O50" i="3" s="1"/>
  <c r="M51" i="3"/>
  <c r="O51" i="3" s="1"/>
  <c r="M52" i="3"/>
  <c r="O52" i="3" s="1"/>
  <c r="M53" i="3"/>
  <c r="M54" i="3"/>
  <c r="O54" i="3" s="1"/>
  <c r="M55" i="3"/>
  <c r="O55" i="3" s="1"/>
  <c r="M56" i="3"/>
  <c r="O56" i="3" s="1"/>
  <c r="M57" i="3"/>
  <c r="M58" i="3"/>
  <c r="O58" i="3" s="1"/>
  <c r="M59" i="3"/>
  <c r="O59" i="3" s="1"/>
  <c r="M60" i="3"/>
  <c r="O60" i="3" s="1"/>
  <c r="M61" i="3"/>
  <c r="O61" i="3" s="1"/>
  <c r="M62" i="3"/>
  <c r="O62" i="3" s="1"/>
  <c r="M63" i="3"/>
  <c r="O63" i="3" s="1"/>
  <c r="M64" i="3"/>
  <c r="O64" i="3" s="1"/>
  <c r="M65" i="3"/>
  <c r="O65" i="3" s="1"/>
  <c r="M66" i="3"/>
  <c r="O66" i="3" s="1"/>
  <c r="M67" i="3"/>
  <c r="O67" i="3" s="1"/>
  <c r="M68" i="3"/>
  <c r="O68" i="3" s="1"/>
  <c r="M69" i="3"/>
  <c r="M70" i="3"/>
  <c r="O70" i="3" s="1"/>
  <c r="M71" i="3"/>
  <c r="O71" i="3" s="1"/>
  <c r="M72" i="3"/>
  <c r="O72" i="3" s="1"/>
  <c r="M73" i="3"/>
  <c r="M74" i="3"/>
  <c r="O74" i="3" s="1"/>
  <c r="M75" i="3"/>
  <c r="O75" i="3" s="1"/>
  <c r="M76" i="3"/>
  <c r="O76" i="3" s="1"/>
  <c r="M77" i="3"/>
  <c r="O77" i="3" s="1"/>
  <c r="M78" i="3"/>
  <c r="O78" i="3" s="1"/>
  <c r="M79" i="3"/>
  <c r="O79" i="3" s="1"/>
  <c r="M80" i="3"/>
  <c r="O80" i="3" s="1"/>
  <c r="M81" i="3"/>
  <c r="O81" i="3" s="1"/>
  <c r="M82" i="3"/>
  <c r="O82" i="3" s="1"/>
  <c r="M83" i="3"/>
  <c r="O83" i="3" s="1"/>
  <c r="M84" i="3"/>
  <c r="O84" i="3" s="1"/>
  <c r="M85" i="3"/>
  <c r="M86" i="3"/>
  <c r="O86" i="3" s="1"/>
  <c r="M87" i="3"/>
  <c r="O87" i="3" s="1"/>
  <c r="M88" i="3"/>
  <c r="O88" i="3" s="1"/>
  <c r="M89" i="3"/>
  <c r="M90" i="3"/>
  <c r="O90" i="3" s="1"/>
  <c r="M91" i="3"/>
  <c r="O91" i="3" s="1"/>
  <c r="M92" i="3"/>
  <c r="O92" i="3" s="1"/>
  <c r="M93" i="3"/>
  <c r="O93" i="3" s="1"/>
  <c r="M94" i="3"/>
  <c r="O94" i="3" s="1"/>
  <c r="M95" i="3"/>
  <c r="O95" i="3" s="1"/>
  <c r="M96" i="3"/>
  <c r="O96" i="3" s="1"/>
  <c r="M97" i="3"/>
  <c r="O97" i="3" s="1"/>
  <c r="M98" i="3"/>
  <c r="O98" i="3" s="1"/>
  <c r="M99" i="3"/>
  <c r="O99" i="3" s="1"/>
  <c r="M100" i="3"/>
  <c r="O100" i="3" s="1"/>
  <c r="M101" i="3"/>
  <c r="M102" i="3"/>
  <c r="O102" i="3" s="1"/>
  <c r="O5" i="3"/>
  <c r="O9" i="3"/>
  <c r="O21" i="3"/>
  <c r="O25" i="3"/>
  <c r="O37" i="3"/>
  <c r="O41" i="3"/>
  <c r="O53" i="3"/>
  <c r="O57" i="3"/>
  <c r="O69" i="3"/>
  <c r="O73" i="3"/>
  <c r="O85" i="3"/>
  <c r="O89" i="3"/>
  <c r="O101" i="3"/>
  <c r="N4" i="3"/>
  <c r="P4" i="3" s="1"/>
  <c r="M4" i="3"/>
  <c r="O4" i="3" s="1"/>
  <c r="K10" i="3"/>
  <c r="K4" i="3"/>
  <c r="K5" i="3"/>
  <c r="K6" i="3"/>
  <c r="K7" i="3"/>
  <c r="K8" i="3"/>
  <c r="K9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4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54" i="2"/>
  <c r="T55" i="2"/>
  <c r="T56" i="2"/>
  <c r="T57" i="2"/>
  <c r="T58" i="2"/>
  <c r="T59" i="2"/>
  <c r="T60" i="2"/>
  <c r="T61" i="2"/>
  <c r="T62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79" i="2"/>
  <c r="T80" i="2"/>
  <c r="T81" i="2"/>
  <c r="T82" i="2"/>
  <c r="T83" i="2"/>
  <c r="T84" i="2"/>
  <c r="T85" i="2"/>
  <c r="T86" i="2"/>
  <c r="T87" i="2"/>
  <c r="T88" i="2"/>
  <c r="T89" i="2"/>
  <c r="T90" i="2"/>
  <c r="T91" i="2"/>
  <c r="T92" i="2"/>
  <c r="T93" i="2"/>
  <c r="T94" i="2"/>
  <c r="T95" i="2"/>
  <c r="T96" i="2"/>
  <c r="T97" i="2"/>
  <c r="T98" i="2"/>
  <c r="T99" i="2"/>
  <c r="T100" i="2"/>
  <c r="T101" i="2"/>
  <c r="T102" i="2"/>
  <c r="T4" i="2"/>
  <c r="T103" i="2" s="1"/>
  <c r="T117" i="3" l="1"/>
  <c r="T118" i="3" s="1"/>
  <c r="L18" i="7"/>
  <c r="L16" i="7"/>
  <c r="L20" i="7"/>
  <c r="J18" i="8"/>
  <c r="J18" i="7"/>
  <c r="H29" i="7" s="1"/>
  <c r="T104" i="2"/>
  <c r="J20" i="7"/>
  <c r="H31" i="7" s="1"/>
  <c r="L22" i="7"/>
  <c r="L21" i="7"/>
  <c r="L19" i="7"/>
  <c r="J20" i="8"/>
  <c r="J22" i="7"/>
  <c r="H33" i="7" s="1"/>
  <c r="J21" i="7"/>
  <c r="J19" i="7"/>
  <c r="H30" i="7" s="1"/>
  <c r="J22" i="8"/>
  <c r="J19" i="8"/>
  <c r="U9" i="4"/>
  <c r="B7" i="8" s="1"/>
  <c r="C7" i="8" s="1"/>
  <c r="J16" i="8" s="1"/>
  <c r="P117" i="4"/>
  <c r="K117" i="3"/>
  <c r="K118" i="3" s="1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P5" i="1"/>
  <c r="O6" i="1"/>
  <c r="O7" i="1"/>
  <c r="O8" i="1"/>
  <c r="P9" i="1"/>
  <c r="O10" i="1"/>
  <c r="O11" i="1"/>
  <c r="O12" i="1"/>
  <c r="P13" i="1"/>
  <c r="O14" i="1"/>
  <c r="O15" i="1"/>
  <c r="O16" i="1"/>
  <c r="P17" i="1"/>
  <c r="O18" i="1"/>
  <c r="O19" i="1"/>
  <c r="O20" i="1"/>
  <c r="P21" i="1"/>
  <c r="O22" i="1"/>
  <c r="O23" i="1"/>
  <c r="O24" i="1"/>
  <c r="P25" i="1"/>
  <c r="O26" i="1"/>
  <c r="O27" i="1"/>
  <c r="O28" i="1"/>
  <c r="P29" i="1"/>
  <c r="O30" i="1"/>
  <c r="O31" i="1"/>
  <c r="O32" i="1"/>
  <c r="P33" i="1"/>
  <c r="O34" i="1"/>
  <c r="O35" i="1"/>
  <c r="O36" i="1"/>
  <c r="P37" i="1"/>
  <c r="O38" i="1"/>
  <c r="O39" i="1"/>
  <c r="O40" i="1"/>
  <c r="P41" i="1"/>
  <c r="O42" i="1"/>
  <c r="O43" i="1"/>
  <c r="O44" i="1"/>
  <c r="P45" i="1"/>
  <c r="O46" i="1"/>
  <c r="O47" i="1"/>
  <c r="O48" i="1"/>
  <c r="P49" i="1"/>
  <c r="O50" i="1"/>
  <c r="O51" i="1"/>
  <c r="O52" i="1"/>
  <c r="P53" i="1"/>
  <c r="O54" i="1"/>
  <c r="O55" i="1"/>
  <c r="O56" i="1"/>
  <c r="P57" i="1"/>
  <c r="O58" i="1"/>
  <c r="O59" i="1"/>
  <c r="O60" i="1"/>
  <c r="P61" i="1"/>
  <c r="O62" i="1"/>
  <c r="O63" i="1"/>
  <c r="O64" i="1"/>
  <c r="P65" i="1"/>
  <c r="O66" i="1"/>
  <c r="O67" i="1"/>
  <c r="O68" i="1"/>
  <c r="P69" i="1"/>
  <c r="O70" i="1"/>
  <c r="O71" i="1"/>
  <c r="O72" i="1"/>
  <c r="P73" i="1"/>
  <c r="O74" i="1"/>
  <c r="O75" i="1"/>
  <c r="O76" i="1"/>
  <c r="P77" i="1"/>
  <c r="O78" i="1"/>
  <c r="O79" i="1"/>
  <c r="O80" i="1"/>
  <c r="P81" i="1"/>
  <c r="O82" i="1"/>
  <c r="O83" i="1"/>
  <c r="O84" i="1"/>
  <c r="P85" i="1"/>
  <c r="O86" i="1"/>
  <c r="O87" i="1"/>
  <c r="O88" i="1"/>
  <c r="P89" i="1"/>
  <c r="O90" i="1"/>
  <c r="O91" i="1"/>
  <c r="O92" i="1"/>
  <c r="P93" i="1"/>
  <c r="O94" i="1"/>
  <c r="O95" i="1"/>
  <c r="O96" i="1"/>
  <c r="P97" i="1"/>
  <c r="O98" i="1"/>
  <c r="O99" i="1"/>
  <c r="O100" i="1"/>
  <c r="P101" i="1"/>
  <c r="O102" i="1"/>
  <c r="P4" i="1"/>
  <c r="K103" i="2" l="1"/>
  <c r="Y8" i="2" s="1"/>
  <c r="Y13" i="2" s="1"/>
  <c r="G21" i="7"/>
  <c r="G32" i="7" s="1"/>
  <c r="K104" i="2"/>
  <c r="L21" i="8"/>
  <c r="H32" i="7"/>
  <c r="G22" i="7"/>
  <c r="G33" i="7" s="1"/>
  <c r="L19" i="8"/>
  <c r="H30" i="8"/>
  <c r="H29" i="8"/>
  <c r="L18" i="8"/>
  <c r="G18" i="7"/>
  <c r="G29" i="7" s="1"/>
  <c r="G19" i="7"/>
  <c r="G30" i="7" s="1"/>
  <c r="Y12" i="4"/>
  <c r="L22" i="8"/>
  <c r="H33" i="8"/>
  <c r="H31" i="8"/>
  <c r="L20" i="8"/>
  <c r="G20" i="7"/>
  <c r="G31" i="7" s="1"/>
  <c r="U12" i="4"/>
  <c r="Y15" i="4" s="1"/>
  <c r="Y8" i="3"/>
  <c r="O4" i="1"/>
  <c r="P68" i="1"/>
  <c r="P52" i="1"/>
  <c r="P100" i="1"/>
  <c r="P36" i="1"/>
  <c r="P84" i="1"/>
  <c r="P20" i="1"/>
  <c r="O77" i="1"/>
  <c r="O45" i="1"/>
  <c r="O29" i="1"/>
  <c r="O89" i="1"/>
  <c r="O73" i="1"/>
  <c r="O57" i="1"/>
  <c r="O41" i="1"/>
  <c r="O25" i="1"/>
  <c r="O9" i="1"/>
  <c r="P96" i="1"/>
  <c r="P80" i="1"/>
  <c r="P64" i="1"/>
  <c r="P48" i="1"/>
  <c r="P32" i="1"/>
  <c r="P16" i="1"/>
  <c r="O101" i="1"/>
  <c r="O85" i="1"/>
  <c r="O69" i="1"/>
  <c r="O53" i="1"/>
  <c r="O37" i="1"/>
  <c r="O21" i="1"/>
  <c r="O5" i="1"/>
  <c r="P92" i="1"/>
  <c r="P76" i="1"/>
  <c r="P60" i="1"/>
  <c r="P44" i="1"/>
  <c r="P28" i="1"/>
  <c r="P12" i="1"/>
  <c r="O93" i="1"/>
  <c r="O61" i="1"/>
  <c r="O13" i="1"/>
  <c r="O97" i="1"/>
  <c r="O81" i="1"/>
  <c r="O65" i="1"/>
  <c r="O49" i="1"/>
  <c r="O33" i="1"/>
  <c r="O17" i="1"/>
  <c r="P88" i="1"/>
  <c r="P72" i="1"/>
  <c r="P56" i="1"/>
  <c r="P40" i="1"/>
  <c r="P24" i="1"/>
  <c r="P8" i="1"/>
  <c r="P99" i="1"/>
  <c r="P95" i="1"/>
  <c r="P91" i="1"/>
  <c r="P87" i="1"/>
  <c r="P83" i="1"/>
  <c r="P79" i="1"/>
  <c r="P75" i="1"/>
  <c r="P71" i="1"/>
  <c r="P67" i="1"/>
  <c r="P63" i="1"/>
  <c r="P59" i="1"/>
  <c r="P55" i="1"/>
  <c r="P51" i="1"/>
  <c r="P47" i="1"/>
  <c r="P43" i="1"/>
  <c r="P39" i="1"/>
  <c r="P35" i="1"/>
  <c r="P31" i="1"/>
  <c r="P27" i="1"/>
  <c r="P23" i="1"/>
  <c r="P19" i="1"/>
  <c r="P15" i="1"/>
  <c r="P11" i="1"/>
  <c r="P7" i="1"/>
  <c r="P102" i="1"/>
  <c r="P98" i="1"/>
  <c r="P94" i="1"/>
  <c r="P90" i="1"/>
  <c r="P86" i="1"/>
  <c r="P82" i="1"/>
  <c r="P78" i="1"/>
  <c r="P74" i="1"/>
  <c r="P70" i="1"/>
  <c r="P66" i="1"/>
  <c r="G21" i="8" s="1"/>
  <c r="P62" i="1"/>
  <c r="P58" i="1"/>
  <c r="P54" i="1"/>
  <c r="P50" i="1"/>
  <c r="P46" i="1"/>
  <c r="P42" i="1"/>
  <c r="P38" i="1"/>
  <c r="P34" i="1"/>
  <c r="P30" i="1"/>
  <c r="P26" i="1"/>
  <c r="P22" i="1"/>
  <c r="P18" i="1"/>
  <c r="P14" i="1"/>
  <c r="P10" i="1"/>
  <c r="P6" i="1"/>
  <c r="U9" i="1" l="1"/>
  <c r="B6" i="8" s="1"/>
  <c r="I21" i="8"/>
  <c r="G32" i="8"/>
  <c r="C6" i="8"/>
  <c r="G16" i="8" s="1"/>
  <c r="E6" i="8"/>
  <c r="E7" i="8" s="1"/>
  <c r="I12" i="8" s="1"/>
  <c r="Y13" i="3"/>
  <c r="D7" i="5" s="1"/>
  <c r="B7" i="7"/>
  <c r="C7" i="7" s="1"/>
  <c r="J16" i="7" s="1"/>
  <c r="L16" i="8" s="1"/>
  <c r="G18" i="8"/>
  <c r="G20" i="8"/>
  <c r="G22" i="8"/>
  <c r="G19" i="8"/>
  <c r="Y12" i="1"/>
  <c r="G31" i="8" l="1"/>
  <c r="I20" i="8"/>
  <c r="G29" i="8"/>
  <c r="I18" i="8"/>
  <c r="G30" i="8"/>
  <c r="I19" i="8"/>
  <c r="G33" i="8"/>
  <c r="I22" i="8"/>
  <c r="E20" i="5"/>
  <c r="U12" i="1"/>
  <c r="D10" i="5"/>
  <c r="N12" i="5" s="1"/>
  <c r="Y15" i="1"/>
  <c r="I16" i="8"/>
  <c r="E21" i="5" l="1"/>
  <c r="F21" i="5" s="1"/>
  <c r="R17" i="6"/>
  <c r="M7" i="5"/>
</calcChain>
</file>

<file path=xl/sharedStrings.xml><?xml version="1.0" encoding="utf-8"?>
<sst xmlns="http://schemas.openxmlformats.org/spreadsheetml/2006/main" count="312" uniqueCount="188">
  <si>
    <t>Serie</t>
  </si>
  <si>
    <t>Orden</t>
  </si>
  <si>
    <t>Cálculo de pérdidas de calor por Convección</t>
  </si>
  <si>
    <t xml:space="preserve">T.Superficial (C) </t>
  </si>
  <si>
    <t xml:space="preserve">T. Ambiente  ( C ) </t>
  </si>
  <si>
    <t xml:space="preserve">T.Superficial (K) </t>
  </si>
  <si>
    <t xml:space="preserve">T.Ambiente (K) </t>
  </si>
  <si>
    <t>Area sección (m^2)</t>
  </si>
  <si>
    <t>Calor transferido Conv. (J/s)</t>
  </si>
  <si>
    <t>IR-54</t>
  </si>
  <si>
    <t>IR-60</t>
  </si>
  <si>
    <t>IR-62</t>
  </si>
  <si>
    <t>IR-57</t>
  </si>
  <si>
    <t>IR-61</t>
  </si>
  <si>
    <t>IR-56</t>
  </si>
  <si>
    <t>Espesor de manta refractaria (m)</t>
  </si>
  <si>
    <t>K manta refractaria</t>
  </si>
  <si>
    <t>Coef. Convección Re-calculado</t>
  </si>
  <si>
    <t>Temperatura afuera del aislante (K)</t>
  </si>
  <si>
    <t>Temperatura afuera del aislante ©</t>
  </si>
  <si>
    <t>Cálculo de pérdidas de calor por Convección con aislante C1</t>
  </si>
  <si>
    <t>Emisividad</t>
  </si>
  <si>
    <t>Coeficiente S.B.</t>
  </si>
  <si>
    <t>Calor transferido Rad. (J/s)</t>
  </si>
  <si>
    <t>NIVEL #1 CALDERA</t>
  </si>
  <si>
    <t>NIVEL #2 CALDERA</t>
  </si>
  <si>
    <t>NIVEL #3 CALDERA</t>
  </si>
  <si>
    <t>NIVEL #4 CALDERA</t>
  </si>
  <si>
    <t>NIVEL #5 CALDERA</t>
  </si>
  <si>
    <t>Calculo de pérdidas de calor por radiación</t>
  </si>
  <si>
    <t>TOTAL Q CONV</t>
  </si>
  <si>
    <t>TOTAL Q RAD</t>
  </si>
  <si>
    <t>Qtotal (J/S)</t>
  </si>
  <si>
    <t>Toneladas de carbon totales</t>
  </si>
  <si>
    <t>Toneladas de carbón totales</t>
  </si>
  <si>
    <t>% Radiación según Qtotal</t>
  </si>
  <si>
    <t>Reducción de Qtotal (J/S)</t>
  </si>
  <si>
    <t>Ahorro de toneladas de carbón</t>
  </si>
  <si>
    <t>Cálculo de pérdidas de calor por Convección con aislante C2</t>
  </si>
  <si>
    <t>PERDIDAS DE CALOR EN PLANTA TERMICA</t>
  </si>
  <si>
    <t>TONELADAS DE CARBON DIARIAS</t>
  </si>
  <si>
    <t>COSTO DE INVERSIÓN DE PROYECTO</t>
  </si>
  <si>
    <t>PROYECCIÓN ECONÓMICA SEGÚN TON. CARBON</t>
  </si>
  <si>
    <t>LAMINA HOT ROLLED A36-1/4, 1.2 X 6 M (218 m)</t>
  </si>
  <si>
    <t>Monto perdido según Ton. Carbón / Mes</t>
  </si>
  <si>
    <t>PINTURA ECP-100 (10 Uni)</t>
  </si>
  <si>
    <t>MANTA REFRACTARIA CERAMICA ALSITRA S (218 m)</t>
  </si>
  <si>
    <t xml:space="preserve">SUMINISTRO DE PERSONAL SOLDADOR, EQUIPOS Y AUXILIAR SOLDADOR </t>
  </si>
  <si>
    <t>TOTAL:</t>
  </si>
  <si>
    <t>%</t>
  </si>
  <si>
    <t>EFICIENCIA OBTENIDA</t>
  </si>
  <si>
    <t>TONELADAS DE CARBON DIARIAS CON AISLANTE</t>
  </si>
  <si>
    <t>Qtotal C1 (J/S)</t>
  </si>
  <si>
    <t>Qtotal con aislante C1 (J/S)</t>
  </si>
  <si>
    <t>Qtotal con aislante C2 (J/S)</t>
  </si>
  <si>
    <t>Qtotal C2 (J/S)</t>
  </si>
  <si>
    <t>Monto perdido Con aislante según Ton.Carbón / Mes</t>
  </si>
  <si>
    <t>TOTAL Q CONV sin Piso 4</t>
  </si>
  <si>
    <t>TOTAL Q RAD SIN PISO 4</t>
  </si>
  <si>
    <t>sin aislante</t>
  </si>
  <si>
    <t>con asilante</t>
  </si>
  <si>
    <t>Gasto</t>
  </si>
  <si>
    <t>Ahorro</t>
  </si>
  <si>
    <t>Recuperación monetaria con implementación según Ton. Carbón / Mes</t>
  </si>
  <si>
    <t>Perdidas de calor</t>
  </si>
  <si>
    <t>caldera</t>
  </si>
  <si>
    <t>Total de pérdidas de calor en Planta (KW)</t>
  </si>
  <si>
    <t>Pérdidas en equipos e instalaciones de la caldera 1 (KW)</t>
  </si>
  <si>
    <t>Pérdidas en equipos e instalaciones de la caldera 2 (KW)</t>
  </si>
  <si>
    <t>Area total de emisividad en caldera 2 (m^2)</t>
  </si>
  <si>
    <t>Area total de emisividad en caldera 1 (m^2)</t>
  </si>
  <si>
    <t>Niveles</t>
  </si>
  <si>
    <t>c1</t>
  </si>
  <si>
    <t>c2</t>
  </si>
  <si>
    <t>K lamina Hot Rolled</t>
  </si>
  <si>
    <t>R. Aislante</t>
  </si>
  <si>
    <t>Espesor Lamina hot rolled (m)</t>
  </si>
  <si>
    <t>R.Lamina Hot Rolled</t>
  </si>
  <si>
    <t>R.Total</t>
  </si>
  <si>
    <t>Porcentaje de recuperación según las pérdidas sin aislante</t>
  </si>
  <si>
    <t>c1 con aislante</t>
  </si>
  <si>
    <t>c2 con aislante</t>
  </si>
  <si>
    <t>h</t>
  </si>
  <si>
    <t>e</t>
  </si>
  <si>
    <t>+</t>
  </si>
  <si>
    <t>-</t>
  </si>
  <si>
    <t>%error</t>
  </si>
  <si>
    <t>Valor Teórico</t>
  </si>
  <si>
    <t>Valor experimental</t>
  </si>
  <si>
    <t>IR-72</t>
  </si>
  <si>
    <t>IR-73</t>
  </si>
  <si>
    <t>IR-74</t>
  </si>
  <si>
    <t>IR-75</t>
  </si>
  <si>
    <t>IR-78</t>
  </si>
  <si>
    <t>IR-81</t>
  </si>
  <si>
    <t>IR-82</t>
  </si>
  <si>
    <t>IR-84</t>
  </si>
  <si>
    <t>IR-86</t>
  </si>
  <si>
    <t>IR-89</t>
  </si>
  <si>
    <t>IR-91</t>
  </si>
  <si>
    <t>IR-92</t>
  </si>
  <si>
    <t>IR-196</t>
  </si>
  <si>
    <t>IR-198</t>
  </si>
  <si>
    <t>IR-204</t>
  </si>
  <si>
    <t>IR-206</t>
  </si>
  <si>
    <t>IR-207</t>
  </si>
  <si>
    <t>IR-126</t>
  </si>
  <si>
    <t>IR-129</t>
  </si>
  <si>
    <t>IR-130</t>
  </si>
  <si>
    <t>IR-135</t>
  </si>
  <si>
    <t>IR-137</t>
  </si>
  <si>
    <t>IR-141</t>
  </si>
  <si>
    <t>IR-145</t>
  </si>
  <si>
    <t>IR-224</t>
  </si>
  <si>
    <t>IR-227</t>
  </si>
  <si>
    <t>IR-229</t>
  </si>
  <si>
    <t>IR-233</t>
  </si>
  <si>
    <t>IR-244</t>
  </si>
  <si>
    <t>IR-152</t>
  </si>
  <si>
    <t>IR-288</t>
  </si>
  <si>
    <t>IR-289</t>
  </si>
  <si>
    <t>IR-290</t>
  </si>
  <si>
    <t>IR-291</t>
  </si>
  <si>
    <t>IR-292</t>
  </si>
  <si>
    <t>IR-293</t>
  </si>
  <si>
    <t>IR-294</t>
  </si>
  <si>
    <t>IR-296</t>
  </si>
  <si>
    <t>IR-297</t>
  </si>
  <si>
    <t>IR-298</t>
  </si>
  <si>
    <t>IR-299</t>
  </si>
  <si>
    <t>IR-300</t>
  </si>
  <si>
    <t>IR-302</t>
  </si>
  <si>
    <t>IR-303</t>
  </si>
  <si>
    <t>IR-304</t>
  </si>
  <si>
    <t>IR-44</t>
  </si>
  <si>
    <t>IR-45</t>
  </si>
  <si>
    <t>IR-49</t>
  </si>
  <si>
    <t>IR-51</t>
  </si>
  <si>
    <t>IR-96</t>
  </si>
  <si>
    <t>IR-97</t>
  </si>
  <si>
    <t>IR-99</t>
  </si>
  <si>
    <t>IR-104</t>
  </si>
  <si>
    <t>IR-105</t>
  </si>
  <si>
    <t>IR-109</t>
  </si>
  <si>
    <t>IR-111</t>
  </si>
  <si>
    <t>IR-112</t>
  </si>
  <si>
    <t>IR-113</t>
  </si>
  <si>
    <t>IR-118</t>
  </si>
  <si>
    <t>IR-121</t>
  </si>
  <si>
    <t>IR-214</t>
  </si>
  <si>
    <t>IR-216</t>
  </si>
  <si>
    <t>IR-217</t>
  </si>
  <si>
    <t>IR-156</t>
  </si>
  <si>
    <t>IR-160</t>
  </si>
  <si>
    <t>IR-161</t>
  </si>
  <si>
    <t>IR-163</t>
  </si>
  <si>
    <t>IR-170</t>
  </si>
  <si>
    <t>IR-172</t>
  </si>
  <si>
    <t>IR-174</t>
  </si>
  <si>
    <t>IR-180</t>
  </si>
  <si>
    <t>IR-182</t>
  </si>
  <si>
    <t>IR-183</t>
  </si>
  <si>
    <t>IR-261</t>
  </si>
  <si>
    <t>IR-263</t>
  </si>
  <si>
    <t>IR-265</t>
  </si>
  <si>
    <t>IR-266</t>
  </si>
  <si>
    <t>IR-269</t>
  </si>
  <si>
    <t>IR-271</t>
  </si>
  <si>
    <t>IR-277</t>
  </si>
  <si>
    <t>IR-281</t>
  </si>
  <si>
    <t>IR-284</t>
  </si>
  <si>
    <t>IR-314</t>
  </si>
  <si>
    <t>IR-315</t>
  </si>
  <si>
    <t>IR-316</t>
  </si>
  <si>
    <t>IR-317</t>
  </si>
  <si>
    <t>IR-318</t>
  </si>
  <si>
    <t>IR-320</t>
  </si>
  <si>
    <t>IR-322</t>
  </si>
  <si>
    <t>IR-323</t>
  </si>
  <si>
    <t>IR-329</t>
  </si>
  <si>
    <t>IR-331</t>
  </si>
  <si>
    <t>IR-332</t>
  </si>
  <si>
    <t>IR-334</t>
  </si>
  <si>
    <t>W/m*K</t>
  </si>
  <si>
    <t>Ga</t>
  </si>
  <si>
    <t>Gasto Económico según Ton. Carb C1</t>
  </si>
  <si>
    <t>Gasto Económico según Ton. Carb C2</t>
  </si>
  <si>
    <t>Gasto Económico en Planta Térmica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</si>
</sst>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* #,##0_-;\-&quot;$&quot;* #,##0_-;_-&quot;$&quot;* &quot;-&quot;_-;_-@_-"/>
    <numFmt numFmtId="43" formatCode="_-* #,##0.00_-;\-* #,##0.00_-;_-* &quot;-&quot;??_-;_-@_-"/>
    <numFmt numFmtId="164" formatCode="_-[$$-240A]\ * #,##0.00_-;\-[$$-240A]\ * #,##0.00_-;_-[$$-240A]\ * &quot;-&quot;??_-;_-@_-"/>
    <numFmt numFmtId="165" formatCode="0.000"/>
    <numFmt numFmtId="166" formatCode="0.0000"/>
    <numFmt numFmtId="167" formatCode="0.0"/>
    <numFmt numFmtId="168" formatCode="_-[$$-240A]\ * #,##0_-;\-[$$-240A]\ * #,##0_-;_-[$$-240A]\ * &quot;-&quot;??_-;_-@_-"/>
    <numFmt numFmtId="169" formatCode="_-[$$-2C0A]\ * #,##0_-;\-[$$-2C0A]\ * #,##0_-;_-[$$-2C0A]\ * &quot;-&quot;??_-;_-@_-"/>
    <numFmt numFmtId="170" formatCode="0.0000%"/>
  </numFmts>
  <fonts count="2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4"/>
      <color theme="1"/>
      <name val="Ebrima"/>
    </font>
    <font>
      <sz val="26"/>
      <color theme="1"/>
      <name val="Calibri"/>
      <family val="2"/>
      <scheme val="minor"/>
    </font>
    <font>
      <b/>
      <sz val="24"/>
      <color theme="1"/>
      <name val="Times New Roman"/>
      <family val="1"/>
    </font>
    <font>
      <sz val="11"/>
      <color theme="1"/>
      <name val="Times New Roman"/>
      <family val="1"/>
    </font>
    <font>
      <i/>
      <sz val="18"/>
      <color theme="1"/>
      <name val="Calibri"/>
      <family val="2"/>
      <scheme val="minor"/>
    </font>
    <font>
      <b/>
      <i/>
      <sz val="16"/>
      <color theme="1"/>
      <name val="Times New Roman"/>
      <family val="1"/>
    </font>
    <font>
      <sz val="16"/>
      <color theme="1"/>
      <name val="Times New Roman"/>
      <family val="1"/>
    </font>
    <font>
      <b/>
      <sz val="22"/>
      <color theme="1"/>
      <name val="Ebrima"/>
    </font>
    <font>
      <i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9FF3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5FF62A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2" fontId="2" fillId="0" borderId="0" applyFont="0" applyFill="0" applyBorder="0" applyAlignment="0" applyProtection="0"/>
  </cellStyleXfs>
  <cellXfs count="249">
    <xf numFmtId="0" fontId="0" fillId="0" borderId="0" xfId="0"/>
    <xf numFmtId="0" fontId="0" fillId="2" borderId="9" xfId="0" applyFill="1" applyBorder="1" applyAlignment="1">
      <alignment horizontal="center"/>
    </xf>
    <xf numFmtId="2" fontId="0" fillId="2" borderId="9" xfId="0" applyNumberFormat="1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0" fillId="0" borderId="9" xfId="0" applyBorder="1"/>
    <xf numFmtId="0" fontId="0" fillId="4" borderId="9" xfId="0" applyFill="1" applyBorder="1"/>
    <xf numFmtId="0" fontId="0" fillId="0" borderId="23" xfId="0" applyBorder="1"/>
    <xf numFmtId="0" fontId="0" fillId="0" borderId="0" xfId="0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5" borderId="0" xfId="0" applyFill="1"/>
    <xf numFmtId="0" fontId="0" fillId="5" borderId="17" xfId="0" applyFill="1" applyBorder="1"/>
    <xf numFmtId="0" fontId="0" fillId="2" borderId="9" xfId="0" applyFill="1" applyBorder="1"/>
    <xf numFmtId="0" fontId="0" fillId="3" borderId="9" xfId="0" applyFill="1" applyBorder="1"/>
    <xf numFmtId="0" fontId="0" fillId="2" borderId="21" xfId="0" applyFill="1" applyBorder="1"/>
    <xf numFmtId="0" fontId="0" fillId="3" borderId="21" xfId="0" applyFill="1" applyBorder="1"/>
    <xf numFmtId="0" fontId="0" fillId="6" borderId="4" xfId="0" applyFill="1" applyBorder="1" applyAlignment="1">
      <alignment horizontal="center"/>
    </xf>
    <xf numFmtId="0" fontId="0" fillId="6" borderId="15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/>
    </xf>
    <xf numFmtId="0" fontId="0" fillId="6" borderId="18" xfId="0" applyFill="1" applyBorder="1" applyAlignment="1">
      <alignment horizontal="center"/>
    </xf>
    <xf numFmtId="0" fontId="0" fillId="6" borderId="18" xfId="0" applyFill="1" applyBorder="1" applyAlignment="1">
      <alignment horizontal="center" vertical="center"/>
    </xf>
    <xf numFmtId="0" fontId="0" fillId="6" borderId="16" xfId="0" applyFill="1" applyBorder="1" applyAlignment="1">
      <alignment vertical="center" wrapText="1"/>
    </xf>
    <xf numFmtId="0" fontId="0" fillId="6" borderId="24" xfId="0" applyFill="1" applyBorder="1" applyAlignment="1">
      <alignment vertical="center" wrapText="1"/>
    </xf>
    <xf numFmtId="0" fontId="0" fillId="6" borderId="24" xfId="0" applyFill="1" applyBorder="1" applyAlignment="1">
      <alignment horizontal="center" vertical="center" wrapText="1"/>
    </xf>
    <xf numFmtId="0" fontId="0" fillId="6" borderId="24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 wrapText="1"/>
    </xf>
    <xf numFmtId="0" fontId="0" fillId="2" borderId="24" xfId="0" applyFill="1" applyBorder="1" applyAlignment="1">
      <alignment horizontal="center" vertical="center" wrapText="1"/>
    </xf>
    <xf numFmtId="0" fontId="0" fillId="6" borderId="10" xfId="0" applyFill="1" applyBorder="1"/>
    <xf numFmtId="0" fontId="0" fillId="6" borderId="10" xfId="0" applyFill="1" applyBorder="1" applyAlignment="1">
      <alignment horizontal="center"/>
    </xf>
    <xf numFmtId="0" fontId="0" fillId="6" borderId="11" xfId="0" applyFill="1" applyBorder="1" applyAlignment="1">
      <alignment horizontal="center" vertical="center"/>
    </xf>
    <xf numFmtId="0" fontId="0" fillId="6" borderId="25" xfId="0" applyFill="1" applyBorder="1"/>
    <xf numFmtId="0" fontId="0" fillId="6" borderId="23" xfId="0" applyFill="1" applyBorder="1" applyAlignment="1">
      <alignment horizontal="center" vertical="center" wrapText="1"/>
    </xf>
    <xf numFmtId="0" fontId="0" fillId="8" borderId="9" xfId="0" applyFill="1" applyBorder="1" applyAlignment="1">
      <alignment horizontal="center"/>
    </xf>
    <xf numFmtId="0" fontId="0" fillId="0" borderId="26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/>
    </xf>
    <xf numFmtId="0" fontId="0" fillId="4" borderId="9" xfId="0" applyFill="1" applyBorder="1" applyAlignment="1">
      <alignment horizontal="center"/>
    </xf>
    <xf numFmtId="2" fontId="0" fillId="2" borderId="21" xfId="0" applyNumberFormat="1" applyFill="1" applyBorder="1" applyAlignment="1">
      <alignment horizontal="center"/>
    </xf>
    <xf numFmtId="0" fontId="0" fillId="7" borderId="21" xfId="0" applyFill="1" applyBorder="1" applyAlignment="1">
      <alignment horizontal="center"/>
    </xf>
    <xf numFmtId="0" fontId="0" fillId="7" borderId="9" xfId="0" applyFill="1" applyBorder="1" applyAlignment="1">
      <alignment horizontal="center"/>
    </xf>
    <xf numFmtId="0" fontId="0" fillId="6" borderId="35" xfId="0" applyFill="1" applyBorder="1" applyAlignment="1">
      <alignment horizontal="center"/>
    </xf>
    <xf numFmtId="0" fontId="0" fillId="6" borderId="36" xfId="0" applyFill="1" applyBorder="1" applyAlignment="1">
      <alignment horizontal="center"/>
    </xf>
    <xf numFmtId="0" fontId="0" fillId="6" borderId="22" xfId="0" applyFill="1" applyBorder="1" applyAlignment="1">
      <alignment horizontal="center"/>
    </xf>
    <xf numFmtId="0" fontId="0" fillId="6" borderId="16" xfId="0" applyFill="1" applyBorder="1" applyAlignment="1">
      <alignment vertical="center"/>
    </xf>
    <xf numFmtId="0" fontId="0" fillId="6" borderId="24" xfId="0" applyFill="1" applyBorder="1" applyAlignment="1">
      <alignment vertical="center"/>
    </xf>
    <xf numFmtId="0" fontId="0" fillId="5" borderId="20" xfId="0" applyFill="1" applyBorder="1"/>
    <xf numFmtId="0" fontId="10" fillId="5" borderId="0" xfId="0" applyFont="1" applyFill="1" applyAlignment="1">
      <alignment vertical="center"/>
    </xf>
    <xf numFmtId="164" fontId="5" fillId="5" borderId="0" xfId="0" applyNumberFormat="1" applyFont="1" applyFill="1" applyAlignment="1">
      <alignment vertical="center"/>
    </xf>
    <xf numFmtId="164" fontId="11" fillId="5" borderId="0" xfId="1" applyNumberFormat="1" applyFont="1" applyFill="1" applyAlignment="1">
      <alignment vertical="center"/>
    </xf>
    <xf numFmtId="0" fontId="15" fillId="5" borderId="0" xfId="0" applyFont="1" applyFill="1" applyAlignment="1">
      <alignment vertical="center"/>
    </xf>
    <xf numFmtId="164" fontId="5" fillId="5" borderId="0" xfId="0" applyNumberFormat="1" applyFont="1" applyFill="1"/>
    <xf numFmtId="0" fontId="15" fillId="5" borderId="0" xfId="0" applyFont="1" applyFill="1"/>
    <xf numFmtId="164" fontId="18" fillId="5" borderId="0" xfId="0" applyNumberFormat="1" applyFont="1" applyFill="1" applyAlignment="1">
      <alignment vertical="center"/>
    </xf>
    <xf numFmtId="0" fontId="18" fillId="5" borderId="0" xfId="0" applyFont="1" applyFill="1" applyAlignment="1">
      <alignment vertical="center"/>
    </xf>
    <xf numFmtId="0" fontId="0" fillId="5" borderId="37" xfId="0" applyFill="1" applyBorder="1" applyAlignment="1">
      <alignment horizontal="center"/>
    </xf>
    <xf numFmtId="0" fontId="0" fillId="5" borderId="38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4" borderId="24" xfId="0" applyFill="1" applyBorder="1" applyAlignment="1">
      <alignment horizontal="center"/>
    </xf>
    <xf numFmtId="0" fontId="3" fillId="2" borderId="3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4" borderId="33" xfId="0" applyFont="1" applyFill="1" applyBorder="1" applyAlignment="1">
      <alignment horizontal="center" vertical="center" wrapText="1"/>
    </xf>
    <xf numFmtId="0" fontId="0" fillId="3" borderId="21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0" fillId="5" borderId="34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5" borderId="25" xfId="0" applyFill="1" applyBorder="1" applyAlignment="1">
      <alignment horizontal="center"/>
    </xf>
    <xf numFmtId="0" fontId="0" fillId="5" borderId="16" xfId="0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21" fillId="0" borderId="0" xfId="0" applyFont="1" applyAlignment="1">
      <alignment horizontal="center"/>
    </xf>
    <xf numFmtId="0" fontId="0" fillId="10" borderId="0" xfId="0" applyFill="1"/>
    <xf numFmtId="0" fontId="0" fillId="11" borderId="9" xfId="0" applyFill="1" applyBorder="1" applyAlignment="1">
      <alignment horizontal="center"/>
    </xf>
    <xf numFmtId="0" fontId="23" fillId="5" borderId="0" xfId="0" applyFont="1" applyFill="1"/>
    <xf numFmtId="0" fontId="24" fillId="5" borderId="40" xfId="0" applyFont="1" applyFill="1" applyBorder="1" applyAlignment="1">
      <alignment horizontal="center" vertical="center"/>
    </xf>
    <xf numFmtId="0" fontId="0" fillId="5" borderId="9" xfId="0" applyFill="1" applyBorder="1" applyAlignment="1">
      <alignment horizontal="center"/>
    </xf>
    <xf numFmtId="0" fontId="0" fillId="5" borderId="41" xfId="0" applyFill="1" applyBorder="1" applyAlignment="1">
      <alignment horizontal="center"/>
    </xf>
    <xf numFmtId="0" fontId="24" fillId="5" borderId="12" xfId="0" applyFont="1" applyFill="1" applyBorder="1" applyAlignment="1">
      <alignment horizontal="center" vertical="center"/>
    </xf>
    <xf numFmtId="0" fontId="0" fillId="5" borderId="13" xfId="0" applyFill="1" applyBorder="1" applyAlignment="1">
      <alignment horizontal="center"/>
    </xf>
    <xf numFmtId="0" fontId="0" fillId="5" borderId="30" xfId="0" applyFill="1" applyBorder="1" applyAlignment="1">
      <alignment horizontal="center"/>
    </xf>
    <xf numFmtId="0" fontId="24" fillId="5" borderId="0" xfId="0" applyFont="1" applyFill="1" applyAlignment="1">
      <alignment vertical="center"/>
    </xf>
    <xf numFmtId="0" fontId="4" fillId="5" borderId="6" xfId="0" applyFont="1" applyFill="1" applyBorder="1" applyAlignment="1">
      <alignment vertical="center"/>
    </xf>
    <xf numFmtId="0" fontId="4" fillId="5" borderId="40" xfId="0" applyFont="1" applyFill="1" applyBorder="1" applyAlignment="1">
      <alignment vertical="center"/>
    </xf>
    <xf numFmtId="0" fontId="3" fillId="0" borderId="9" xfId="0" applyFont="1" applyBorder="1" applyAlignment="1">
      <alignment horizontal="center"/>
    </xf>
    <xf numFmtId="166" fontId="0" fillId="5" borderId="0" xfId="0" applyNumberFormat="1" applyFill="1"/>
    <xf numFmtId="165" fontId="0" fillId="5" borderId="0" xfId="0" applyNumberFormat="1" applyFill="1"/>
    <xf numFmtId="165" fontId="0" fillId="4" borderId="24" xfId="0" applyNumberFormat="1" applyFill="1" applyBorder="1" applyAlignment="1">
      <alignment horizontal="center"/>
    </xf>
    <xf numFmtId="0" fontId="3" fillId="4" borderId="2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6" fillId="5" borderId="0" xfId="0" applyFont="1" applyFill="1"/>
    <xf numFmtId="167" fontId="0" fillId="12" borderId="9" xfId="0" applyNumberFormat="1" applyFill="1" applyBorder="1" applyAlignment="1">
      <alignment horizontal="center" vertical="center"/>
    </xf>
    <xf numFmtId="167" fontId="0" fillId="12" borderId="13" xfId="0" applyNumberFormat="1" applyFill="1" applyBorder="1" applyAlignment="1">
      <alignment horizontal="center" vertical="center"/>
    </xf>
    <xf numFmtId="167" fontId="0" fillId="12" borderId="41" xfId="0" applyNumberFormat="1" applyFill="1" applyBorder="1" applyAlignment="1">
      <alignment horizontal="center"/>
    </xf>
    <xf numFmtId="167" fontId="0" fillId="12" borderId="30" xfId="0" applyNumberFormat="1" applyFill="1" applyBorder="1" applyAlignment="1">
      <alignment horizontal="center"/>
    </xf>
    <xf numFmtId="168" fontId="0" fillId="5" borderId="0" xfId="0" applyNumberFormat="1" applyFill="1"/>
    <xf numFmtId="0" fontId="0" fillId="0" borderId="17" xfId="0" applyBorder="1"/>
    <xf numFmtId="0" fontId="0" fillId="0" borderId="47" xfId="0" applyBorder="1"/>
    <xf numFmtId="169" fontId="0" fillId="0" borderId="19" xfId="0" applyNumberFormat="1" applyBorder="1"/>
    <xf numFmtId="170" fontId="0" fillId="0" borderId="0" xfId="2" applyNumberFormat="1" applyFont="1"/>
    <xf numFmtId="0" fontId="27" fillId="0" borderId="26" xfId="0" applyFont="1" applyBorder="1"/>
    <xf numFmtId="0" fontId="0" fillId="0" borderId="1" xfId="0" applyBorder="1"/>
    <xf numFmtId="169" fontId="0" fillId="0" borderId="4" xfId="0" applyNumberFormat="1" applyBorder="1"/>
    <xf numFmtId="0" fontId="4" fillId="0" borderId="0" xfId="0" applyFont="1" applyAlignment="1">
      <alignment horizontal="right"/>
    </xf>
    <xf numFmtId="170" fontId="4" fillId="0" borderId="0" xfId="2" applyNumberFormat="1" applyFont="1" applyAlignment="1">
      <alignment horizontal="right"/>
    </xf>
    <xf numFmtId="0" fontId="0" fillId="6" borderId="9" xfId="0" applyFill="1" applyBorder="1" applyAlignment="1">
      <alignment horizontal="center" vertical="center" textRotation="90"/>
    </xf>
    <xf numFmtId="0" fontId="0" fillId="6" borderId="9" xfId="0" applyFill="1" applyBorder="1" applyAlignment="1">
      <alignment horizontal="center" vertical="center" textRotation="90" wrapText="1"/>
    </xf>
    <xf numFmtId="0" fontId="8" fillId="0" borderId="27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3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6" borderId="10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32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33" xfId="0" applyFill="1" applyBorder="1" applyAlignment="1">
      <alignment horizont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6" borderId="1" xfId="0" applyFont="1" applyFill="1" applyBorder="1" applyAlignment="1">
      <alignment horizontal="center" vertical="center" textRotation="90"/>
    </xf>
    <xf numFmtId="0" fontId="3" fillId="6" borderId="8" xfId="0" applyFont="1" applyFill="1" applyBorder="1" applyAlignment="1">
      <alignment horizontal="center" vertical="center" textRotation="90"/>
    </xf>
    <xf numFmtId="0" fontId="3" fillId="6" borderId="4" xfId="0" applyFont="1" applyFill="1" applyBorder="1" applyAlignment="1">
      <alignment horizontal="center" vertical="center" textRotation="90"/>
    </xf>
    <xf numFmtId="0" fontId="3" fillId="6" borderId="1" xfId="0" applyFont="1" applyFill="1" applyBorder="1" applyAlignment="1">
      <alignment horizontal="center" vertical="center" textRotation="90" wrapText="1"/>
    </xf>
    <xf numFmtId="0" fontId="3" fillId="6" borderId="8" xfId="0" applyFont="1" applyFill="1" applyBorder="1" applyAlignment="1">
      <alignment horizontal="center" vertical="center" textRotation="90" wrapText="1"/>
    </xf>
    <xf numFmtId="0" fontId="3" fillId="6" borderId="4" xfId="0" applyFont="1" applyFill="1" applyBorder="1" applyAlignment="1">
      <alignment horizontal="center" vertical="center" textRotation="90" wrapText="1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30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3" fillId="6" borderId="32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33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4" fillId="4" borderId="27" xfId="0" applyFont="1" applyFill="1" applyBorder="1" applyAlignment="1">
      <alignment horizontal="center" vertical="center"/>
    </xf>
    <xf numFmtId="0" fontId="4" fillId="4" borderId="28" xfId="0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6" borderId="31" xfId="0" applyFont="1" applyFill="1" applyBorder="1" applyAlignment="1">
      <alignment horizontal="center"/>
    </xf>
    <xf numFmtId="0" fontId="8" fillId="9" borderId="0" xfId="0" applyFont="1" applyFill="1" applyAlignment="1">
      <alignment horizontal="center" vertical="center" wrapText="1"/>
    </xf>
    <xf numFmtId="0" fontId="13" fillId="9" borderId="0" xfId="0" applyFont="1" applyFill="1" applyAlignment="1">
      <alignment horizontal="center"/>
    </xf>
    <xf numFmtId="0" fontId="10" fillId="5" borderId="0" xfId="0" applyFont="1" applyFill="1" applyAlignment="1">
      <alignment horizontal="center" vertical="center"/>
    </xf>
    <xf numFmtId="0" fontId="0" fillId="5" borderId="37" xfId="0" applyFill="1" applyBorder="1" applyAlignment="1">
      <alignment horizontal="center"/>
    </xf>
    <xf numFmtId="0" fontId="0" fillId="5" borderId="38" xfId="0" applyFill="1" applyBorder="1" applyAlignment="1">
      <alignment horizontal="center"/>
    </xf>
    <xf numFmtId="2" fontId="5" fillId="5" borderId="39" xfId="0" applyNumberFormat="1" applyFont="1" applyFill="1" applyBorder="1" applyAlignment="1">
      <alignment horizontal="center" vertical="center"/>
    </xf>
    <xf numFmtId="2" fontId="5" fillId="5" borderId="25" xfId="0" applyNumberFormat="1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left" vertical="center"/>
    </xf>
    <xf numFmtId="0" fontId="9" fillId="5" borderId="16" xfId="0" applyFont="1" applyFill="1" applyBorder="1" applyAlignment="1">
      <alignment horizontal="left" vertical="center"/>
    </xf>
    <xf numFmtId="0" fontId="12" fillId="5" borderId="0" xfId="0" applyFont="1" applyFill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0" fillId="5" borderId="0" xfId="0" applyFill="1" applyAlignment="1">
      <alignment horizontal="center"/>
    </xf>
    <xf numFmtId="0" fontId="0" fillId="5" borderId="13" xfId="0" applyFill="1" applyBorder="1" applyAlignment="1">
      <alignment horizontal="center"/>
    </xf>
    <xf numFmtId="0" fontId="4" fillId="5" borderId="6" xfId="0" applyFont="1" applyFill="1" applyBorder="1" applyAlignment="1">
      <alignment horizontal="center" vertical="center"/>
    </xf>
    <xf numFmtId="0" fontId="4" fillId="5" borderId="40" xfId="0" applyFont="1" applyFill="1" applyBorder="1" applyAlignment="1">
      <alignment horizontal="center" vertical="center"/>
    </xf>
    <xf numFmtId="0" fontId="0" fillId="5" borderId="39" xfId="0" applyFill="1" applyBorder="1" applyAlignment="1">
      <alignment horizontal="center" wrapText="1"/>
    </xf>
    <xf numFmtId="0" fontId="0" fillId="5" borderId="0" xfId="0" applyFill="1" applyAlignment="1">
      <alignment horizontal="center" wrapText="1"/>
    </xf>
    <xf numFmtId="0" fontId="0" fillId="5" borderId="9" xfId="0" applyFill="1" applyBorder="1" applyAlignment="1">
      <alignment horizontal="center"/>
    </xf>
    <xf numFmtId="0" fontId="25" fillId="5" borderId="7" xfId="0" applyFont="1" applyFill="1" applyBorder="1" applyAlignment="1">
      <alignment horizontal="center" vertical="center" wrapText="1"/>
    </xf>
    <xf numFmtId="0" fontId="25" fillId="5" borderId="9" xfId="0" applyFont="1" applyFill="1" applyBorder="1" applyAlignment="1">
      <alignment horizontal="center" vertical="center" wrapText="1"/>
    </xf>
    <xf numFmtId="165" fontId="4" fillId="5" borderId="9" xfId="0" applyNumberFormat="1" applyFont="1" applyFill="1" applyBorder="1" applyAlignment="1">
      <alignment horizontal="center" vertical="center"/>
    </xf>
    <xf numFmtId="165" fontId="4" fillId="5" borderId="41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40" xfId="0" applyFont="1" applyFill="1" applyBorder="1" applyAlignment="1">
      <alignment horizontal="center" vertical="center" wrapText="1"/>
    </xf>
    <xf numFmtId="0" fontId="3" fillId="5" borderId="41" xfId="0" applyFont="1" applyFill="1" applyBorder="1" applyAlignment="1">
      <alignment horizontal="center" vertical="center" wrapText="1"/>
    </xf>
    <xf numFmtId="165" fontId="4" fillId="5" borderId="40" xfId="0" applyNumberFormat="1" applyFont="1" applyFill="1" applyBorder="1" applyAlignment="1">
      <alignment horizontal="center" vertical="center"/>
    </xf>
    <xf numFmtId="165" fontId="4" fillId="5" borderId="42" xfId="0" applyNumberFormat="1" applyFont="1" applyFill="1" applyBorder="1" applyAlignment="1">
      <alignment horizontal="center" vertical="center"/>
    </xf>
    <xf numFmtId="165" fontId="4" fillId="5" borderId="43" xfId="0" applyNumberFormat="1" applyFont="1" applyFill="1" applyBorder="1" applyAlignment="1">
      <alignment horizontal="center" vertical="center"/>
    </xf>
    <xf numFmtId="0" fontId="25" fillId="5" borderId="24" xfId="0" applyFont="1" applyFill="1" applyBorder="1" applyAlignment="1">
      <alignment horizontal="center" vertical="center" wrapText="1"/>
    </xf>
    <xf numFmtId="0" fontId="25" fillId="5" borderId="29" xfId="0" applyFont="1" applyFill="1" applyBorder="1" applyAlignment="1">
      <alignment horizontal="center" vertical="center" wrapText="1"/>
    </xf>
    <xf numFmtId="0" fontId="25" fillId="5" borderId="41" xfId="0" applyFont="1" applyFill="1" applyBorder="1" applyAlignment="1">
      <alignment horizontal="center" vertical="center" wrapText="1"/>
    </xf>
    <xf numFmtId="165" fontId="4" fillId="5" borderId="45" xfId="0" applyNumberFormat="1" applyFont="1" applyFill="1" applyBorder="1" applyAlignment="1">
      <alignment horizontal="center" vertical="center"/>
    </xf>
    <xf numFmtId="165" fontId="4" fillId="5" borderId="44" xfId="0" applyNumberFormat="1" applyFont="1" applyFill="1" applyBorder="1" applyAlignment="1">
      <alignment horizontal="center" vertical="center"/>
    </xf>
    <xf numFmtId="167" fontId="4" fillId="12" borderId="46" xfId="0" applyNumberFormat="1" applyFont="1" applyFill="1" applyBorder="1" applyAlignment="1">
      <alignment horizontal="center" vertical="center"/>
    </xf>
    <xf numFmtId="167" fontId="4" fillId="12" borderId="24" xfId="0" applyNumberFormat="1" applyFont="1" applyFill="1" applyBorder="1" applyAlignment="1">
      <alignment horizontal="center" vertical="center"/>
    </xf>
    <xf numFmtId="167" fontId="4" fillId="12" borderId="41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7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5" borderId="0" xfId="0" applyFont="1" applyFill="1" applyAlignment="1">
      <alignment horizontal="center" vertical="center"/>
    </xf>
    <xf numFmtId="0" fontId="19" fillId="5" borderId="20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5" borderId="0" xfId="0" applyFont="1" applyFill="1" applyAlignment="1">
      <alignment horizontal="center" vertical="center" wrapText="1"/>
    </xf>
    <xf numFmtId="164" fontId="11" fillId="5" borderId="0" xfId="1" applyNumberFormat="1" applyFont="1" applyFill="1" applyAlignment="1">
      <alignment horizontal="center" vertical="center"/>
    </xf>
    <xf numFmtId="164" fontId="11" fillId="12" borderId="0" xfId="0" applyNumberFormat="1" applyFont="1" applyFill="1" applyAlignment="1">
      <alignment horizontal="left"/>
    </xf>
    <xf numFmtId="0" fontId="20" fillId="12" borderId="0" xfId="0" applyFont="1" applyFill="1" applyAlignment="1">
      <alignment horizontal="center" vertical="center" wrapText="1"/>
    </xf>
    <xf numFmtId="164" fontId="22" fillId="12" borderId="0" xfId="0" applyNumberFormat="1" applyFont="1" applyFill="1" applyAlignment="1">
      <alignment horizontal="center" vertical="center"/>
    </xf>
    <xf numFmtId="0" fontId="22" fillId="12" borderId="0" xfId="0" applyFont="1" applyFill="1" applyAlignment="1">
      <alignment horizontal="center" vertical="center"/>
    </xf>
    <xf numFmtId="0" fontId="25" fillId="5" borderId="0" xfId="0" applyFont="1" applyFill="1" applyBorder="1" applyAlignment="1">
      <alignment vertical="center" wrapText="1"/>
    </xf>
    <xf numFmtId="0" fontId="25" fillId="5" borderId="0" xfId="0" applyFont="1" applyFill="1" applyBorder="1" applyAlignment="1">
      <alignment vertical="center"/>
    </xf>
    <xf numFmtId="42" fontId="0" fillId="5" borderId="0" xfId="3" applyFont="1" applyFill="1"/>
    <xf numFmtId="42" fontId="0" fillId="5" borderId="0" xfId="3" applyFont="1" applyFill="1" applyBorder="1" applyAlignment="1">
      <alignment vertical="center" wrapText="1"/>
    </xf>
    <xf numFmtId="0" fontId="0" fillId="5" borderId="18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1" fillId="5" borderId="1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0" fillId="5" borderId="14" xfId="0" applyFill="1" applyBorder="1" applyAlignment="1">
      <alignment horizontal="center" wrapText="1"/>
    </xf>
    <xf numFmtId="0" fontId="0" fillId="5" borderId="18" xfId="0" applyFill="1" applyBorder="1" applyAlignment="1">
      <alignment horizontal="center" wrapText="1"/>
    </xf>
    <xf numFmtId="0" fontId="0" fillId="5" borderId="15" xfId="0" applyFill="1" applyBorder="1" applyAlignment="1">
      <alignment horizontal="center"/>
    </xf>
    <xf numFmtId="42" fontId="0" fillId="5" borderId="17" xfId="3" applyFont="1" applyFill="1" applyBorder="1"/>
    <xf numFmtId="42" fontId="0" fillId="5" borderId="48" xfId="3" applyFont="1" applyFill="1" applyBorder="1"/>
    <xf numFmtId="42" fontId="0" fillId="5" borderId="49" xfId="3" applyFont="1" applyFill="1" applyBorder="1"/>
    <xf numFmtId="42" fontId="0" fillId="5" borderId="14" xfId="3" applyFont="1" applyFill="1" applyBorder="1"/>
    <xf numFmtId="42" fontId="0" fillId="5" borderId="15" xfId="3" applyFont="1" applyFill="1" applyBorder="1"/>
    <xf numFmtId="42" fontId="0" fillId="5" borderId="18" xfId="3" applyFont="1" applyFill="1" applyBorder="1"/>
    <xf numFmtId="0" fontId="28" fillId="5" borderId="2" xfId="0" applyFont="1" applyFill="1" applyBorder="1" applyAlignment="1">
      <alignment horizontal="center"/>
    </xf>
    <xf numFmtId="0" fontId="28" fillId="5" borderId="3" xfId="0" applyFont="1" applyFill="1" applyBorder="1" applyAlignment="1">
      <alignment horizontal="center"/>
    </xf>
    <xf numFmtId="0" fontId="28" fillId="5" borderId="31" xfId="0" applyFont="1" applyFill="1" applyBorder="1" applyAlignment="1">
      <alignment horizontal="center"/>
    </xf>
  </cellXfs>
  <cellStyles count="4">
    <cellStyle name="Millares" xfId="1" builtinId="3"/>
    <cellStyle name="Moneda [0]" xfId="3" builtinId="7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5FF62A"/>
      <color rgb="FFF806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1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 sz="1600" b="1" i="1"/>
              <a:t>Pérdidas de calor en la Planta Térmica </a:t>
            </a:r>
          </a:p>
        </c:rich>
      </c:tx>
      <c:layout>
        <c:manualLayout>
          <c:xMode val="edge"/>
          <c:yMode val="edge"/>
          <c:x val="0.30963162452841042"/>
          <c:y val="1.73292489066881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1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'Perdidas y recuperacion de carb'!$E$19</c:f>
              <c:strCache>
                <c:ptCount val="1"/>
                <c:pt idx="0">
                  <c:v>Gasto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'Perdidas y recuperacion de carb'!$D$20:$D$21</c:f>
              <c:strCache>
                <c:ptCount val="2"/>
                <c:pt idx="0">
                  <c:v>sin aislante</c:v>
                </c:pt>
                <c:pt idx="1">
                  <c:v>con asilante</c:v>
                </c:pt>
              </c:strCache>
            </c:strRef>
          </c:cat>
          <c:val>
            <c:numRef>
              <c:f>'Perdidas y recuperacion de carb'!$E$20:$E$21</c:f>
              <c:numCache>
                <c:formatCode>0.0000</c:formatCode>
                <c:ptCount val="2"/>
                <c:pt idx="0">
                  <c:v>0.49804383593060175</c:v>
                </c:pt>
                <c:pt idx="1">
                  <c:v>5.1360331554176665E-2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B5-4BE3-B5A7-6D8E815704AC}"/>
            </c:ext>
          </c:extLst>
        </c:ser>
        <c:ser>
          <c:idx val="1"/>
          <c:order val="1"/>
          <c:tx>
            <c:strRef>
              <c:f>'Perdidas y recuperacion de carb'!$F$19</c:f>
              <c:strCache>
                <c:ptCount val="1"/>
                <c:pt idx="0">
                  <c:v>Ahorro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'Perdidas y recuperacion de carb'!$D$20:$D$21</c:f>
              <c:strCache>
                <c:ptCount val="2"/>
                <c:pt idx="0">
                  <c:v>sin aislante</c:v>
                </c:pt>
                <c:pt idx="1">
                  <c:v>con asilante</c:v>
                </c:pt>
              </c:strCache>
            </c:strRef>
          </c:cat>
          <c:val>
            <c:numRef>
              <c:f>'Perdidas y recuperacion de carb'!$F$20:$F$21</c:f>
              <c:numCache>
                <c:formatCode>0.0000</c:formatCode>
                <c:ptCount val="2"/>
                <c:pt idx="1">
                  <c:v>0.44668350437642507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B5-4BE3-B5A7-6D8E815704A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35547072"/>
        <c:axId val="535551336"/>
      </c:barChart>
      <c:catAx>
        <c:axId val="5355470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Implementación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35551336"/>
        <c:crosses val="autoZero"/>
        <c:auto val="1"/>
        <c:lblAlgn val="ctr"/>
        <c:lblOffset val="100"/>
        <c:noMultiLvlLbl val="0"/>
      </c:catAx>
      <c:valAx>
        <c:axId val="535551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Toneladas de carbón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35547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Relación del gasto económico en la Planta Térimca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 w="19050" cap="flat" cmpd="sng" algn="ctr">
          <a:solidFill>
            <a:schemeClr val="tx1">
              <a:lumMod val="25000"/>
              <a:lumOff val="75000"/>
            </a:schemeClr>
          </a:solidFill>
          <a:round/>
        </a:ln>
        <a:effectLst/>
        <a:sp3d contourW="19050">
          <a:contourClr>
            <a:schemeClr val="tx1">
              <a:lumMod val="25000"/>
              <a:lumOff val="7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'Perdidas y recuperacion de carb'!$P$20</c:f>
              <c:strCache>
                <c:ptCount val="1"/>
                <c:pt idx="0">
                  <c:v>Gasto</c:v>
                </c:pt>
              </c:strCache>
            </c:strRef>
          </c:tx>
          <c:spPr>
            <a:pattFill prst="ltDnDiag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solidFill>
                <a:schemeClr val="accent1"/>
              </a:solidFill>
            </a:ln>
            <a:effectLst/>
            <a:sp3d>
              <a:contourClr>
                <a:schemeClr val="accent1"/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'Perdidas y recuperacion de carb'!$O$21:$O$22</c:f>
              <c:strCache>
                <c:ptCount val="2"/>
                <c:pt idx="0">
                  <c:v>sin aislante</c:v>
                </c:pt>
                <c:pt idx="1">
                  <c:v>con asilante</c:v>
                </c:pt>
              </c:strCache>
            </c:strRef>
          </c:cat>
          <c:val>
            <c:numRef>
              <c:f>'Perdidas y recuperacion de carb'!$P$21:$P$22</c:f>
              <c:numCache>
                <c:formatCode>_-[$$-240A]\ * #,##0_-;\-[$$-240A]\ * #,##0_-;_-[$$-240A]\ * "-"??_-;_-@_-</c:formatCode>
                <c:ptCount val="2"/>
                <c:pt idx="0">
                  <c:v>3180507.936252824</c:v>
                </c:pt>
                <c:pt idx="1">
                  <c:v>327987.07730497222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AA-42A1-9BB4-F4061024CB13}"/>
            </c:ext>
          </c:extLst>
        </c:ser>
        <c:ser>
          <c:idx val="1"/>
          <c:order val="1"/>
          <c:tx>
            <c:strRef>
              <c:f>'Perdidas y recuperacion de carb'!$Q$20</c:f>
              <c:strCache>
                <c:ptCount val="1"/>
                <c:pt idx="0">
                  <c:v>Ahorro</c:v>
                </c:pt>
              </c:strCache>
            </c:strRef>
          </c:tx>
          <c:spPr>
            <a:pattFill prst="ltDnDiag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solidFill>
                <a:schemeClr val="accent2"/>
              </a:solidFill>
            </a:ln>
            <a:effectLst/>
            <a:sp3d>
              <a:contourClr>
                <a:schemeClr val="accent2"/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'Perdidas y recuperacion de carb'!$O$21:$O$22</c:f>
              <c:strCache>
                <c:ptCount val="2"/>
                <c:pt idx="0">
                  <c:v>sin aislante</c:v>
                </c:pt>
                <c:pt idx="1">
                  <c:v>con asilante</c:v>
                </c:pt>
              </c:strCache>
            </c:strRef>
          </c:cat>
          <c:val>
            <c:numRef>
              <c:f>'Perdidas y recuperacion de carb'!$Q$21:$Q$22</c:f>
              <c:numCache>
                <c:formatCode>_-[$$-240A]\ * #,##0_-;\-[$$-240A]\ * #,##0_-;_-[$$-240A]\ * "-"??_-;_-@_-</c:formatCode>
                <c:ptCount val="2"/>
                <c:pt idx="1">
                  <c:v>2852520.8589478503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AA-42A1-9BB4-F4061024CB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23382880"/>
        <c:axId val="523379272"/>
        <c:axId val="0"/>
      </c:bar3DChart>
      <c:catAx>
        <c:axId val="523382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3379272"/>
        <c:crosses val="autoZero"/>
        <c:auto val="1"/>
        <c:lblAlgn val="ctr"/>
        <c:lblOffset val="100"/>
        <c:noMultiLvlLbl val="0"/>
      </c:catAx>
      <c:valAx>
        <c:axId val="52337927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Gasto económico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[$$-240A]\ * #,##0_-;\-[$$-240A]\ * #,##0_-;_-[$$-240A]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3382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Toneladas</a:t>
            </a:r>
            <a:r>
              <a:rPr lang="es-419" baseline="0"/>
              <a:t> de carbón consumidas-Planta térmica</a:t>
            </a:r>
            <a:endParaRPr lang="es-419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'Cuantificación PC niveles'!$G$28</c:f>
              <c:strCache>
                <c:ptCount val="1"/>
                <c:pt idx="0">
                  <c:v>c1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7.0327849606939309E-3"/>
                  <c:y val="-0.1187461528272338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FA-42BC-87D1-E68AABA30DC7}"/>
                </c:ext>
              </c:extLst>
            </c:dLbl>
            <c:dLbl>
              <c:idx val="1"/>
              <c:layout>
                <c:manualLayout>
                  <c:x val="-9.3770466142585746E-3"/>
                  <c:y val="-9.895512735602808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DFA-42BC-87D1-E68AABA30DC7}"/>
                </c:ext>
              </c:extLst>
            </c:dLbl>
            <c:dLbl>
              <c:idx val="2"/>
              <c:layout>
                <c:manualLayout>
                  <c:x val="-7.0327849606939309E-3"/>
                  <c:y val="-9.895512735602815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FA-42BC-87D1-E68AABA30DC7}"/>
                </c:ext>
              </c:extLst>
            </c:dLbl>
            <c:dLbl>
              <c:idx val="3"/>
              <c:layout>
                <c:manualLayout>
                  <c:x val="-7.0327849606940168E-3"/>
                  <c:y val="-0.1147879477329925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DFA-42BC-87D1-E68AABA30DC7}"/>
                </c:ext>
              </c:extLst>
            </c:dLbl>
            <c:dLbl>
              <c:idx val="4"/>
              <c:layout>
                <c:manualLayout>
                  <c:x val="-0.10080325110327977"/>
                  <c:y val="-3.95820509424114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FA-42BC-87D1-E68AABA30DC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'Cuantificación PC niveles'!$F$29:$F$33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'Cuantificación PC niveles'!$G$29:$G$33</c:f>
              <c:numCache>
                <c:formatCode>General</c:formatCode>
                <c:ptCount val="5"/>
                <c:pt idx="0">
                  <c:v>4.9051819939497686E-3</c:v>
                </c:pt>
                <c:pt idx="1">
                  <c:v>1.2161802371636292E-2</c:v>
                </c:pt>
                <c:pt idx="2">
                  <c:v>1.0413714924803894E-2</c:v>
                </c:pt>
                <c:pt idx="3">
                  <c:v>2.6226756555418132E-3</c:v>
                </c:pt>
                <c:pt idx="4">
                  <c:v>0.22445520612462158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FA-42BC-87D1-E68AABA30DC7}"/>
            </c:ext>
          </c:extLst>
        </c:ser>
        <c:ser>
          <c:idx val="1"/>
          <c:order val="1"/>
          <c:tx>
            <c:strRef>
              <c:f>'Cuantificación PC niveles'!$H$28</c:f>
              <c:strCache>
                <c:ptCount val="1"/>
                <c:pt idx="0">
                  <c:v>c2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1.4065569921387818E-2"/>
                  <c:y val="-7.916410188482245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FA-42BC-87D1-E68AABA30DC7}"/>
                </c:ext>
              </c:extLst>
            </c:dLbl>
            <c:dLbl>
              <c:idx val="2"/>
              <c:layout>
                <c:manualLayout>
                  <c:x val="1.4065569921387862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FA-42BC-87D1-E68AABA30DC7}"/>
                </c:ext>
              </c:extLst>
            </c:dLbl>
            <c:dLbl>
              <c:idx val="3"/>
              <c:layout>
                <c:manualLayout>
                  <c:x val="1.6409831574952419E-2"/>
                  <c:y val="-3.958205094241122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DFA-42BC-87D1-E68AABA30DC7}"/>
                </c:ext>
              </c:extLst>
            </c:dLbl>
            <c:dLbl>
              <c:idx val="4"/>
              <c:layout>
                <c:manualLayout>
                  <c:x val="-7.0327849606941027E-3"/>
                  <c:y val="-3.166564075392898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FA-42BC-87D1-E68AABA30DC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'Cuantificación PC niveles'!$F$29:$F$33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'Cuantificación PC niveles'!$H$29:$H$33</c:f>
              <c:numCache>
                <c:formatCode>General</c:formatCode>
                <c:ptCount val="5"/>
                <c:pt idx="0">
                  <c:v>6.0097983231047836E-3</c:v>
                </c:pt>
                <c:pt idx="1">
                  <c:v>6.6898523079451881E-3</c:v>
                </c:pt>
                <c:pt idx="2">
                  <c:v>1.0519890774323323E-2</c:v>
                </c:pt>
                <c:pt idx="3">
                  <c:v>4.2109931976613999E-3</c:v>
                </c:pt>
                <c:pt idx="4">
                  <c:v>0.21605472025701369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FA-42BC-87D1-E68AABA30DC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25325536"/>
        <c:axId val="425321928"/>
      </c:barChart>
      <c:catAx>
        <c:axId val="4253255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Niveles</a:t>
                </a:r>
                <a:r>
                  <a:rPr lang="es-419" baseline="0"/>
                  <a:t> de la Planta</a:t>
                </a:r>
                <a:endParaRPr lang="es-419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5321928"/>
        <c:crosses val="autoZero"/>
        <c:auto val="1"/>
        <c:lblAlgn val="ctr"/>
        <c:lblOffset val="100"/>
        <c:noMultiLvlLbl val="0"/>
      </c:catAx>
      <c:valAx>
        <c:axId val="4253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Toneladas de carbón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5325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MX"/>
              <a:t>Gasto económico en Planta Térmica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'Cuantificación PC niveles'!$U$28</c:f>
              <c:strCache>
                <c:ptCount val="1"/>
                <c:pt idx="0">
                  <c:v>Gasto Económico según Ton. Carb C1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'Cuantificación PC niveles'!$T$30:$T$34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'Cuantificación PC niveles'!$U$30:$U$34</c:f>
              <c:numCache>
                <c:formatCode>_("$"* #,##0_);_("$"* \(#,##0\);_("$"* "-"_);_(@_)</c:formatCode>
                <c:ptCount val="5"/>
                <c:pt idx="0">
                  <c:v>31267.661687370401</c:v>
                </c:pt>
                <c:pt idx="1">
                  <c:v>77524.365565645276</c:v>
                </c:pt>
                <c:pt idx="2">
                  <c:v>66381.332146108049</c:v>
                </c:pt>
                <c:pt idx="3">
                  <c:v>16718.020904083012</c:v>
                </c:pt>
                <c:pt idx="4">
                  <c:v>1430770.4500526481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4C-B24A-BACF-43C4AB098565}"/>
            </c:ext>
          </c:extLst>
        </c:ser>
        <c:ser>
          <c:idx val="1"/>
          <c:order val="1"/>
          <c:tx>
            <c:strRef>
              <c:f>'Cuantificación PC niveles'!$V$28</c:f>
              <c:strCache>
                <c:ptCount val="1"/>
                <c:pt idx="0">
                  <c:v>Gasto Económico según Ton. Carb C2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'Cuantificación PC niveles'!$T$30:$T$34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'Cuantificación PC niveles'!$V$30:$V$34</c:f>
              <c:numCache>
                <c:formatCode>_("$"* #,##0_);_("$"* \(#,##0\);_("$"* "-"_);_(@_)</c:formatCode>
                <c:ptCount val="5"/>
                <c:pt idx="0">
                  <c:v>38308.943686074104</c:v>
                </c:pt>
                <c:pt idx="1">
                  <c:v>42643.889454317832</c:v>
                </c:pt>
                <c:pt idx="2">
                  <c:v>67058.140987500155</c:v>
                </c:pt>
                <c:pt idx="3">
                  <c:v>26842.614776515686</c:v>
                </c:pt>
                <c:pt idx="4">
                  <c:v>1377222.2737684906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4C-B24A-BACF-43C4AB09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740560528"/>
        <c:axId val="708386640"/>
      </c:barChart>
      <c:catAx>
        <c:axId val="74056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08386640"/>
        <c:crosses val="autoZero"/>
        <c:auto val="1"/>
        <c:lblAlgn val="ctr"/>
        <c:lblOffset val="100"/>
        <c:noMultiLvlLbl val="0"/>
      </c:catAx>
      <c:valAx>
        <c:axId val="708386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0560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Toneladas</a:t>
            </a:r>
            <a:r>
              <a:rPr lang="es-419" baseline="0"/>
              <a:t> de carbón consumidas-Planta térmica</a:t>
            </a:r>
            <a:endParaRPr lang="es-419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'Cuantificación PC aisl niv'!$G$28</c:f>
              <c:strCache>
                <c:ptCount val="1"/>
                <c:pt idx="0">
                  <c:v>c1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7.0327849606939309E-3"/>
                  <c:y val="-0.1187461528272338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A06-42C6-A51B-9F5966C6DA9C}"/>
                </c:ext>
              </c:extLst>
            </c:dLbl>
            <c:dLbl>
              <c:idx val="1"/>
              <c:layout>
                <c:manualLayout>
                  <c:x val="-9.3770466142585746E-3"/>
                  <c:y val="-9.895512735602808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06-42C6-A51B-9F5966C6DA9C}"/>
                </c:ext>
              </c:extLst>
            </c:dLbl>
            <c:dLbl>
              <c:idx val="2"/>
              <c:layout>
                <c:manualLayout>
                  <c:x val="-7.0327849606939309E-3"/>
                  <c:y val="-9.895512735602815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A06-42C6-A51B-9F5966C6DA9C}"/>
                </c:ext>
              </c:extLst>
            </c:dLbl>
            <c:dLbl>
              <c:idx val="3"/>
              <c:layout>
                <c:manualLayout>
                  <c:x val="-7.0327849606940168E-3"/>
                  <c:y val="-0.1147879477329925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06-42C6-A51B-9F5966C6DA9C}"/>
                </c:ext>
              </c:extLst>
            </c:dLbl>
            <c:dLbl>
              <c:idx val="4"/>
              <c:layout>
                <c:manualLayout>
                  <c:x val="-0.10080325110327977"/>
                  <c:y val="-3.95820509424114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A06-42C6-A51B-9F5966C6DA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'Cuantificación PC aisl niv'!$F$29:$F$33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'Cuantificación PC aisl niv'!$G$29:$G$33</c:f>
              <c:numCache>
                <c:formatCode>General</c:formatCode>
                <c:ptCount val="5"/>
                <c:pt idx="0">
                  <c:v>5.5057176463139772E-4</c:v>
                </c:pt>
                <c:pt idx="1">
                  <c:v>1.3389108793404707E-3</c:v>
                </c:pt>
                <c:pt idx="2">
                  <c:v>1.1444688772006503E-3</c:v>
                </c:pt>
                <c:pt idx="3">
                  <c:v>2.823516769841826E-4</c:v>
                </c:pt>
                <c:pt idx="4">
                  <c:v>2.405258234545711E-2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A06-42C6-A51B-9F5966C6DA9C}"/>
            </c:ext>
          </c:extLst>
        </c:ser>
        <c:ser>
          <c:idx val="1"/>
          <c:order val="1"/>
          <c:tx>
            <c:strRef>
              <c:f>'Cuantificación PC aisl niv'!$H$28</c:f>
              <c:strCache>
                <c:ptCount val="1"/>
                <c:pt idx="0">
                  <c:v>c2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1.4065569921387818E-2"/>
                  <c:y val="-7.916410188482245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A06-42C6-A51B-9F5966C6DA9C}"/>
                </c:ext>
              </c:extLst>
            </c:dLbl>
            <c:dLbl>
              <c:idx val="2"/>
              <c:layout>
                <c:manualLayout>
                  <c:x val="1.4065569921387862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A06-42C6-A51B-9F5966C6DA9C}"/>
                </c:ext>
              </c:extLst>
            </c:dLbl>
            <c:dLbl>
              <c:idx val="3"/>
              <c:layout>
                <c:manualLayout>
                  <c:x val="1.6409831574952419E-2"/>
                  <c:y val="-3.958205094241122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A06-42C6-A51B-9F5966C6DA9C}"/>
                </c:ext>
              </c:extLst>
            </c:dLbl>
            <c:dLbl>
              <c:idx val="4"/>
              <c:layout>
                <c:manualLayout>
                  <c:x val="-7.0327849606941027E-3"/>
                  <c:y val="-3.166564075392898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A06-42C6-A51B-9F5966C6DA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'Cuantificación PC aisl niv'!$F$29:$F$33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'Cuantificación PC aisl niv'!$H$29:$H$33</c:f>
              <c:numCache>
                <c:formatCode>General</c:formatCode>
                <c:ptCount val="5"/>
                <c:pt idx="0">
                  <c:v>5.6309574607631531E-4</c:v>
                </c:pt>
                <c:pt idx="1">
                  <c:v>6.1315990387397041E-4</c:v>
                </c:pt>
                <c:pt idx="2">
                  <c:v>9.8969586461444131E-4</c:v>
                </c:pt>
                <c:pt idx="3">
                  <c:v>4.0266658781723964E-4</c:v>
                </c:pt>
                <c:pt idx="4">
                  <c:v>2.0526612769620887E-2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06-42C6-A51B-9F5966C6DA9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25325536"/>
        <c:axId val="425321928"/>
      </c:barChart>
      <c:catAx>
        <c:axId val="4253255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Niveles</a:t>
                </a:r>
                <a:r>
                  <a:rPr lang="es-419" baseline="0"/>
                  <a:t> de la Planta</a:t>
                </a:r>
                <a:endParaRPr lang="es-419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5321928"/>
        <c:crosses val="autoZero"/>
        <c:auto val="1"/>
        <c:lblAlgn val="ctr"/>
        <c:lblOffset val="100"/>
        <c:noMultiLvlLbl val="0"/>
      </c:catAx>
      <c:valAx>
        <c:axId val="42532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Toneladas de carbón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25325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Consumo de toneladas</a:t>
            </a:r>
            <a:r>
              <a:rPr lang="es-419" baseline="0"/>
              <a:t> de carbón Calderas 1 y 2 </a:t>
            </a:r>
            <a:endParaRPr lang="es-419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5307229314782253"/>
          <c:y val="0.13548858447488585"/>
          <c:w val="0.81327074892337492"/>
          <c:h val="0.618745478732966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'Cuantificación PC aisl niv'!$N$27</c:f>
              <c:strCache>
                <c:ptCount val="1"/>
                <c:pt idx="0">
                  <c:v>c1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7.7669902912621356E-3"/>
                  <c:y val="-9.132420091324200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4-4B52-8970-3A91472B70D3}"/>
                </c:ext>
              </c:extLst>
            </c:dLbl>
            <c:dLbl>
              <c:idx val="1"/>
              <c:layout>
                <c:manualLayout>
                  <c:x val="-1.2944983818770274E-2"/>
                  <c:y val="-4.3835616438356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B94-4B52-8970-3A91472B70D3}"/>
                </c:ext>
              </c:extLst>
            </c:dLbl>
            <c:dLbl>
              <c:idx val="2"/>
              <c:layout>
                <c:manualLayout>
                  <c:x val="-1.0355987055016181E-2"/>
                  <c:y val="-6.940639269406399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B94-4B52-8970-3A91472B70D3}"/>
                </c:ext>
              </c:extLst>
            </c:dLbl>
            <c:dLbl>
              <c:idx val="3"/>
              <c:layout>
                <c:manualLayout>
                  <c:x val="-2.3300970873786409E-2"/>
                  <c:y val="-1.09589041095890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B94-4B52-8970-3A91472B70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'Cuantificación PC aisl niv'!$M$28:$M$32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'Cuantificación PC aisl niv'!$N$28:$N$32</c:f>
              <c:numCache>
                <c:formatCode>0.0000</c:formatCode>
                <c:ptCount val="5"/>
                <c:pt idx="0">
                  <c:v>4.9051819939497686E-3</c:v>
                </c:pt>
                <c:pt idx="1">
                  <c:v>1.2161802371636292E-2</c:v>
                </c:pt>
                <c:pt idx="2">
                  <c:v>1.0413714924803894E-2</c:v>
                </c:pt>
                <c:pt idx="3">
                  <c:v>2.6226756555418132E-3</c:v>
                </c:pt>
                <c:pt idx="4" formatCode="0.000">
                  <c:v>0.22445520612462158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94-4B52-8970-3A91472B70D3}"/>
            </c:ext>
          </c:extLst>
        </c:ser>
        <c:ser>
          <c:idx val="1"/>
          <c:order val="1"/>
          <c:tx>
            <c:strRef>
              <c:f>'Cuantificación PC aisl niv'!$O$27</c:f>
              <c:strCache>
                <c:ptCount val="1"/>
                <c:pt idx="0">
                  <c:v>c1 con aislante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7.7669902912621356E-3"/>
                  <c:y val="-1.826484018264840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B94-4B52-8970-3A91472B70D3}"/>
                </c:ext>
              </c:extLst>
            </c:dLbl>
            <c:dLbl>
              <c:idx val="1"/>
              <c:layout>
                <c:manualLayout>
                  <c:x val="-1.2944983818770227E-2"/>
                  <c:y val="-1.8264840182648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B94-4B52-8970-3A91472B70D3}"/>
                </c:ext>
              </c:extLst>
            </c:dLbl>
            <c:dLbl>
              <c:idx val="2"/>
              <c:layout>
                <c:manualLayout>
                  <c:x val="-7.7669902912621356E-3"/>
                  <c:y val="-3.287671232876725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B94-4B52-8970-3A91472B70D3}"/>
                </c:ext>
              </c:extLst>
            </c:dLbl>
            <c:dLbl>
              <c:idx val="3"/>
              <c:layout>
                <c:manualLayout>
                  <c:x val="-1.5533980582524271E-2"/>
                  <c:y val="-7.305936073059360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B94-4B52-8970-3A91472B70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'Cuantificación PC aisl niv'!$M$28:$M$32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'Cuantificación PC aisl niv'!$O$28:$O$32</c:f>
              <c:numCache>
                <c:formatCode>0.0000</c:formatCode>
                <c:ptCount val="5"/>
                <c:pt idx="0">
                  <c:v>5.5057176463139772E-4</c:v>
                </c:pt>
                <c:pt idx="1">
                  <c:v>1.3389108793404707E-3</c:v>
                </c:pt>
                <c:pt idx="2">
                  <c:v>1.1444688772006503E-3</c:v>
                </c:pt>
                <c:pt idx="3">
                  <c:v>2.823516769841826E-4</c:v>
                </c:pt>
                <c:pt idx="4" formatCode="0.000">
                  <c:v>2.405258234545711E-2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94-4B52-8970-3A91472B70D3}"/>
            </c:ext>
          </c:extLst>
        </c:ser>
        <c:ser>
          <c:idx val="2"/>
          <c:order val="2"/>
          <c:tx>
            <c:strRef>
              <c:f>'Cuantificación PC aisl niv'!$P$27</c:f>
              <c:strCache>
                <c:ptCount val="1"/>
                <c:pt idx="0">
                  <c:v>c2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7.7669902912620888E-3"/>
                  <c:y val="-8.40182648401827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B94-4B52-8970-3A91472B70D3}"/>
                </c:ext>
              </c:extLst>
            </c:dLbl>
            <c:dLbl>
              <c:idx val="1"/>
              <c:layout>
                <c:manualLayout>
                  <c:x val="1.2944983818770227E-2"/>
                  <c:y val="-9.497716894977176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B94-4B52-8970-3A91472B70D3}"/>
                </c:ext>
              </c:extLst>
            </c:dLbl>
            <c:dLbl>
              <c:idx val="2"/>
              <c:layout>
                <c:manualLayout>
                  <c:x val="2.5889967637540453E-3"/>
                  <c:y val="-3.2876712328767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B94-4B52-8970-3A91472B70D3}"/>
                </c:ext>
              </c:extLst>
            </c:dLbl>
            <c:dLbl>
              <c:idx val="3"/>
              <c:layout>
                <c:manualLayout>
                  <c:x val="5.1779935275080907E-3"/>
                  <c:y val="-0.113242009132420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B94-4B52-8970-3A91472B70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'Cuantificación PC aisl niv'!$M$28:$M$32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'Cuantificación PC aisl niv'!$P$28:$P$32</c:f>
              <c:numCache>
                <c:formatCode>0.0000</c:formatCode>
                <c:ptCount val="5"/>
                <c:pt idx="0">
                  <c:v>6.0097983231047836E-3</c:v>
                </c:pt>
                <c:pt idx="1">
                  <c:v>6.6898523079451881E-3</c:v>
                </c:pt>
                <c:pt idx="2">
                  <c:v>1.0519890774323323E-2</c:v>
                </c:pt>
                <c:pt idx="3">
                  <c:v>4.2109931976613999E-3</c:v>
                </c:pt>
                <c:pt idx="4" formatCode="0.000">
                  <c:v>0.21605472025701369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94-4B52-8970-3A91472B70D3}"/>
            </c:ext>
          </c:extLst>
        </c:ser>
        <c:ser>
          <c:idx val="3"/>
          <c:order val="3"/>
          <c:tx>
            <c:strRef>
              <c:f>'Cuantificación PC aisl niv'!$Q$27</c:f>
              <c:strCache>
                <c:ptCount val="1"/>
                <c:pt idx="0">
                  <c:v>c2 con aislante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2944983818770227E-2"/>
                  <c:y val="-0.1716894977168949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B94-4B52-8970-3A91472B70D3}"/>
                </c:ext>
              </c:extLst>
            </c:dLbl>
            <c:dLbl>
              <c:idx val="1"/>
              <c:layout>
                <c:manualLayout>
                  <c:x val="2.84789644012945E-2"/>
                  <c:y val="-0.1643835616438356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B94-4B52-8970-3A91472B70D3}"/>
                </c:ext>
              </c:extLst>
            </c:dLbl>
            <c:dLbl>
              <c:idx val="2"/>
              <c:layout>
                <c:manualLayout>
                  <c:x val="1.8122977346278317E-2"/>
                  <c:y val="-0.11324200913242009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B94-4B52-8970-3A91472B70D3}"/>
                </c:ext>
              </c:extLst>
            </c:dLbl>
            <c:dLbl>
              <c:idx val="3"/>
              <c:layout>
                <c:manualLayout>
                  <c:x val="7.7669902912620411E-3"/>
                  <c:y val="-7.671232876712329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B94-4B52-8970-3A91472B70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'Cuantificación PC aisl niv'!$M$28:$M$32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'Cuantificación PC aisl niv'!$Q$28:$Q$32</c:f>
              <c:numCache>
                <c:formatCode>0.0000</c:formatCode>
                <c:ptCount val="5"/>
                <c:pt idx="0">
                  <c:v>5.6309574607631531E-4</c:v>
                </c:pt>
                <c:pt idx="1">
                  <c:v>6.1315990387397041E-4</c:v>
                </c:pt>
                <c:pt idx="2">
                  <c:v>9.8969586461444131E-4</c:v>
                </c:pt>
                <c:pt idx="3">
                  <c:v>4.0266658781723964E-4</c:v>
                </c:pt>
                <c:pt idx="4" formatCode="0.000">
                  <c:v>2.0526612769620887E-2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94-4B52-8970-3A91472B70D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23375992"/>
        <c:axId val="523373696"/>
      </c:barChart>
      <c:catAx>
        <c:axId val="5233759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Niveles de la Planta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3373696"/>
        <c:crosses val="autoZero"/>
        <c:auto val="1"/>
        <c:lblAlgn val="ctr"/>
        <c:lblOffset val="100"/>
        <c:noMultiLvlLbl val="0"/>
      </c:catAx>
      <c:valAx>
        <c:axId val="523373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Toneladas de carbón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23375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152400</xdr:colOff>
      <xdr:row>5</xdr:row>
      <xdr:rowOff>95250</xdr:rowOff>
    </xdr:from>
    <xdr:to>
      <xdr:col>19</xdr:col>
      <xdr:colOff>56876</xdr:colOff>
      <xdr:row>7</xdr:row>
      <xdr:rowOff>190440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3EE40F0-7783-7E0A-30D2-BA5977349E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858875" y="1647825"/>
          <a:ext cx="2190476" cy="476190"/>
        </a:xfrm>
        <a:prstGeom prst="rect">
          <a:avLst/>
        </a:prstGeom>
      </xdr:spPr>
    </xdr:pic>
    <xdr:clientData/>
  </xdr:twoCellAnchor>
  <xdr:twoCellAnchor editAs="oneCell">
    <xdr:from>
      <xdr:col>16</xdr:col>
      <xdr:colOff>457200</xdr:colOff>
      <xdr:row>10</xdr:row>
      <xdr:rowOff>85725</xdr:rowOff>
    </xdr:from>
    <xdr:to>
      <xdr:col>18</xdr:col>
      <xdr:colOff>390343</xdr:colOff>
      <xdr:row>13</xdr:row>
      <xdr:rowOff>18960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38459F8-2874-8C5B-8E71-09277B500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163675" y="2609850"/>
          <a:ext cx="1457143" cy="723810"/>
        </a:xfrm>
        <a:prstGeom prst="rect">
          <a:avLst/>
        </a:prstGeom>
      </xdr:spPr>
    </xdr:pic>
    <xdr:clientData/>
  </xdr:twoCellAnchor>
  <xdr:twoCellAnchor>
    <xdr:from>
      <xdr:col>22</xdr:col>
      <xdr:colOff>9525</xdr:colOff>
      <xdr:row>8</xdr:row>
      <xdr:rowOff>180975</xdr:rowOff>
    </xdr:from>
    <xdr:to>
      <xdr:col>22</xdr:col>
      <xdr:colOff>742950</xdr:colOff>
      <xdr:row>11</xdr:row>
      <xdr:rowOff>85725</xdr:rowOff>
    </xdr:to>
    <xdr:cxnSp macro="">
      <xdr:nvCxnSpPr>
        <xdr:cNvPr id="5" name="Conector recto de flecha 4">
          <a:extLst>
            <a:ext uri="{FF2B5EF4-FFF2-40B4-BE49-F238E27FC236}">
              <a16:creationId xmlns:a16="http://schemas.microsoft.com/office/drawing/2014/main" id="{AED8815F-291C-F3E8-C4E4-03410E73D52F}"/>
            </a:ext>
          </a:extLst>
        </xdr:cNvPr>
        <xdr:cNvCxnSpPr/>
      </xdr:nvCxnSpPr>
      <xdr:spPr>
        <a:xfrm>
          <a:off x="19011900" y="2314575"/>
          <a:ext cx="733425" cy="4953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19050</xdr:colOff>
      <xdr:row>11</xdr:row>
      <xdr:rowOff>276225</xdr:rowOff>
    </xdr:from>
    <xdr:to>
      <xdr:col>22</xdr:col>
      <xdr:colOff>742950</xdr:colOff>
      <xdr:row>16</xdr:row>
      <xdr:rowOff>180975</xdr:rowOff>
    </xdr:to>
    <xdr:cxnSp macro="">
      <xdr:nvCxnSpPr>
        <xdr:cNvPr id="7" name="Conector recto de flecha 6">
          <a:extLst>
            <a:ext uri="{FF2B5EF4-FFF2-40B4-BE49-F238E27FC236}">
              <a16:creationId xmlns:a16="http://schemas.microsoft.com/office/drawing/2014/main" id="{DB36D06E-740D-813A-2A29-69DAC40CE760}"/>
            </a:ext>
          </a:extLst>
        </xdr:cNvPr>
        <xdr:cNvCxnSpPr/>
      </xdr:nvCxnSpPr>
      <xdr:spPr>
        <a:xfrm flipV="1">
          <a:off x="19021425" y="3000375"/>
          <a:ext cx="723900" cy="10858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0</xdr:colOff>
      <xdr:row>11</xdr:row>
      <xdr:rowOff>295275</xdr:rowOff>
    </xdr:from>
    <xdr:to>
      <xdr:col>22</xdr:col>
      <xdr:colOff>733425</xdr:colOff>
      <xdr:row>14</xdr:row>
      <xdr:rowOff>171450</xdr:rowOff>
    </xdr:to>
    <xdr:cxnSp macro="">
      <xdr:nvCxnSpPr>
        <xdr:cNvPr id="9" name="Conector recto de flecha 8">
          <a:extLst>
            <a:ext uri="{FF2B5EF4-FFF2-40B4-BE49-F238E27FC236}">
              <a16:creationId xmlns:a16="http://schemas.microsoft.com/office/drawing/2014/main" id="{7D242BED-55E8-4F0E-F807-D422249698EA}"/>
            </a:ext>
          </a:extLst>
        </xdr:cNvPr>
        <xdr:cNvCxnSpPr/>
      </xdr:nvCxnSpPr>
      <xdr:spPr>
        <a:xfrm>
          <a:off x="19002375" y="3019425"/>
          <a:ext cx="733425" cy="6667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22</xdr:col>
      <xdr:colOff>9525</xdr:colOff>
      <xdr:row>15</xdr:row>
      <xdr:rowOff>57150</xdr:rowOff>
    </xdr:from>
    <xdr:to>
      <xdr:col>22</xdr:col>
      <xdr:colOff>714375</xdr:colOff>
      <xdr:row>19</xdr:row>
      <xdr:rowOff>180975</xdr:rowOff>
    </xdr:to>
    <xdr:cxnSp macro="">
      <xdr:nvCxnSpPr>
        <xdr:cNvPr id="11" name="Conector recto de flecha 10">
          <a:extLst>
            <a:ext uri="{FF2B5EF4-FFF2-40B4-BE49-F238E27FC236}">
              <a16:creationId xmlns:a16="http://schemas.microsoft.com/office/drawing/2014/main" id="{030A0E5A-3753-C70B-CB40-01D35481BEE3}"/>
            </a:ext>
          </a:extLst>
        </xdr:cNvPr>
        <xdr:cNvCxnSpPr/>
      </xdr:nvCxnSpPr>
      <xdr:spPr>
        <a:xfrm flipV="1">
          <a:off x="19011900" y="3762375"/>
          <a:ext cx="704850" cy="914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8</xdr:row>
      <xdr:rowOff>180975</xdr:rowOff>
    </xdr:from>
    <xdr:to>
      <xdr:col>22</xdr:col>
      <xdr:colOff>742950</xdr:colOff>
      <xdr:row>11</xdr:row>
      <xdr:rowOff>85725</xdr:rowOff>
    </xdr:to>
    <xdr:cxnSp macro="">
      <xdr:nvCxnSpPr>
        <xdr:cNvPr id="2" name="Conector recto de flecha 1">
          <a:extLst>
            <a:ext uri="{FF2B5EF4-FFF2-40B4-BE49-F238E27FC236}">
              <a16:creationId xmlns:a16="http://schemas.microsoft.com/office/drawing/2014/main" id="{05ABB6E6-1671-4339-887E-5DA0FAE4E080}"/>
            </a:ext>
          </a:extLst>
        </xdr:cNvPr>
        <xdr:cNvCxnSpPr/>
      </xdr:nvCxnSpPr>
      <xdr:spPr>
        <a:xfrm>
          <a:off x="19011900" y="2314575"/>
          <a:ext cx="733425" cy="4953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19050</xdr:colOff>
      <xdr:row>11</xdr:row>
      <xdr:rowOff>276225</xdr:rowOff>
    </xdr:from>
    <xdr:to>
      <xdr:col>22</xdr:col>
      <xdr:colOff>742950</xdr:colOff>
      <xdr:row>16</xdr:row>
      <xdr:rowOff>180975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91DE9243-EC8F-4B6A-B091-B85349A7E856}"/>
            </a:ext>
          </a:extLst>
        </xdr:cNvPr>
        <xdr:cNvCxnSpPr/>
      </xdr:nvCxnSpPr>
      <xdr:spPr>
        <a:xfrm flipV="1">
          <a:off x="19021425" y="3000375"/>
          <a:ext cx="723900" cy="10858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0</xdr:colOff>
      <xdr:row>11</xdr:row>
      <xdr:rowOff>295275</xdr:rowOff>
    </xdr:from>
    <xdr:to>
      <xdr:col>22</xdr:col>
      <xdr:colOff>733425</xdr:colOff>
      <xdr:row>14</xdr:row>
      <xdr:rowOff>171450</xdr:rowOff>
    </xdr:to>
    <xdr:cxnSp macro="">
      <xdr:nvCxnSpPr>
        <xdr:cNvPr id="4" name="Conector recto de flecha 3">
          <a:extLst>
            <a:ext uri="{FF2B5EF4-FFF2-40B4-BE49-F238E27FC236}">
              <a16:creationId xmlns:a16="http://schemas.microsoft.com/office/drawing/2014/main" id="{D5B433FE-3E7D-40EC-8281-A91073CB9FA8}"/>
            </a:ext>
          </a:extLst>
        </xdr:cNvPr>
        <xdr:cNvCxnSpPr/>
      </xdr:nvCxnSpPr>
      <xdr:spPr>
        <a:xfrm>
          <a:off x="19002375" y="3019425"/>
          <a:ext cx="733425" cy="666750"/>
        </a:xfrm>
        <a:prstGeom prst="straightConnector1">
          <a:avLst/>
        </a:prstGeom>
        <a:ln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22</xdr:col>
      <xdr:colOff>9525</xdr:colOff>
      <xdr:row>15</xdr:row>
      <xdr:rowOff>57150</xdr:rowOff>
    </xdr:from>
    <xdr:to>
      <xdr:col>22</xdr:col>
      <xdr:colOff>714375</xdr:colOff>
      <xdr:row>19</xdr:row>
      <xdr:rowOff>180975</xdr:rowOff>
    </xdr:to>
    <xdr:cxnSp macro="">
      <xdr:nvCxnSpPr>
        <xdr:cNvPr id="5" name="Conector recto de flecha 4">
          <a:extLst>
            <a:ext uri="{FF2B5EF4-FFF2-40B4-BE49-F238E27FC236}">
              <a16:creationId xmlns:a16="http://schemas.microsoft.com/office/drawing/2014/main" id="{9762ED65-2D10-448D-B391-12DB50243CC1}"/>
            </a:ext>
          </a:extLst>
        </xdr:cNvPr>
        <xdr:cNvCxnSpPr/>
      </xdr:nvCxnSpPr>
      <xdr:spPr>
        <a:xfrm flipV="1">
          <a:off x="19011900" y="3762375"/>
          <a:ext cx="704850" cy="914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16</xdr:col>
      <xdr:colOff>85725</xdr:colOff>
      <xdr:row>5</xdr:row>
      <xdr:rowOff>114300</xdr:rowOff>
    </xdr:from>
    <xdr:to>
      <xdr:col>18</xdr:col>
      <xdr:colOff>752201</xdr:colOff>
      <xdr:row>8</xdr:row>
      <xdr:rowOff>9465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5063BEB1-8A65-423B-A5FC-29BD171B6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34925" y="2047875"/>
          <a:ext cx="2190476" cy="476190"/>
        </a:xfrm>
        <a:prstGeom prst="rect">
          <a:avLst/>
        </a:prstGeom>
      </xdr:spPr>
    </xdr:pic>
    <xdr:clientData/>
  </xdr:twoCellAnchor>
  <xdr:twoCellAnchor editAs="oneCell">
    <xdr:from>
      <xdr:col>16</xdr:col>
      <xdr:colOff>390525</xdr:colOff>
      <xdr:row>10</xdr:row>
      <xdr:rowOff>104775</xdr:rowOff>
    </xdr:from>
    <xdr:to>
      <xdr:col>18</xdr:col>
      <xdr:colOff>323668</xdr:colOff>
      <xdr:row>12</xdr:row>
      <xdr:rowOff>47535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3FAA5E8-2A87-4A8B-B69D-B418DAEAC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039725" y="3009900"/>
          <a:ext cx="1457143" cy="7238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39219</xdr:colOff>
      <xdr:row>13</xdr:row>
      <xdr:rowOff>62751</xdr:rowOff>
    </xdr:from>
    <xdr:to>
      <xdr:col>11</xdr:col>
      <xdr:colOff>392204</xdr:colOff>
      <xdr:row>36</xdr:row>
      <xdr:rowOff>78441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C07B36F9-414B-C6EF-7606-A34B6E784E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599512</xdr:colOff>
      <xdr:row>12</xdr:row>
      <xdr:rowOff>118782</xdr:rowOff>
    </xdr:from>
    <xdr:to>
      <xdr:col>20</xdr:col>
      <xdr:colOff>134469</xdr:colOff>
      <xdr:row>32</xdr:row>
      <xdr:rowOff>89647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F7EBE08A-EFB2-86DB-C048-B0714FAA25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581025</xdr:colOff>
      <xdr:row>23</xdr:row>
      <xdr:rowOff>33337</xdr:rowOff>
    </xdr:from>
    <xdr:to>
      <xdr:col>11</xdr:col>
      <xdr:colOff>273984</xdr:colOff>
      <xdr:row>39</xdr:row>
      <xdr:rowOff>136712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0A14F54-6C6A-FD9C-86EF-E31A64A791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84970</xdr:colOff>
      <xdr:row>12</xdr:row>
      <xdr:rowOff>122249</xdr:rowOff>
    </xdr:from>
    <xdr:to>
      <xdr:col>18</xdr:col>
      <xdr:colOff>271359</xdr:colOff>
      <xdr:row>26</xdr:row>
      <xdr:rowOff>170126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B23BB9D-4DC0-3023-5054-E7E2D08C1B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581025</xdr:colOff>
      <xdr:row>23</xdr:row>
      <xdr:rowOff>23812</xdr:rowOff>
    </xdr:from>
    <xdr:to>
      <xdr:col>11</xdr:col>
      <xdr:colOff>273984</xdr:colOff>
      <xdr:row>39</xdr:row>
      <xdr:rowOff>127187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9E890F3-9578-4D0E-9A2A-EBADFCB3DB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619125</xdr:colOff>
      <xdr:row>22</xdr:row>
      <xdr:rowOff>190499</xdr:rowOff>
    </xdr:from>
    <xdr:to>
      <xdr:col>17</xdr:col>
      <xdr:colOff>304800</xdr:colOff>
      <xdr:row>40</xdr:row>
      <xdr:rowOff>180974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B268AF8-B46D-5668-06D2-7761B9FCC3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939BC-8C9C-4ACD-9AB9-64497AEA5529}">
  <dimension ref="B1:AB104"/>
  <sheetViews>
    <sheetView topLeftCell="A69" workbookViewId="0">
      <selection activeCell="K102" sqref="K102"/>
    </sheetView>
  </sheetViews>
  <sheetFormatPr baseColWidth="10" defaultRowHeight="15" x14ac:dyDescent="0.2"/>
  <cols>
    <col min="3" max="3" width="11.5" style="7"/>
    <col min="5" max="5" width="14.6640625" customWidth="1"/>
    <col min="6" max="6" width="16.33203125" customWidth="1"/>
    <col min="7" max="8" width="15.5" customWidth="1"/>
    <col min="9" max="9" width="19" customWidth="1"/>
    <col min="10" max="10" width="16.33203125" style="7" customWidth="1"/>
    <col min="11" max="11" width="16.83203125" customWidth="1"/>
    <col min="13" max="13" width="15.5" bestFit="1" customWidth="1"/>
    <col min="14" max="14" width="16" customWidth="1"/>
    <col min="15" max="15" width="17.1640625" customWidth="1"/>
    <col min="16" max="16" width="14.5" customWidth="1"/>
    <col min="19" max="19" width="12.5" bestFit="1" customWidth="1"/>
  </cols>
  <sheetData>
    <row r="1" spans="2:26" ht="16" thickBot="1" x14ac:dyDescent="0.25"/>
    <row r="2" spans="2:26" ht="16" thickBot="1" x14ac:dyDescent="0.25">
      <c r="B2" s="10"/>
      <c r="C2" s="122" t="s">
        <v>0</v>
      </c>
      <c r="D2" s="123" t="s">
        <v>1</v>
      </c>
      <c r="E2" s="125" t="s">
        <v>2</v>
      </c>
      <c r="F2" s="126"/>
      <c r="G2" s="126"/>
      <c r="H2" s="126"/>
      <c r="I2" s="126"/>
      <c r="J2" s="126"/>
      <c r="K2" s="127"/>
      <c r="M2" s="118" t="s">
        <v>29</v>
      </c>
      <c r="N2" s="119"/>
      <c r="O2" s="119"/>
      <c r="P2" s="119"/>
      <c r="Q2" s="119"/>
      <c r="R2" s="119"/>
      <c r="S2" s="119"/>
      <c r="T2" s="119"/>
      <c r="U2" s="120"/>
    </row>
    <row r="3" spans="2:26" ht="48" x14ac:dyDescent="0.2">
      <c r="B3" s="10"/>
      <c r="C3" s="122"/>
      <c r="D3" s="124"/>
      <c r="E3" s="21" t="s">
        <v>3</v>
      </c>
      <c r="F3" s="22" t="s">
        <v>4</v>
      </c>
      <c r="G3" s="22" t="s">
        <v>5</v>
      </c>
      <c r="H3" s="22" t="s">
        <v>6</v>
      </c>
      <c r="I3" s="22" t="s">
        <v>7</v>
      </c>
      <c r="J3" s="25" t="s">
        <v>17</v>
      </c>
      <c r="K3" s="23" t="s">
        <v>8</v>
      </c>
      <c r="M3" s="24" t="s">
        <v>3</v>
      </c>
      <c r="N3" s="24" t="s">
        <v>4</v>
      </c>
      <c r="O3" s="24" t="s">
        <v>5</v>
      </c>
      <c r="P3" s="23" t="s">
        <v>6</v>
      </c>
      <c r="Q3" s="23" t="s">
        <v>7</v>
      </c>
      <c r="R3" s="23" t="s">
        <v>21</v>
      </c>
      <c r="S3" s="23" t="s">
        <v>22</v>
      </c>
      <c r="T3" s="23" t="s">
        <v>23</v>
      </c>
      <c r="U3" s="31" t="s">
        <v>35</v>
      </c>
    </row>
    <row r="4" spans="2:26" x14ac:dyDescent="0.2">
      <c r="B4" s="108" t="s">
        <v>24</v>
      </c>
      <c r="C4" s="28" t="s">
        <v>9</v>
      </c>
      <c r="D4" s="18">
        <v>1</v>
      </c>
      <c r="E4" s="14">
        <v>95.3</v>
      </c>
      <c r="F4" s="12">
        <v>21.9</v>
      </c>
      <c r="G4" s="12">
        <v>370.45</v>
      </c>
      <c r="H4" s="12">
        <v>297.04999999999995</v>
      </c>
      <c r="I4" s="12">
        <v>0.06</v>
      </c>
      <c r="J4" s="36">
        <v>6</v>
      </c>
      <c r="K4" s="12">
        <f>J4*I4*(G4-H4)</f>
        <v>26.42400000000001</v>
      </c>
      <c r="M4" s="12">
        <v>95.3</v>
      </c>
      <c r="N4" s="12">
        <v>21.9</v>
      </c>
      <c r="O4" s="12">
        <v>370.45</v>
      </c>
      <c r="P4" s="12">
        <v>297.04999999999995</v>
      </c>
      <c r="Q4" s="12">
        <v>0.06</v>
      </c>
      <c r="R4" s="4">
        <v>7.0000000000000007E-2</v>
      </c>
      <c r="S4" s="4">
        <v>5.6699999999999998E-8</v>
      </c>
      <c r="T4" s="12">
        <f>$R$4*$S$4*I4*((G4^4)-(H4^4))</f>
        <v>2.6307047770412879</v>
      </c>
      <c r="U4" s="32">
        <v>2.9001039993100299</v>
      </c>
    </row>
    <row r="5" spans="2:26" x14ac:dyDescent="0.2">
      <c r="B5" s="108"/>
      <c r="C5" s="28"/>
      <c r="D5" s="18">
        <v>2</v>
      </c>
      <c r="E5" s="14">
        <v>100.5</v>
      </c>
      <c r="F5" s="12">
        <v>21.9</v>
      </c>
      <c r="G5" s="12">
        <v>375.65</v>
      </c>
      <c r="H5" s="12">
        <v>297.04999999999995</v>
      </c>
      <c r="I5" s="12">
        <v>7.1999999999999995E-2</v>
      </c>
      <c r="J5" s="36">
        <v>6</v>
      </c>
      <c r="K5" s="12">
        <f t="shared" ref="K5:K68" si="0">J5*I5*(G5-H5)</f>
        <v>33.955200000000005</v>
      </c>
      <c r="M5" s="12">
        <v>100.5</v>
      </c>
      <c r="N5" s="12">
        <v>21.9</v>
      </c>
      <c r="O5" s="12">
        <v>375.65</v>
      </c>
      <c r="P5" s="12">
        <v>297.04999999999995</v>
      </c>
      <c r="Q5" s="12">
        <v>7.1999999999999995E-2</v>
      </c>
      <c r="R5" s="10"/>
      <c r="S5" s="10"/>
      <c r="T5" s="12">
        <f t="shared" ref="T5:T68" si="1">$R$4*$S$4*I5*((G5^4)-(H5^4))</f>
        <v>3.4654480325153396</v>
      </c>
      <c r="U5" s="32">
        <v>2.9708224864890624</v>
      </c>
    </row>
    <row r="6" spans="2:26" x14ac:dyDescent="0.2">
      <c r="B6" s="108"/>
      <c r="C6" s="28"/>
      <c r="D6" s="18">
        <v>3</v>
      </c>
      <c r="E6" s="14">
        <v>97.9</v>
      </c>
      <c r="F6" s="12">
        <v>21.9</v>
      </c>
      <c r="G6" s="12">
        <v>373.04999999999995</v>
      </c>
      <c r="H6" s="12">
        <v>297.04999999999995</v>
      </c>
      <c r="I6" s="12">
        <v>0.28899999999999998</v>
      </c>
      <c r="J6" s="36">
        <v>6</v>
      </c>
      <c r="K6" s="12">
        <f t="shared" si="0"/>
        <v>131.78399999999999</v>
      </c>
      <c r="M6" s="12">
        <v>97.9</v>
      </c>
      <c r="N6" s="12">
        <v>21.9</v>
      </c>
      <c r="O6" s="12">
        <v>373.04999999999995</v>
      </c>
      <c r="P6" s="12">
        <v>297.04999999999995</v>
      </c>
      <c r="Q6" s="12">
        <v>0.28899999999999998</v>
      </c>
      <c r="R6" s="10"/>
      <c r="S6" s="10"/>
      <c r="T6" s="12">
        <f t="shared" si="1"/>
        <v>13.284101057972217</v>
      </c>
      <c r="U6" s="32">
        <v>2.9352971273942385</v>
      </c>
    </row>
    <row r="7" spans="2:26" ht="16" thickBot="1" x14ac:dyDescent="0.25">
      <c r="B7" s="108"/>
      <c r="C7" s="28"/>
      <c r="D7" s="18">
        <v>4</v>
      </c>
      <c r="E7" s="14">
        <v>93.5</v>
      </c>
      <c r="F7" s="12">
        <v>21.9</v>
      </c>
      <c r="G7" s="12">
        <v>368.65</v>
      </c>
      <c r="H7" s="12">
        <v>297.04999999999995</v>
      </c>
      <c r="I7" s="12">
        <v>0.14399999999999999</v>
      </c>
      <c r="J7" s="36">
        <v>6</v>
      </c>
      <c r="K7" s="12">
        <f t="shared" si="0"/>
        <v>61.862400000000008</v>
      </c>
      <c r="M7" s="12">
        <v>93.5</v>
      </c>
      <c r="N7" s="12">
        <v>21.9</v>
      </c>
      <c r="O7" s="12">
        <v>368.65</v>
      </c>
      <c r="P7" s="12">
        <v>297.04999999999995</v>
      </c>
      <c r="Q7" s="12">
        <v>0.14399999999999999</v>
      </c>
      <c r="R7" s="10"/>
      <c r="S7" s="10"/>
      <c r="T7" s="12">
        <f t="shared" si="1"/>
        <v>6.1060097395367876</v>
      </c>
      <c r="U7" s="32">
        <v>2.8759335038830147</v>
      </c>
    </row>
    <row r="8" spans="2:26" x14ac:dyDescent="0.2">
      <c r="B8" s="108"/>
      <c r="C8" s="28"/>
      <c r="D8" s="18">
        <v>5</v>
      </c>
      <c r="E8" s="14">
        <v>90.2</v>
      </c>
      <c r="F8" s="12">
        <v>21.9</v>
      </c>
      <c r="G8" s="12">
        <v>365.34999999999997</v>
      </c>
      <c r="H8" s="12">
        <v>297.04999999999995</v>
      </c>
      <c r="I8" s="12">
        <v>0.125</v>
      </c>
      <c r="J8" s="36">
        <v>6</v>
      </c>
      <c r="K8" s="12">
        <f t="shared" si="0"/>
        <v>51.225000000000009</v>
      </c>
      <c r="M8" s="12">
        <v>90.2</v>
      </c>
      <c r="N8" s="12">
        <v>21.9</v>
      </c>
      <c r="O8" s="12">
        <v>365.34999999999997</v>
      </c>
      <c r="P8" s="12">
        <v>297.04999999999995</v>
      </c>
      <c r="Q8" s="12">
        <v>0.125</v>
      </c>
      <c r="R8" s="10"/>
      <c r="S8" s="10"/>
      <c r="T8" s="12">
        <f t="shared" si="1"/>
        <v>4.9766338261910956</v>
      </c>
      <c r="U8" s="32">
        <v>2.8320316151468639</v>
      </c>
      <c r="W8" s="128" t="s">
        <v>32</v>
      </c>
      <c r="X8" s="129"/>
      <c r="Y8" s="114">
        <f>T103+K103</f>
        <v>88051.581296278731</v>
      </c>
      <c r="Z8" s="115"/>
    </row>
    <row r="9" spans="2:26" ht="16" thickBot="1" x14ac:dyDescent="0.25">
      <c r="B9" s="108"/>
      <c r="C9" s="28" t="s">
        <v>10</v>
      </c>
      <c r="D9" s="18">
        <v>6</v>
      </c>
      <c r="E9" s="14">
        <v>100.83999999999999</v>
      </c>
      <c r="F9" s="12">
        <v>19.100000000000001</v>
      </c>
      <c r="G9" s="12">
        <v>375.98999999999995</v>
      </c>
      <c r="H9" s="12">
        <v>294.25</v>
      </c>
      <c r="I9" s="12">
        <v>9.8000000000000004E-2</v>
      </c>
      <c r="J9" s="36">
        <v>6</v>
      </c>
      <c r="K9" s="12">
        <f t="shared" si="0"/>
        <v>48.063119999999977</v>
      </c>
      <c r="M9" s="12">
        <v>100.83999999999999</v>
      </c>
      <c r="N9" s="12">
        <v>19.100000000000001</v>
      </c>
      <c r="O9" s="12">
        <v>375.98999999999995</v>
      </c>
      <c r="P9" s="12">
        <v>294.25</v>
      </c>
      <c r="Q9" s="12">
        <v>9.8000000000000004E-2</v>
      </c>
      <c r="R9" s="10"/>
      <c r="S9" s="10"/>
      <c r="T9" s="12">
        <f t="shared" si="1"/>
        <v>4.857520996591866</v>
      </c>
      <c r="U9" s="32">
        <v>2.9427407622660744</v>
      </c>
      <c r="W9" s="130"/>
      <c r="X9" s="131"/>
      <c r="Y9" s="116"/>
      <c r="Z9" s="117"/>
    </row>
    <row r="10" spans="2:26" x14ac:dyDescent="0.2">
      <c r="B10" s="108"/>
      <c r="C10" s="28"/>
      <c r="D10" s="18">
        <v>7</v>
      </c>
      <c r="E10" s="14">
        <v>117.60000000000001</v>
      </c>
      <c r="F10" s="12">
        <v>19.100000000000001</v>
      </c>
      <c r="G10" s="12">
        <v>392.75</v>
      </c>
      <c r="H10" s="12">
        <v>294.25</v>
      </c>
      <c r="I10" s="12">
        <v>1.4999999999999999E-2</v>
      </c>
      <c r="J10" s="36">
        <v>6</v>
      </c>
      <c r="K10" s="12">
        <f t="shared" si="0"/>
        <v>8.8650000000000002</v>
      </c>
      <c r="M10" s="12">
        <v>117.60000000000001</v>
      </c>
      <c r="N10" s="12">
        <v>19.100000000000001</v>
      </c>
      <c r="O10" s="12">
        <v>392.75</v>
      </c>
      <c r="P10" s="12">
        <v>294.25</v>
      </c>
      <c r="Q10" s="12">
        <v>1.4999999999999999E-2</v>
      </c>
      <c r="R10" s="10"/>
      <c r="S10" s="10"/>
      <c r="T10" s="12">
        <f t="shared" si="1"/>
        <v>0.97025536931468892</v>
      </c>
      <c r="U10" s="32">
        <v>3.1790539023149575</v>
      </c>
    </row>
    <row r="11" spans="2:26" x14ac:dyDescent="0.2">
      <c r="B11" s="108"/>
      <c r="C11" s="28"/>
      <c r="D11" s="18">
        <v>8</v>
      </c>
      <c r="E11" s="14">
        <v>125.53999999999999</v>
      </c>
      <c r="F11" s="12">
        <v>19.100000000000001</v>
      </c>
      <c r="G11" s="12">
        <v>400.68999999999994</v>
      </c>
      <c r="H11" s="12">
        <v>294.25</v>
      </c>
      <c r="I11" s="12">
        <v>0.04</v>
      </c>
      <c r="J11" s="36">
        <v>6</v>
      </c>
      <c r="K11" s="12">
        <f t="shared" si="0"/>
        <v>25.545599999999986</v>
      </c>
      <c r="M11" s="12">
        <v>125.53999999999999</v>
      </c>
      <c r="N11" s="12">
        <v>19.100000000000001</v>
      </c>
      <c r="O11" s="12">
        <v>400.68999999999994</v>
      </c>
      <c r="P11" s="12">
        <v>294.25</v>
      </c>
      <c r="Q11" s="12">
        <v>0.04</v>
      </c>
      <c r="R11" s="10"/>
      <c r="S11" s="10"/>
      <c r="T11" s="12">
        <f t="shared" si="1"/>
        <v>2.9022075553151905</v>
      </c>
      <c r="U11" s="32">
        <v>3.2959328530576353</v>
      </c>
    </row>
    <row r="12" spans="2:26" ht="16" thickBot="1" x14ac:dyDescent="0.25">
      <c r="B12" s="108"/>
      <c r="C12" s="28" t="s">
        <v>11</v>
      </c>
      <c r="D12" s="18">
        <v>9</v>
      </c>
      <c r="E12" s="14">
        <v>119.52000000000001</v>
      </c>
      <c r="F12" s="12">
        <v>24.4</v>
      </c>
      <c r="G12" s="12">
        <v>394.66999999999996</v>
      </c>
      <c r="H12" s="12">
        <v>299.54999999999995</v>
      </c>
      <c r="I12" s="12">
        <v>0.1</v>
      </c>
      <c r="J12" s="36">
        <v>6</v>
      </c>
      <c r="K12" s="12">
        <f t="shared" si="0"/>
        <v>57.07200000000001</v>
      </c>
      <c r="M12" s="12">
        <v>119.52000000000001</v>
      </c>
      <c r="N12" s="12">
        <v>24.4</v>
      </c>
      <c r="O12" s="12">
        <v>394.66999999999996</v>
      </c>
      <c r="P12" s="12">
        <v>299.54999999999995</v>
      </c>
      <c r="Q12" s="12">
        <v>0.1</v>
      </c>
      <c r="R12" s="10"/>
      <c r="S12" s="10"/>
      <c r="T12" s="12">
        <f t="shared" si="1"/>
        <v>6.434162506008402</v>
      </c>
      <c r="U12" s="32">
        <v>3.2714833631549531</v>
      </c>
    </row>
    <row r="13" spans="2:26" ht="15" customHeight="1" x14ac:dyDescent="0.2">
      <c r="B13" s="108"/>
      <c r="C13" s="28"/>
      <c r="D13" s="18">
        <v>10</v>
      </c>
      <c r="E13" s="14">
        <v>118.73333333333333</v>
      </c>
      <c r="F13" s="12">
        <v>24.4</v>
      </c>
      <c r="G13" s="12">
        <v>393.88333333333333</v>
      </c>
      <c r="H13" s="12">
        <v>299.54999999999995</v>
      </c>
      <c r="I13" s="12">
        <v>3.7999999999999999E-2</v>
      </c>
      <c r="J13" s="36">
        <v>6</v>
      </c>
      <c r="K13" s="12">
        <f t="shared" si="0"/>
        <v>21.508000000000006</v>
      </c>
      <c r="M13" s="12">
        <v>118.73333333333333</v>
      </c>
      <c r="N13" s="12">
        <v>24.4</v>
      </c>
      <c r="O13" s="12">
        <v>393.88333333333333</v>
      </c>
      <c r="P13" s="12">
        <v>299.54999999999995</v>
      </c>
      <c r="Q13" s="12">
        <v>3.7999999999999999E-2</v>
      </c>
      <c r="R13" s="10"/>
      <c r="S13" s="10"/>
      <c r="T13" s="12">
        <f t="shared" si="1"/>
        <v>2.4158934016865197</v>
      </c>
      <c r="U13" s="32">
        <v>3.2599090668219097</v>
      </c>
      <c r="W13" s="110" t="s">
        <v>33</v>
      </c>
      <c r="X13" s="111"/>
      <c r="Y13" s="114">
        <f>0.000002891016576*Y8</f>
        <v>0.25455858107055335</v>
      </c>
      <c r="Z13" s="115"/>
    </row>
    <row r="14" spans="2:26" ht="16" thickBot="1" x14ac:dyDescent="0.25">
      <c r="B14" s="108"/>
      <c r="C14" s="28"/>
      <c r="D14" s="18">
        <v>11</v>
      </c>
      <c r="E14" s="14">
        <v>85.166666666666671</v>
      </c>
      <c r="F14" s="12">
        <v>24.4</v>
      </c>
      <c r="G14" s="12">
        <v>360.31666666666666</v>
      </c>
      <c r="H14" s="12">
        <v>299.54999999999995</v>
      </c>
      <c r="I14" s="12">
        <v>3.1E-2</v>
      </c>
      <c r="J14" s="36">
        <v>6</v>
      </c>
      <c r="K14" s="12">
        <f t="shared" si="0"/>
        <v>11.302600000000007</v>
      </c>
      <c r="M14" s="12">
        <v>85.166666666666671</v>
      </c>
      <c r="N14" s="12">
        <v>24.4</v>
      </c>
      <c r="O14" s="12">
        <v>360.31666666666666</v>
      </c>
      <c r="P14" s="12">
        <v>299.54999999999995</v>
      </c>
      <c r="Q14" s="12">
        <v>3.1E-2</v>
      </c>
      <c r="R14" s="10"/>
      <c r="S14" s="10"/>
      <c r="T14" s="12">
        <f t="shared" si="1"/>
        <v>1.0832139940974841</v>
      </c>
      <c r="U14" s="32">
        <v>2.7947744917953981</v>
      </c>
      <c r="W14" s="112"/>
      <c r="X14" s="113"/>
      <c r="Y14" s="116"/>
      <c r="Z14" s="117"/>
    </row>
    <row r="15" spans="2:26" x14ac:dyDescent="0.2">
      <c r="B15" s="108"/>
      <c r="C15" s="28"/>
      <c r="D15" s="18">
        <v>12</v>
      </c>
      <c r="E15" s="14">
        <v>146.19999999999999</v>
      </c>
      <c r="F15" s="12">
        <v>24.4</v>
      </c>
      <c r="G15" s="12">
        <v>421.34999999999997</v>
      </c>
      <c r="H15" s="12">
        <v>299.54999999999995</v>
      </c>
      <c r="I15" s="12">
        <v>0.17199999999999999</v>
      </c>
      <c r="J15" s="36">
        <v>6</v>
      </c>
      <c r="K15" s="12">
        <f t="shared" si="0"/>
        <v>125.69760000000001</v>
      </c>
      <c r="M15" s="12">
        <v>146.19999999999999</v>
      </c>
      <c r="N15" s="12">
        <v>24.4</v>
      </c>
      <c r="O15" s="12">
        <v>421.34999999999997</v>
      </c>
      <c r="P15" s="12">
        <v>299.54999999999995</v>
      </c>
      <c r="Q15" s="12">
        <v>0.17199999999999999</v>
      </c>
      <c r="R15" s="10"/>
      <c r="S15" s="10"/>
      <c r="T15" s="12">
        <f t="shared" si="1"/>
        <v>16.020483321133337</v>
      </c>
      <c r="U15" s="32">
        <v>3.6827640436485489</v>
      </c>
    </row>
    <row r="16" spans="2:26" x14ac:dyDescent="0.2">
      <c r="B16" s="108"/>
      <c r="C16" s="28" t="s">
        <v>12</v>
      </c>
      <c r="D16" s="18">
        <v>13</v>
      </c>
      <c r="E16" s="14">
        <v>122.7</v>
      </c>
      <c r="F16" s="12">
        <v>28.3</v>
      </c>
      <c r="G16" s="12">
        <v>397.84999999999997</v>
      </c>
      <c r="H16" s="12">
        <v>303.45</v>
      </c>
      <c r="I16" s="12">
        <v>0.155</v>
      </c>
      <c r="J16" s="36">
        <v>6</v>
      </c>
      <c r="K16" s="12">
        <f t="shared" si="0"/>
        <v>87.791999999999973</v>
      </c>
      <c r="M16" s="12">
        <v>122.7</v>
      </c>
      <c r="N16" s="12">
        <v>28.3</v>
      </c>
      <c r="O16" s="12">
        <v>397.84999999999997</v>
      </c>
      <c r="P16" s="12">
        <v>303.45</v>
      </c>
      <c r="Q16" s="12">
        <v>0.155</v>
      </c>
      <c r="R16" s="10"/>
      <c r="S16" s="10"/>
      <c r="T16" s="12">
        <f t="shared" si="1"/>
        <v>10.196823259713643</v>
      </c>
      <c r="U16" s="32">
        <v>3.3671015135992306</v>
      </c>
    </row>
    <row r="17" spans="2:28" x14ac:dyDescent="0.2">
      <c r="B17" s="108"/>
      <c r="C17" s="28"/>
      <c r="D17" s="18">
        <v>14</v>
      </c>
      <c r="E17" s="14">
        <v>118.86666666666667</v>
      </c>
      <c r="F17" s="12">
        <v>28.3</v>
      </c>
      <c r="G17" s="12">
        <v>394.01666666666665</v>
      </c>
      <c r="H17" s="12">
        <v>303.45</v>
      </c>
      <c r="I17" s="12">
        <v>0.17760000000000001</v>
      </c>
      <c r="J17" s="36">
        <v>6</v>
      </c>
      <c r="K17" s="12">
        <f t="shared" si="0"/>
        <v>96.507840000000002</v>
      </c>
      <c r="M17" s="12">
        <v>118.86666666666667</v>
      </c>
      <c r="N17" s="12">
        <v>28.3</v>
      </c>
      <c r="O17" s="12">
        <v>394.01666666666665</v>
      </c>
      <c r="P17" s="12">
        <v>303.45</v>
      </c>
      <c r="Q17" s="12">
        <v>0.17760000000000001</v>
      </c>
      <c r="R17" s="10"/>
      <c r="S17" s="10"/>
      <c r="T17" s="12">
        <f t="shared" si="1"/>
        <v>11.012717975196162</v>
      </c>
      <c r="U17" s="32">
        <v>3.3100496926585938</v>
      </c>
      <c r="W17" s="75"/>
      <c r="X17" s="75"/>
      <c r="Y17" s="75"/>
      <c r="Z17" s="75"/>
      <c r="AA17" s="75"/>
      <c r="AB17" s="75"/>
    </row>
    <row r="18" spans="2:28" x14ac:dyDescent="0.2">
      <c r="B18" s="108"/>
      <c r="C18" s="28"/>
      <c r="D18" s="18">
        <v>15</v>
      </c>
      <c r="E18" s="14">
        <v>73.56</v>
      </c>
      <c r="F18" s="12">
        <v>28.3</v>
      </c>
      <c r="G18" s="12">
        <v>348.71</v>
      </c>
      <c r="H18" s="12">
        <v>303.45</v>
      </c>
      <c r="I18" s="12">
        <v>3.7499999999999999E-2</v>
      </c>
      <c r="J18" s="36">
        <v>6</v>
      </c>
      <c r="K18" s="12">
        <f t="shared" si="0"/>
        <v>10.183499999999997</v>
      </c>
      <c r="M18" s="12">
        <v>73.56</v>
      </c>
      <c r="N18" s="12">
        <v>28.3</v>
      </c>
      <c r="O18" s="12">
        <v>348.71</v>
      </c>
      <c r="P18" s="12">
        <v>303.45</v>
      </c>
      <c r="Q18" s="12">
        <v>3.7499999999999999E-2</v>
      </c>
      <c r="R18" s="10"/>
      <c r="S18" s="10"/>
      <c r="T18" s="12">
        <f t="shared" si="1"/>
        <v>0.93874167985916357</v>
      </c>
      <c r="U18" s="32">
        <v>2.6910578815608113</v>
      </c>
    </row>
    <row r="19" spans="2:28" x14ac:dyDescent="0.2">
      <c r="B19" s="108"/>
      <c r="C19" s="28" t="s">
        <v>13</v>
      </c>
      <c r="D19" s="18">
        <v>16</v>
      </c>
      <c r="E19" s="14">
        <v>149.1</v>
      </c>
      <c r="F19" s="12">
        <v>19.399999999999999</v>
      </c>
      <c r="G19" s="12">
        <v>424.25</v>
      </c>
      <c r="H19" s="12">
        <v>294.54999999999995</v>
      </c>
      <c r="I19" s="12">
        <v>0.29399999999999998</v>
      </c>
      <c r="J19" s="36">
        <v>6</v>
      </c>
      <c r="K19" s="12">
        <f t="shared" si="0"/>
        <v>228.79080000000005</v>
      </c>
      <c r="M19" s="12">
        <v>149.1</v>
      </c>
      <c r="N19" s="12">
        <v>19.399999999999999</v>
      </c>
      <c r="O19" s="12">
        <v>424.25</v>
      </c>
      <c r="P19" s="12">
        <v>294.54999999999995</v>
      </c>
      <c r="Q19" s="12">
        <v>0.29399999999999998</v>
      </c>
      <c r="R19" s="10"/>
      <c r="S19" s="10"/>
      <c r="T19" s="12">
        <f t="shared" si="1"/>
        <v>29.01865392354641</v>
      </c>
      <c r="U19" s="32">
        <v>3.6655698011406952</v>
      </c>
    </row>
    <row r="20" spans="2:28" ht="15" customHeight="1" x14ac:dyDescent="0.2">
      <c r="B20" s="108"/>
      <c r="C20" s="28"/>
      <c r="D20" s="18">
        <v>17</v>
      </c>
      <c r="E20" s="14">
        <v>104.05000000000001</v>
      </c>
      <c r="F20" s="12">
        <v>19.399999999999999</v>
      </c>
      <c r="G20" s="12">
        <v>379.2</v>
      </c>
      <c r="H20" s="12">
        <v>294.54999999999995</v>
      </c>
      <c r="I20" s="12">
        <v>0.09</v>
      </c>
      <c r="J20" s="36">
        <v>6</v>
      </c>
      <c r="K20" s="12">
        <f t="shared" si="0"/>
        <v>45.71100000000002</v>
      </c>
      <c r="M20" s="12">
        <v>104.05000000000001</v>
      </c>
      <c r="N20" s="12">
        <v>19.399999999999999</v>
      </c>
      <c r="O20" s="12">
        <v>379.2</v>
      </c>
      <c r="P20" s="12">
        <v>294.54999999999995</v>
      </c>
      <c r="Q20" s="12">
        <v>0.09</v>
      </c>
      <c r="R20" s="10"/>
      <c r="S20" s="10"/>
      <c r="T20" s="12">
        <f t="shared" si="1"/>
        <v>4.6969819167218088</v>
      </c>
      <c r="U20" s="32">
        <v>2.9904323998612172</v>
      </c>
      <c r="W20" s="133"/>
      <c r="X20" s="133"/>
      <c r="Y20" s="132"/>
      <c r="Z20" s="132"/>
    </row>
    <row r="21" spans="2:28" ht="15.75" customHeight="1" x14ac:dyDescent="0.2">
      <c r="B21" s="108"/>
      <c r="C21" s="28" t="s">
        <v>14</v>
      </c>
      <c r="D21" s="18">
        <v>18</v>
      </c>
      <c r="E21" s="14">
        <v>86.300000000000011</v>
      </c>
      <c r="F21" s="12">
        <v>24.7</v>
      </c>
      <c r="G21" s="12">
        <v>361.45</v>
      </c>
      <c r="H21" s="12">
        <v>299.84999999999997</v>
      </c>
      <c r="I21" s="12">
        <v>0.1694</v>
      </c>
      <c r="J21" s="36">
        <v>6</v>
      </c>
      <c r="K21" s="12">
        <f t="shared" si="0"/>
        <v>62.610240000000019</v>
      </c>
      <c r="M21" s="12">
        <v>86.300000000000011</v>
      </c>
      <c r="N21" s="12">
        <v>24.7</v>
      </c>
      <c r="O21" s="12">
        <v>361.45</v>
      </c>
      <c r="P21" s="12">
        <v>299.84999999999997</v>
      </c>
      <c r="Q21" s="12">
        <v>0.1694</v>
      </c>
      <c r="R21" s="10"/>
      <c r="S21" s="10"/>
      <c r="T21" s="12">
        <f t="shared" si="1"/>
        <v>6.0407778208279188</v>
      </c>
      <c r="U21" s="32">
        <v>2.8130452808110165</v>
      </c>
      <c r="W21" s="133"/>
      <c r="X21" s="133"/>
      <c r="Y21" s="132"/>
      <c r="Z21" s="132"/>
    </row>
    <row r="22" spans="2:28" x14ac:dyDescent="0.2">
      <c r="B22" s="108"/>
      <c r="C22" s="28"/>
      <c r="D22" s="18">
        <v>19</v>
      </c>
      <c r="E22" s="14">
        <v>152.78</v>
      </c>
      <c r="F22" s="12">
        <v>24.7</v>
      </c>
      <c r="G22" s="12">
        <v>427.92999999999995</v>
      </c>
      <c r="H22" s="12">
        <v>299.84999999999997</v>
      </c>
      <c r="I22" s="12">
        <v>0.5</v>
      </c>
      <c r="J22" s="36">
        <v>6</v>
      </c>
      <c r="K22" s="12">
        <f t="shared" si="0"/>
        <v>384.23999999999995</v>
      </c>
      <c r="M22" s="12">
        <v>152.78</v>
      </c>
      <c r="N22" s="12">
        <v>24.7</v>
      </c>
      <c r="O22" s="12">
        <v>427.92999999999995</v>
      </c>
      <c r="P22" s="12">
        <v>299.84999999999997</v>
      </c>
      <c r="Q22" s="12">
        <v>0.5</v>
      </c>
      <c r="R22" s="10"/>
      <c r="S22" s="10"/>
      <c r="T22" s="12">
        <f t="shared" si="1"/>
        <v>50.50675206499384</v>
      </c>
      <c r="U22" s="32">
        <v>3.7937726963866654</v>
      </c>
    </row>
    <row r="23" spans="2:28" x14ac:dyDescent="0.2">
      <c r="B23" s="108" t="s">
        <v>25</v>
      </c>
      <c r="C23" s="28" t="s">
        <v>89</v>
      </c>
      <c r="D23" s="18">
        <v>9</v>
      </c>
      <c r="E23" s="15">
        <v>82.7</v>
      </c>
      <c r="F23" s="13">
        <v>24.4</v>
      </c>
      <c r="G23" s="13">
        <v>357.84999999999997</v>
      </c>
      <c r="H23" s="13">
        <v>299.54999999999995</v>
      </c>
      <c r="I23" s="13">
        <v>7.0000000000000007E-2</v>
      </c>
      <c r="J23" s="36">
        <v>6</v>
      </c>
      <c r="K23" s="13">
        <f t="shared" si="0"/>
        <v>24.486000000000008</v>
      </c>
      <c r="M23" s="13">
        <v>82.7</v>
      </c>
      <c r="N23" s="13">
        <v>24.4</v>
      </c>
      <c r="O23" s="13">
        <v>357.84999999999997</v>
      </c>
      <c r="P23" s="13">
        <v>299.54999999999995</v>
      </c>
      <c r="Q23" s="13">
        <v>7.0000000000000007E-2</v>
      </c>
      <c r="R23" s="10"/>
      <c r="S23" s="10"/>
      <c r="T23" s="13">
        <f t="shared" si="1"/>
        <v>2.3190440442804654</v>
      </c>
      <c r="U23" s="32">
        <v>2.7627715691604697</v>
      </c>
    </row>
    <row r="24" spans="2:28" x14ac:dyDescent="0.2">
      <c r="B24" s="108"/>
      <c r="C24" s="28"/>
      <c r="D24" s="18">
        <v>10</v>
      </c>
      <c r="E24" s="15">
        <v>103.9</v>
      </c>
      <c r="F24" s="13">
        <v>24.4</v>
      </c>
      <c r="G24" s="13">
        <v>379.04999999999995</v>
      </c>
      <c r="H24" s="13">
        <v>299.54999999999995</v>
      </c>
      <c r="I24" s="13">
        <v>0.08</v>
      </c>
      <c r="J24" s="36">
        <v>6</v>
      </c>
      <c r="K24" s="13">
        <f t="shared" si="0"/>
        <v>38.159999999999997</v>
      </c>
      <c r="M24" s="13">
        <v>103.9</v>
      </c>
      <c r="N24" s="13">
        <v>24.4</v>
      </c>
      <c r="O24" s="13">
        <v>379.04999999999995</v>
      </c>
      <c r="P24" s="13">
        <v>299.54999999999995</v>
      </c>
      <c r="Q24" s="13">
        <v>0.08</v>
      </c>
      <c r="R24" s="10"/>
      <c r="S24" s="10"/>
      <c r="T24" s="13">
        <f t="shared" si="1"/>
        <v>3.9982492384306929</v>
      </c>
      <c r="U24" s="32">
        <v>3.0474867322082551</v>
      </c>
    </row>
    <row r="25" spans="2:28" x14ac:dyDescent="0.2">
      <c r="B25" s="108"/>
      <c r="C25" s="28"/>
      <c r="D25" s="18">
        <v>11</v>
      </c>
      <c r="E25" s="15">
        <v>139.4</v>
      </c>
      <c r="F25" s="13">
        <v>24.4</v>
      </c>
      <c r="G25" s="13">
        <v>414.54999999999995</v>
      </c>
      <c r="H25" s="13">
        <v>299.54999999999995</v>
      </c>
      <c r="I25" s="13">
        <v>3.1399999999999997E-2</v>
      </c>
      <c r="J25" s="36">
        <v>6</v>
      </c>
      <c r="K25" s="13">
        <f t="shared" si="0"/>
        <v>21.665999999999997</v>
      </c>
      <c r="M25" s="13">
        <v>139.4</v>
      </c>
      <c r="N25" s="13">
        <v>24.4</v>
      </c>
      <c r="O25" s="13">
        <v>414.54999999999995</v>
      </c>
      <c r="P25" s="13">
        <v>299.54999999999995</v>
      </c>
      <c r="Q25" s="13">
        <v>3.1399999999999997E-2</v>
      </c>
      <c r="R25" s="10"/>
      <c r="S25" s="10"/>
      <c r="T25" s="13">
        <f t="shared" si="1"/>
        <v>2.6771661099253476</v>
      </c>
      <c r="U25" s="32">
        <v>3.5744558158530522</v>
      </c>
      <c r="W25" s="133"/>
      <c r="X25" s="133"/>
      <c r="Y25" s="134"/>
      <c r="Z25" s="134"/>
    </row>
    <row r="26" spans="2:28" x14ac:dyDescent="0.2">
      <c r="B26" s="108"/>
      <c r="C26" s="28" t="s">
        <v>90</v>
      </c>
      <c r="D26" s="18">
        <v>12</v>
      </c>
      <c r="E26" s="15">
        <v>194</v>
      </c>
      <c r="F26" s="13">
        <v>24.4</v>
      </c>
      <c r="G26" s="13">
        <v>469.15</v>
      </c>
      <c r="H26" s="13">
        <v>299.54999999999995</v>
      </c>
      <c r="I26" s="13">
        <v>0.35</v>
      </c>
      <c r="J26" s="36">
        <v>6</v>
      </c>
      <c r="K26" s="13">
        <f t="shared" si="0"/>
        <v>356.15999999999997</v>
      </c>
      <c r="M26" s="13">
        <v>194</v>
      </c>
      <c r="N26" s="13">
        <v>24.4</v>
      </c>
      <c r="O26" s="13">
        <v>469.15</v>
      </c>
      <c r="P26" s="13">
        <v>299.54999999999995</v>
      </c>
      <c r="Q26" s="13">
        <v>0.35</v>
      </c>
      <c r="R26" s="10"/>
      <c r="S26" s="10"/>
      <c r="T26" s="13">
        <f t="shared" si="1"/>
        <v>56.11229574926287</v>
      </c>
      <c r="U26" s="32">
        <v>4.5131296409682538</v>
      </c>
      <c r="W26" s="133"/>
      <c r="X26" s="133"/>
      <c r="Y26" s="134"/>
      <c r="Z26" s="134"/>
    </row>
    <row r="27" spans="2:28" x14ac:dyDescent="0.2">
      <c r="B27" s="108"/>
      <c r="C27" s="28"/>
      <c r="D27" s="18">
        <v>13</v>
      </c>
      <c r="E27" s="15">
        <v>194</v>
      </c>
      <c r="F27" s="13">
        <v>24.4</v>
      </c>
      <c r="G27" s="13">
        <v>469.15</v>
      </c>
      <c r="H27" s="13">
        <v>299.54999999999995</v>
      </c>
      <c r="I27" s="13">
        <v>0.35</v>
      </c>
      <c r="J27" s="36">
        <v>6</v>
      </c>
      <c r="K27" s="13">
        <f t="shared" si="0"/>
        <v>356.15999999999997</v>
      </c>
      <c r="M27" s="13">
        <v>194</v>
      </c>
      <c r="N27" s="13">
        <v>24.4</v>
      </c>
      <c r="O27" s="13">
        <v>469.15</v>
      </c>
      <c r="P27" s="13">
        <v>299.54999999999995</v>
      </c>
      <c r="Q27" s="13">
        <v>0.35</v>
      </c>
      <c r="R27" s="10"/>
      <c r="S27" s="10"/>
      <c r="T27" s="13">
        <f t="shared" si="1"/>
        <v>56.11229574926287</v>
      </c>
      <c r="U27" s="32">
        <v>4.5131296409682538</v>
      </c>
    </row>
    <row r="28" spans="2:28" x14ac:dyDescent="0.2">
      <c r="B28" s="108"/>
      <c r="C28" s="28" t="s">
        <v>91</v>
      </c>
      <c r="D28" s="18">
        <v>14</v>
      </c>
      <c r="E28" s="15">
        <v>143.6</v>
      </c>
      <c r="F28" s="13">
        <v>24.4</v>
      </c>
      <c r="G28" s="13">
        <v>418.75</v>
      </c>
      <c r="H28" s="13">
        <v>299.54999999999995</v>
      </c>
      <c r="I28" s="13">
        <v>3.1399999999999997E-2</v>
      </c>
      <c r="J28" s="36">
        <v>6</v>
      </c>
      <c r="K28" s="13">
        <f t="shared" si="0"/>
        <v>22.457280000000008</v>
      </c>
      <c r="M28" s="13">
        <v>143.6</v>
      </c>
      <c r="N28" s="13">
        <v>24.4</v>
      </c>
      <c r="O28" s="13">
        <v>418.75</v>
      </c>
      <c r="P28" s="13">
        <v>299.54999999999995</v>
      </c>
      <c r="Q28" s="13">
        <v>3.1399999999999997E-2</v>
      </c>
      <c r="R28" s="10"/>
      <c r="S28" s="10"/>
      <c r="T28" s="13">
        <f t="shared" si="1"/>
        <v>2.8286077205090816</v>
      </c>
      <c r="U28" s="32">
        <v>3.6410680911153954</v>
      </c>
    </row>
    <row r="29" spans="2:28" x14ac:dyDescent="0.2">
      <c r="B29" s="108"/>
      <c r="C29" s="28"/>
      <c r="D29" s="18">
        <v>15</v>
      </c>
      <c r="E29" s="15">
        <v>194</v>
      </c>
      <c r="F29" s="13">
        <v>24.4</v>
      </c>
      <c r="G29" s="13">
        <v>469.15</v>
      </c>
      <c r="H29" s="13">
        <v>299.54999999999995</v>
      </c>
      <c r="I29" s="13">
        <v>0.64</v>
      </c>
      <c r="J29" s="36">
        <v>6</v>
      </c>
      <c r="K29" s="13">
        <f t="shared" si="0"/>
        <v>651.26400000000001</v>
      </c>
      <c r="M29" s="13">
        <v>194</v>
      </c>
      <c r="N29" s="13">
        <v>24.4</v>
      </c>
      <c r="O29" s="13">
        <v>469.15</v>
      </c>
      <c r="P29" s="13">
        <v>299.54999999999995</v>
      </c>
      <c r="Q29" s="13">
        <v>0.64</v>
      </c>
      <c r="R29" s="10"/>
      <c r="S29" s="10"/>
      <c r="T29" s="13">
        <f t="shared" si="1"/>
        <v>102.60534079865211</v>
      </c>
      <c r="U29" s="32">
        <v>4.5131296409682538</v>
      </c>
    </row>
    <row r="30" spans="2:28" x14ac:dyDescent="0.2">
      <c r="B30" s="108"/>
      <c r="C30" s="28" t="s">
        <v>92</v>
      </c>
      <c r="D30" s="18">
        <v>16</v>
      </c>
      <c r="E30" s="15">
        <v>194</v>
      </c>
      <c r="F30" s="13">
        <v>24.4</v>
      </c>
      <c r="G30" s="13">
        <v>469.15</v>
      </c>
      <c r="H30" s="13">
        <v>299.54999999999995</v>
      </c>
      <c r="I30" s="13">
        <v>0.38479999999999998</v>
      </c>
      <c r="J30" s="36">
        <v>6</v>
      </c>
      <c r="K30" s="13">
        <f t="shared" si="0"/>
        <v>391.57247999999998</v>
      </c>
      <c r="M30" s="13">
        <v>194</v>
      </c>
      <c r="N30" s="13">
        <v>24.4</v>
      </c>
      <c r="O30" s="13">
        <v>469.15</v>
      </c>
      <c r="P30" s="13">
        <v>299.54999999999995</v>
      </c>
      <c r="Q30" s="13">
        <v>0.38479999999999998</v>
      </c>
      <c r="R30" s="10"/>
      <c r="S30" s="10"/>
      <c r="T30" s="13">
        <f t="shared" si="1"/>
        <v>61.691461155189572</v>
      </c>
      <c r="U30" s="32">
        <v>4.5131296409682546</v>
      </c>
    </row>
    <row r="31" spans="2:28" x14ac:dyDescent="0.2">
      <c r="B31" s="108"/>
      <c r="C31" s="28" t="s">
        <v>93</v>
      </c>
      <c r="D31" s="18">
        <v>17</v>
      </c>
      <c r="E31" s="15">
        <v>75.8</v>
      </c>
      <c r="F31" s="13">
        <v>22</v>
      </c>
      <c r="G31" s="13">
        <v>350.95</v>
      </c>
      <c r="H31" s="13">
        <v>297.14999999999998</v>
      </c>
      <c r="I31" s="13">
        <v>0.25130000000000002</v>
      </c>
      <c r="J31" s="36">
        <v>6</v>
      </c>
      <c r="K31" s="13">
        <f t="shared" si="0"/>
        <v>81.119640000000018</v>
      </c>
      <c r="M31" s="13">
        <v>75.8</v>
      </c>
      <c r="N31" s="13">
        <v>22</v>
      </c>
      <c r="O31" s="13">
        <v>350.95</v>
      </c>
      <c r="P31" s="13">
        <v>297.14999999999998</v>
      </c>
      <c r="Q31" s="13">
        <v>0.25130000000000002</v>
      </c>
      <c r="R31" s="10"/>
      <c r="S31" s="10"/>
      <c r="T31" s="13">
        <f t="shared" si="1"/>
        <v>7.3541820915769902</v>
      </c>
      <c r="U31" s="32">
        <v>2.647741902246171</v>
      </c>
    </row>
    <row r="32" spans="2:28" x14ac:dyDescent="0.2">
      <c r="B32" s="108"/>
      <c r="C32" s="28" t="s">
        <v>94</v>
      </c>
      <c r="D32" s="18">
        <v>18</v>
      </c>
      <c r="E32" s="15">
        <v>84.8</v>
      </c>
      <c r="F32" s="13">
        <v>25.2</v>
      </c>
      <c r="G32" s="13">
        <v>359.95</v>
      </c>
      <c r="H32" s="13">
        <v>300.34999999999997</v>
      </c>
      <c r="I32" s="13">
        <v>0.69</v>
      </c>
      <c r="J32" s="36">
        <v>6</v>
      </c>
      <c r="K32" s="13">
        <f t="shared" si="0"/>
        <v>246.74400000000009</v>
      </c>
      <c r="M32" s="13">
        <v>84.8</v>
      </c>
      <c r="N32" s="13">
        <v>25.2</v>
      </c>
      <c r="O32" s="13">
        <v>359.95</v>
      </c>
      <c r="P32" s="13">
        <v>300.34999999999997</v>
      </c>
      <c r="Q32" s="13">
        <v>0.69</v>
      </c>
      <c r="R32" s="10"/>
      <c r="S32" s="10"/>
      <c r="T32" s="13">
        <f t="shared" si="1"/>
        <v>23.686140785338822</v>
      </c>
      <c r="U32" s="32">
        <v>2.7992305108492488</v>
      </c>
    </row>
    <row r="33" spans="2:21" x14ac:dyDescent="0.2">
      <c r="B33" s="108"/>
      <c r="C33" s="28"/>
      <c r="D33" s="18">
        <v>19</v>
      </c>
      <c r="E33" s="15">
        <v>94.7</v>
      </c>
      <c r="F33" s="13">
        <v>25.2</v>
      </c>
      <c r="G33" s="13">
        <v>369.84999999999997</v>
      </c>
      <c r="H33" s="13">
        <v>300.34999999999997</v>
      </c>
      <c r="I33" s="13">
        <v>0.127</v>
      </c>
      <c r="J33" s="36">
        <v>6</v>
      </c>
      <c r="K33" s="13">
        <f t="shared" si="0"/>
        <v>52.959000000000003</v>
      </c>
      <c r="M33" s="13">
        <v>94.7</v>
      </c>
      <c r="N33" s="13">
        <v>25.2</v>
      </c>
      <c r="O33" s="13">
        <v>369.84999999999997</v>
      </c>
      <c r="P33" s="13">
        <v>300.34999999999997</v>
      </c>
      <c r="Q33" s="13">
        <v>0.127</v>
      </c>
      <c r="R33" s="10"/>
      <c r="S33" s="10"/>
      <c r="T33" s="13">
        <f t="shared" si="1"/>
        <v>5.3296448417603353</v>
      </c>
      <c r="U33" s="32">
        <v>2.9306363412277445</v>
      </c>
    </row>
    <row r="34" spans="2:21" x14ac:dyDescent="0.2">
      <c r="B34" s="108"/>
      <c r="C34" s="28" t="s">
        <v>95</v>
      </c>
      <c r="D34" s="18">
        <v>20</v>
      </c>
      <c r="E34" s="15">
        <v>194</v>
      </c>
      <c r="F34" s="13">
        <v>25.5</v>
      </c>
      <c r="G34" s="13">
        <v>469.15</v>
      </c>
      <c r="H34" s="13">
        <v>300.64999999999998</v>
      </c>
      <c r="I34" s="13">
        <v>0.12759999999999999</v>
      </c>
      <c r="J34" s="36">
        <v>6</v>
      </c>
      <c r="K34" s="13">
        <f t="shared" si="0"/>
        <v>129.00359999999998</v>
      </c>
      <c r="M34" s="13">
        <v>194</v>
      </c>
      <c r="N34" s="13">
        <v>25.5</v>
      </c>
      <c r="O34" s="13">
        <v>469.15</v>
      </c>
      <c r="P34" s="13">
        <v>300.64999999999998</v>
      </c>
      <c r="Q34" s="13">
        <v>0.12759999999999999</v>
      </c>
      <c r="R34" s="10"/>
      <c r="S34" s="10"/>
      <c r="T34" s="13">
        <f t="shared" si="1"/>
        <v>20.396713839068457</v>
      </c>
      <c r="U34" s="32">
        <v>4.5284900607753844</v>
      </c>
    </row>
    <row r="35" spans="2:21" x14ac:dyDescent="0.2">
      <c r="B35" s="108"/>
      <c r="C35" s="28" t="s">
        <v>96</v>
      </c>
      <c r="D35" s="18">
        <v>21</v>
      </c>
      <c r="E35" s="15">
        <v>92.1</v>
      </c>
      <c r="F35" s="13">
        <v>25</v>
      </c>
      <c r="G35" s="13">
        <v>367.25</v>
      </c>
      <c r="H35" s="13">
        <v>300.14999999999998</v>
      </c>
      <c r="I35" s="13">
        <v>0.35</v>
      </c>
      <c r="J35" s="36">
        <v>6</v>
      </c>
      <c r="K35" s="13">
        <f t="shared" si="0"/>
        <v>140.91000000000003</v>
      </c>
      <c r="M35" s="13">
        <v>92.1</v>
      </c>
      <c r="N35" s="13">
        <v>25</v>
      </c>
      <c r="O35" s="13">
        <v>367.25</v>
      </c>
      <c r="P35" s="13">
        <v>300.14999999999998</v>
      </c>
      <c r="Q35" s="13">
        <v>0.35</v>
      </c>
      <c r="R35" s="10"/>
      <c r="S35" s="10"/>
      <c r="T35" s="13">
        <f t="shared" si="1"/>
        <v>13.994847149592527</v>
      </c>
      <c r="U35" s="32">
        <v>2.8933215294857852</v>
      </c>
    </row>
    <row r="36" spans="2:21" x14ac:dyDescent="0.2">
      <c r="B36" s="108"/>
      <c r="C36" s="28"/>
      <c r="D36" s="18">
        <v>22</v>
      </c>
      <c r="E36" s="15">
        <v>116.9</v>
      </c>
      <c r="F36" s="13">
        <v>25</v>
      </c>
      <c r="G36" s="13">
        <v>392.04999999999995</v>
      </c>
      <c r="H36" s="13">
        <v>300.14999999999998</v>
      </c>
      <c r="I36" s="13">
        <v>0.35</v>
      </c>
      <c r="J36" s="36">
        <v>6</v>
      </c>
      <c r="K36" s="13">
        <f t="shared" si="0"/>
        <v>192.98999999999992</v>
      </c>
      <c r="M36" s="13">
        <v>116.9</v>
      </c>
      <c r="N36" s="13">
        <v>25</v>
      </c>
      <c r="O36" s="13">
        <v>392.04999999999995</v>
      </c>
      <c r="P36" s="13">
        <v>300.14999999999998</v>
      </c>
      <c r="Q36" s="13">
        <v>0.35</v>
      </c>
      <c r="R36" s="10"/>
      <c r="S36" s="10"/>
      <c r="T36" s="13">
        <f t="shared" si="1"/>
        <v>21.543580410581626</v>
      </c>
      <c r="U36" s="32">
        <v>3.2403983501317937</v>
      </c>
    </row>
    <row r="37" spans="2:21" x14ac:dyDescent="0.2">
      <c r="B37" s="108"/>
      <c r="C37" s="28"/>
      <c r="D37" s="18">
        <v>23</v>
      </c>
      <c r="E37" s="15">
        <v>194</v>
      </c>
      <c r="F37" s="13">
        <v>25</v>
      </c>
      <c r="G37" s="13">
        <v>469.15</v>
      </c>
      <c r="H37" s="13">
        <v>300.14999999999998</v>
      </c>
      <c r="I37" s="13">
        <v>0.35</v>
      </c>
      <c r="J37" s="36">
        <v>6</v>
      </c>
      <c r="K37" s="13">
        <f t="shared" si="0"/>
        <v>354.89999999999992</v>
      </c>
      <c r="M37" s="13">
        <v>194</v>
      </c>
      <c r="N37" s="13">
        <v>25</v>
      </c>
      <c r="O37" s="13">
        <v>469.15</v>
      </c>
      <c r="P37" s="13">
        <v>300.14999999999998</v>
      </c>
      <c r="Q37" s="13">
        <v>0.35</v>
      </c>
      <c r="R37" s="10"/>
      <c r="S37" s="10"/>
      <c r="T37" s="13">
        <f t="shared" si="1"/>
        <v>56.022413697169512</v>
      </c>
      <c r="U37" s="32">
        <v>4.52150123176561</v>
      </c>
    </row>
    <row r="38" spans="2:21" x14ac:dyDescent="0.2">
      <c r="B38" s="108"/>
      <c r="C38" s="28" t="s">
        <v>97</v>
      </c>
      <c r="D38" s="18">
        <v>24</v>
      </c>
      <c r="E38" s="15">
        <v>86.3</v>
      </c>
      <c r="F38" s="13">
        <v>19.5</v>
      </c>
      <c r="G38" s="13">
        <v>361.45</v>
      </c>
      <c r="H38" s="13">
        <v>294.64999999999998</v>
      </c>
      <c r="I38" s="13">
        <v>2.87E-2</v>
      </c>
      <c r="J38" s="36">
        <v>6</v>
      </c>
      <c r="K38" s="13">
        <f t="shared" si="0"/>
        <v>11.502960000000002</v>
      </c>
      <c r="M38" s="13">
        <v>86.3</v>
      </c>
      <c r="N38" s="13">
        <v>19.5</v>
      </c>
      <c r="O38" s="13">
        <v>361.45</v>
      </c>
      <c r="P38" s="13">
        <v>294.64999999999998</v>
      </c>
      <c r="Q38" s="13">
        <v>2.87E-2</v>
      </c>
      <c r="R38" s="10"/>
      <c r="S38" s="10"/>
      <c r="T38" s="13">
        <f t="shared" si="1"/>
        <v>1.0856711964628598</v>
      </c>
      <c r="U38" s="32">
        <v>2.7534929697917772</v>
      </c>
    </row>
    <row r="39" spans="2:21" x14ac:dyDescent="0.2">
      <c r="B39" s="108"/>
      <c r="C39" s="28" t="s">
        <v>98</v>
      </c>
      <c r="D39" s="18">
        <v>25</v>
      </c>
      <c r="E39" s="15">
        <v>194</v>
      </c>
      <c r="F39" s="13">
        <v>19.5</v>
      </c>
      <c r="G39" s="13">
        <v>469.15</v>
      </c>
      <c r="H39" s="13">
        <v>294.64999999999998</v>
      </c>
      <c r="I39" s="13">
        <v>0.1225</v>
      </c>
      <c r="J39" s="36">
        <v>6</v>
      </c>
      <c r="K39" s="13">
        <f t="shared" si="0"/>
        <v>128.25749999999999</v>
      </c>
      <c r="M39" s="13">
        <v>194</v>
      </c>
      <c r="N39" s="13">
        <v>19.5</v>
      </c>
      <c r="O39" s="13">
        <v>469.15</v>
      </c>
      <c r="P39" s="13">
        <v>294.64999999999998</v>
      </c>
      <c r="Q39" s="13">
        <v>0.1225</v>
      </c>
      <c r="R39" s="10"/>
      <c r="S39" s="10"/>
      <c r="T39" s="13">
        <f t="shared" si="1"/>
        <v>19.889229114093894</v>
      </c>
      <c r="U39" s="32">
        <v>4.4453725026751423</v>
      </c>
    </row>
    <row r="40" spans="2:21" x14ac:dyDescent="0.2">
      <c r="B40" s="108"/>
      <c r="C40" s="28" t="s">
        <v>99</v>
      </c>
      <c r="D40" s="18">
        <v>26</v>
      </c>
      <c r="E40" s="15">
        <v>147.80000000000001</v>
      </c>
      <c r="F40" s="13">
        <v>19.5</v>
      </c>
      <c r="G40" s="13">
        <v>422.95</v>
      </c>
      <c r="H40" s="13">
        <v>294.64999999999998</v>
      </c>
      <c r="I40" s="13">
        <v>0.32</v>
      </c>
      <c r="J40" s="36">
        <v>6</v>
      </c>
      <c r="K40" s="13">
        <f t="shared" si="0"/>
        <v>246.33600000000001</v>
      </c>
      <c r="M40" s="13">
        <v>147.80000000000001</v>
      </c>
      <c r="N40" s="13">
        <v>19.5</v>
      </c>
      <c r="O40" s="13">
        <v>422.95</v>
      </c>
      <c r="P40" s="13">
        <v>294.64999999999998</v>
      </c>
      <c r="Q40" s="13">
        <v>0.32</v>
      </c>
      <c r="R40" s="10"/>
      <c r="S40" s="10"/>
      <c r="T40" s="13">
        <f t="shared" si="1"/>
        <v>31.0699405188575</v>
      </c>
      <c r="U40" s="32">
        <v>3.6458938367590332</v>
      </c>
    </row>
    <row r="41" spans="2:21" x14ac:dyDescent="0.2">
      <c r="B41" s="108"/>
      <c r="C41" s="28" t="s">
        <v>100</v>
      </c>
      <c r="D41" s="18">
        <v>27</v>
      </c>
      <c r="E41" s="15">
        <v>88.8</v>
      </c>
      <c r="F41" s="13">
        <v>20</v>
      </c>
      <c r="G41" s="13">
        <v>363.95</v>
      </c>
      <c r="H41" s="13">
        <v>295.14999999999998</v>
      </c>
      <c r="I41" s="13">
        <v>0.6</v>
      </c>
      <c r="J41" s="36">
        <v>6</v>
      </c>
      <c r="K41" s="13">
        <f t="shared" si="0"/>
        <v>247.68</v>
      </c>
      <c r="M41" s="13">
        <v>88.8</v>
      </c>
      <c r="N41" s="13">
        <v>20</v>
      </c>
      <c r="O41" s="13">
        <v>363.95</v>
      </c>
      <c r="P41" s="13">
        <v>295.14999999999998</v>
      </c>
      <c r="Q41" s="13">
        <v>0.6</v>
      </c>
      <c r="R41" s="10"/>
      <c r="S41" s="10"/>
      <c r="T41" s="13">
        <f t="shared" si="1"/>
        <v>23.711077063886925</v>
      </c>
      <c r="U41" s="32">
        <v>2.7918012262194156</v>
      </c>
    </row>
    <row r="42" spans="2:21" x14ac:dyDescent="0.2">
      <c r="B42" s="108" t="s">
        <v>26</v>
      </c>
      <c r="C42" s="28" t="s">
        <v>101</v>
      </c>
      <c r="D42" s="18">
        <v>28</v>
      </c>
      <c r="E42" s="14">
        <v>128.30000000000001</v>
      </c>
      <c r="F42" s="12">
        <v>20</v>
      </c>
      <c r="G42" s="12">
        <v>403.45</v>
      </c>
      <c r="H42" s="12">
        <v>295.14999999999998</v>
      </c>
      <c r="I42" s="12">
        <v>0.31</v>
      </c>
      <c r="J42" s="36">
        <v>6</v>
      </c>
      <c r="K42" s="12">
        <f t="shared" si="0"/>
        <v>201.43800000000002</v>
      </c>
      <c r="M42" s="12">
        <v>128.30000000000001</v>
      </c>
      <c r="N42" s="12">
        <v>20</v>
      </c>
      <c r="O42" s="12">
        <v>403.45</v>
      </c>
      <c r="P42" s="12">
        <v>295.14999999999998</v>
      </c>
      <c r="Q42" s="12">
        <v>0.31</v>
      </c>
      <c r="R42" s="10"/>
      <c r="S42" s="10"/>
      <c r="T42" s="12">
        <f t="shared" si="1"/>
        <v>23.261662833879178</v>
      </c>
      <c r="U42" s="32">
        <v>3.3483428081098241</v>
      </c>
    </row>
    <row r="43" spans="2:21" x14ac:dyDescent="0.2">
      <c r="B43" s="108"/>
      <c r="C43" s="28"/>
      <c r="D43" s="18">
        <v>29</v>
      </c>
      <c r="E43" s="14">
        <v>109.5</v>
      </c>
      <c r="F43" s="12">
        <v>20</v>
      </c>
      <c r="G43" s="12">
        <v>384.65</v>
      </c>
      <c r="H43" s="12">
        <v>295.14999999999998</v>
      </c>
      <c r="I43" s="12">
        <v>0.05</v>
      </c>
      <c r="J43" s="36">
        <v>6</v>
      </c>
      <c r="K43" s="12">
        <f t="shared" si="0"/>
        <v>26.850000000000005</v>
      </c>
      <c r="M43" s="12">
        <v>109.5</v>
      </c>
      <c r="N43" s="12">
        <v>20</v>
      </c>
      <c r="O43" s="12">
        <v>384.65</v>
      </c>
      <c r="P43" s="12">
        <v>295.14999999999998</v>
      </c>
      <c r="Q43" s="12">
        <v>0.05</v>
      </c>
      <c r="R43" s="10"/>
      <c r="S43" s="10"/>
      <c r="T43" s="12">
        <f t="shared" si="1"/>
        <v>2.8382518297390411</v>
      </c>
      <c r="U43" s="32">
        <v>3.0737552135732944</v>
      </c>
    </row>
    <row r="44" spans="2:21" x14ac:dyDescent="0.2">
      <c r="B44" s="108"/>
      <c r="C44" s="28" t="s">
        <v>102</v>
      </c>
      <c r="D44" s="18">
        <v>30</v>
      </c>
      <c r="E44" s="14">
        <v>95.1</v>
      </c>
      <c r="F44" s="12">
        <v>23</v>
      </c>
      <c r="G44" s="12">
        <v>370.25</v>
      </c>
      <c r="H44" s="12">
        <v>298.14999999999998</v>
      </c>
      <c r="I44" s="12">
        <v>0.112</v>
      </c>
      <c r="J44" s="36">
        <v>6</v>
      </c>
      <c r="K44" s="12">
        <f t="shared" si="0"/>
        <v>48.451200000000021</v>
      </c>
      <c r="M44" s="12">
        <v>95.1</v>
      </c>
      <c r="N44" s="12">
        <v>23</v>
      </c>
      <c r="O44" s="12">
        <v>370.25</v>
      </c>
      <c r="P44" s="12">
        <v>298.14999999999998</v>
      </c>
      <c r="Q44" s="12">
        <v>0.112</v>
      </c>
      <c r="R44" s="10"/>
      <c r="S44" s="10"/>
      <c r="T44" s="12">
        <f t="shared" si="1"/>
        <v>4.8410316303729832</v>
      </c>
      <c r="U44" s="32">
        <v>2.9102351798098764</v>
      </c>
    </row>
    <row r="45" spans="2:21" x14ac:dyDescent="0.2">
      <c r="B45" s="108"/>
      <c r="C45" s="28"/>
      <c r="D45" s="18">
        <v>31</v>
      </c>
      <c r="E45" s="14">
        <v>74.900000000000006</v>
      </c>
      <c r="F45" s="12">
        <v>23</v>
      </c>
      <c r="G45" s="12">
        <v>350.04999999999995</v>
      </c>
      <c r="H45" s="12">
        <v>298.14999999999998</v>
      </c>
      <c r="I45" s="12">
        <v>0.04</v>
      </c>
      <c r="J45" s="36">
        <v>6</v>
      </c>
      <c r="K45" s="12">
        <f t="shared" si="0"/>
        <v>12.455999999999994</v>
      </c>
      <c r="M45" s="12">
        <v>74.900000000000006</v>
      </c>
      <c r="N45" s="12">
        <v>23</v>
      </c>
      <c r="O45" s="12">
        <v>350.04999999999995</v>
      </c>
      <c r="P45" s="12">
        <v>298.14999999999998</v>
      </c>
      <c r="Q45" s="12">
        <v>0.04</v>
      </c>
      <c r="R45" s="10"/>
      <c r="S45" s="10"/>
      <c r="T45" s="12">
        <f t="shared" si="1"/>
        <v>1.1292259488461891</v>
      </c>
      <c r="U45" s="32">
        <v>2.6477056118218698</v>
      </c>
    </row>
    <row r="46" spans="2:21" x14ac:dyDescent="0.2">
      <c r="B46" s="108"/>
      <c r="C46" s="28" t="s">
        <v>103</v>
      </c>
      <c r="D46" s="18">
        <v>32</v>
      </c>
      <c r="E46" s="14">
        <v>120.6</v>
      </c>
      <c r="F46" s="12">
        <v>21.2</v>
      </c>
      <c r="G46" s="12">
        <v>395.75</v>
      </c>
      <c r="H46" s="12">
        <v>296.34999999999997</v>
      </c>
      <c r="I46" s="12">
        <v>0.05</v>
      </c>
      <c r="J46" s="36">
        <v>6</v>
      </c>
      <c r="K46" s="12">
        <f t="shared" si="0"/>
        <v>29.820000000000014</v>
      </c>
      <c r="M46" s="12">
        <v>120.6</v>
      </c>
      <c r="N46" s="12">
        <v>21.2</v>
      </c>
      <c r="O46" s="12">
        <v>395.75</v>
      </c>
      <c r="P46" s="12">
        <v>296.34999999999997</v>
      </c>
      <c r="Q46" s="12">
        <v>0.05</v>
      </c>
      <c r="R46" s="10"/>
      <c r="S46" s="10"/>
      <c r="T46" s="12">
        <f t="shared" si="1"/>
        <v>3.3371910688971926</v>
      </c>
      <c r="U46" s="32">
        <v>3.2482794537950896</v>
      </c>
    </row>
    <row r="47" spans="2:21" x14ac:dyDescent="0.2">
      <c r="B47" s="108"/>
      <c r="C47" s="28"/>
      <c r="D47" s="18">
        <v>33</v>
      </c>
      <c r="E47" s="14">
        <v>84.8</v>
      </c>
      <c r="F47" s="12">
        <v>21.2</v>
      </c>
      <c r="G47" s="12">
        <v>359.95</v>
      </c>
      <c r="H47" s="12">
        <v>296.34999999999997</v>
      </c>
      <c r="I47" s="12">
        <v>0.05</v>
      </c>
      <c r="J47" s="36">
        <v>6</v>
      </c>
      <c r="K47" s="12">
        <f t="shared" si="0"/>
        <v>19.080000000000009</v>
      </c>
      <c r="M47" s="12">
        <v>84.8</v>
      </c>
      <c r="N47" s="12">
        <v>21.2</v>
      </c>
      <c r="O47" s="12">
        <v>359.95</v>
      </c>
      <c r="P47" s="12">
        <v>296.34999999999997</v>
      </c>
      <c r="Q47" s="12">
        <v>0.05</v>
      </c>
      <c r="R47" s="10"/>
      <c r="S47" s="10"/>
      <c r="T47" s="12">
        <f t="shared" si="1"/>
        <v>1.8007144168844345</v>
      </c>
      <c r="U47" s="32">
        <v>2.7533558814145698</v>
      </c>
    </row>
    <row r="48" spans="2:21" x14ac:dyDescent="0.2">
      <c r="B48" s="108"/>
      <c r="C48" s="28"/>
      <c r="D48" s="18">
        <v>34</v>
      </c>
      <c r="E48" s="14">
        <v>118.9</v>
      </c>
      <c r="F48" s="12">
        <v>21.2</v>
      </c>
      <c r="G48" s="12">
        <v>394.04999999999995</v>
      </c>
      <c r="H48" s="12">
        <v>296.34999999999997</v>
      </c>
      <c r="I48" s="12">
        <v>0.05</v>
      </c>
      <c r="J48" s="36">
        <v>6</v>
      </c>
      <c r="K48" s="12">
        <f t="shared" si="0"/>
        <v>29.310000000000002</v>
      </c>
      <c r="M48" s="12">
        <v>118.9</v>
      </c>
      <c r="N48" s="12">
        <v>21.2</v>
      </c>
      <c r="O48" s="12">
        <v>394.04999999999995</v>
      </c>
      <c r="P48" s="12">
        <v>296.34999999999997</v>
      </c>
      <c r="Q48" s="12">
        <v>0.05</v>
      </c>
      <c r="R48" s="10"/>
      <c r="S48" s="10"/>
      <c r="T48" s="12">
        <f t="shared" si="1"/>
        <v>3.2540867816173713</v>
      </c>
      <c r="U48" s="32">
        <v>3.2233333838743667</v>
      </c>
    </row>
    <row r="49" spans="2:21" x14ac:dyDescent="0.2">
      <c r="B49" s="108"/>
      <c r="C49" s="28"/>
      <c r="D49" s="18">
        <v>35</v>
      </c>
      <c r="E49" s="14">
        <v>86.6</v>
      </c>
      <c r="F49" s="12">
        <v>21.2</v>
      </c>
      <c r="G49" s="12">
        <v>361.75</v>
      </c>
      <c r="H49" s="12">
        <v>296.34999999999997</v>
      </c>
      <c r="I49" s="12">
        <v>0.05</v>
      </c>
      <c r="J49" s="36">
        <v>6</v>
      </c>
      <c r="K49" s="12">
        <f t="shared" si="0"/>
        <v>19.620000000000012</v>
      </c>
      <c r="M49" s="12">
        <v>86.6</v>
      </c>
      <c r="N49" s="12">
        <v>21.2</v>
      </c>
      <c r="O49" s="12">
        <v>361.75</v>
      </c>
      <c r="P49" s="12">
        <v>296.34999999999997</v>
      </c>
      <c r="Q49" s="12">
        <v>0.05</v>
      </c>
      <c r="R49" s="10"/>
      <c r="S49" s="10"/>
      <c r="T49" s="12">
        <f t="shared" si="1"/>
        <v>1.8678521124024738</v>
      </c>
      <c r="U49" s="32">
        <v>2.7767381501662198</v>
      </c>
    </row>
    <row r="50" spans="2:21" x14ac:dyDescent="0.2">
      <c r="B50" s="108"/>
      <c r="C50" s="28" t="s">
        <v>104</v>
      </c>
      <c r="D50" s="18">
        <v>36</v>
      </c>
      <c r="E50" s="14">
        <v>150.1</v>
      </c>
      <c r="F50" s="12">
        <v>20</v>
      </c>
      <c r="G50" s="12">
        <v>425.25</v>
      </c>
      <c r="H50" s="12">
        <v>295.14999999999998</v>
      </c>
      <c r="I50" s="12">
        <v>0.70599999999999996</v>
      </c>
      <c r="J50" s="36">
        <v>6</v>
      </c>
      <c r="K50" s="12">
        <f t="shared" si="0"/>
        <v>551.10360000000003</v>
      </c>
      <c r="M50" s="12">
        <v>150.1</v>
      </c>
      <c r="N50" s="12">
        <v>20</v>
      </c>
      <c r="O50" s="12">
        <v>425.25</v>
      </c>
      <c r="P50" s="12">
        <v>295.14999999999998</v>
      </c>
      <c r="Q50" s="12">
        <v>0.70599999999999996</v>
      </c>
      <c r="R50" s="10"/>
      <c r="S50" s="10"/>
      <c r="T50" s="12">
        <f t="shared" si="1"/>
        <v>70.370772834686463</v>
      </c>
      <c r="U50" s="32">
        <v>3.6893891376665753</v>
      </c>
    </row>
    <row r="51" spans="2:21" x14ac:dyDescent="0.2">
      <c r="B51" s="108"/>
      <c r="C51" s="28" t="s">
        <v>105</v>
      </c>
      <c r="D51" s="18">
        <v>37</v>
      </c>
      <c r="E51" s="14">
        <v>122.4</v>
      </c>
      <c r="F51" s="12">
        <v>24</v>
      </c>
      <c r="G51" s="12">
        <v>397.54999999999995</v>
      </c>
      <c r="H51" s="12">
        <v>299.14999999999998</v>
      </c>
      <c r="I51" s="12">
        <v>9.6199999999999994E-2</v>
      </c>
      <c r="J51" s="36">
        <v>6</v>
      </c>
      <c r="K51" s="12">
        <f t="shared" si="0"/>
        <v>56.796479999999981</v>
      </c>
      <c r="M51" s="12">
        <v>122.4</v>
      </c>
      <c r="N51" s="12">
        <v>24</v>
      </c>
      <c r="O51" s="12">
        <v>397.54999999999995</v>
      </c>
      <c r="P51" s="12">
        <v>299.14999999999998</v>
      </c>
      <c r="Q51" s="12">
        <v>9.6199999999999994E-2</v>
      </c>
      <c r="R51" s="10"/>
      <c r="S51" s="10"/>
      <c r="T51" s="12">
        <f t="shared" si="1"/>
        <v>6.4794287813977913</v>
      </c>
      <c r="U51" s="32">
        <v>3.3091903662221083</v>
      </c>
    </row>
    <row r="52" spans="2:21" x14ac:dyDescent="0.2">
      <c r="B52" s="108"/>
      <c r="C52" s="28" t="s">
        <v>106</v>
      </c>
      <c r="D52" s="18">
        <v>38</v>
      </c>
      <c r="E52" s="14">
        <v>104.9</v>
      </c>
      <c r="F52" s="12">
        <v>24.4</v>
      </c>
      <c r="G52" s="12">
        <v>380.04999999999995</v>
      </c>
      <c r="H52" s="12">
        <v>299.54999999999995</v>
      </c>
      <c r="I52" s="12">
        <v>0.12</v>
      </c>
      <c r="J52" s="36">
        <v>6</v>
      </c>
      <c r="K52" s="12">
        <f t="shared" si="0"/>
        <v>57.96</v>
      </c>
      <c r="M52" s="12">
        <v>104.9</v>
      </c>
      <c r="N52" s="12">
        <v>24.4</v>
      </c>
      <c r="O52" s="12">
        <v>380.04999999999995</v>
      </c>
      <c r="P52" s="12">
        <v>299.54999999999995</v>
      </c>
      <c r="Q52" s="12">
        <v>0.12</v>
      </c>
      <c r="R52" s="10"/>
      <c r="S52" s="10"/>
      <c r="T52" s="12">
        <f t="shared" si="1"/>
        <v>6.1015408385886616</v>
      </c>
      <c r="U52" s="32">
        <v>3.06146195002587</v>
      </c>
    </row>
    <row r="53" spans="2:21" x14ac:dyDescent="0.2">
      <c r="B53" s="108"/>
      <c r="C53" s="28"/>
      <c r="D53" s="18">
        <v>39</v>
      </c>
      <c r="E53" s="14">
        <v>93.8</v>
      </c>
      <c r="F53" s="12">
        <v>24.4</v>
      </c>
      <c r="G53" s="12">
        <v>368.95</v>
      </c>
      <c r="H53" s="12">
        <v>299.54999999999995</v>
      </c>
      <c r="I53" s="12">
        <v>0.1</v>
      </c>
      <c r="J53" s="36">
        <v>6</v>
      </c>
      <c r="K53" s="12">
        <f t="shared" si="0"/>
        <v>41.640000000000029</v>
      </c>
      <c r="M53" s="12">
        <v>93.8</v>
      </c>
      <c r="N53" s="12">
        <v>24.4</v>
      </c>
      <c r="O53" s="12">
        <v>368.95</v>
      </c>
      <c r="P53" s="12">
        <v>299.54999999999995</v>
      </c>
      <c r="Q53" s="12">
        <v>0.1</v>
      </c>
      <c r="R53" s="10"/>
      <c r="S53" s="10"/>
      <c r="T53" s="12">
        <f t="shared" si="1"/>
        <v>4.1588222039695069</v>
      </c>
      <c r="U53" s="32">
        <v>2.9091049715251693</v>
      </c>
    </row>
    <row r="54" spans="2:21" x14ac:dyDescent="0.2">
      <c r="B54" s="108"/>
      <c r="C54" s="28"/>
      <c r="D54" s="18">
        <v>40</v>
      </c>
      <c r="E54" s="14">
        <v>89.3</v>
      </c>
      <c r="F54" s="12">
        <v>24.4</v>
      </c>
      <c r="G54" s="12">
        <v>364.45</v>
      </c>
      <c r="H54" s="12">
        <v>299.54999999999995</v>
      </c>
      <c r="I54" s="12">
        <v>0.08</v>
      </c>
      <c r="J54" s="36">
        <v>6</v>
      </c>
      <c r="K54" s="12">
        <f t="shared" si="0"/>
        <v>31.152000000000015</v>
      </c>
      <c r="M54" s="12">
        <v>89.3</v>
      </c>
      <c r="N54" s="12">
        <v>24.4</v>
      </c>
      <c r="O54" s="12">
        <v>364.45</v>
      </c>
      <c r="P54" s="12">
        <v>299.54999999999995</v>
      </c>
      <c r="Q54" s="12">
        <v>0.08</v>
      </c>
      <c r="R54" s="10"/>
      <c r="S54" s="10"/>
      <c r="T54" s="12">
        <f t="shared" si="1"/>
        <v>3.0452242262484872</v>
      </c>
      <c r="U54" s="32">
        <v>2.8490600532422801</v>
      </c>
    </row>
    <row r="55" spans="2:21" x14ac:dyDescent="0.2">
      <c r="B55" s="108"/>
      <c r="C55" s="28" t="s">
        <v>107</v>
      </c>
      <c r="D55" s="18">
        <v>41</v>
      </c>
      <c r="E55" s="14">
        <v>78.599999999999994</v>
      </c>
      <c r="F55" s="12">
        <v>24.6</v>
      </c>
      <c r="G55" s="12">
        <v>353.75</v>
      </c>
      <c r="H55" s="12">
        <v>299.75</v>
      </c>
      <c r="I55" s="12">
        <v>0.04</v>
      </c>
      <c r="J55" s="36">
        <v>6</v>
      </c>
      <c r="K55" s="12">
        <f t="shared" si="0"/>
        <v>12.959999999999999</v>
      </c>
      <c r="M55" s="12">
        <v>78.599999999999994</v>
      </c>
      <c r="N55" s="12">
        <v>24.6</v>
      </c>
      <c r="O55" s="12">
        <v>353.75</v>
      </c>
      <c r="P55" s="12">
        <v>299.75</v>
      </c>
      <c r="Q55" s="12">
        <v>0.04</v>
      </c>
      <c r="R55" s="10"/>
      <c r="S55" s="10"/>
      <c r="T55" s="12">
        <f t="shared" si="1"/>
        <v>1.2044726256121649</v>
      </c>
      <c r="U55" s="32">
        <v>2.7125029403399203</v>
      </c>
    </row>
    <row r="56" spans="2:21" x14ac:dyDescent="0.2">
      <c r="B56" s="108"/>
      <c r="C56" s="28"/>
      <c r="D56" s="18">
        <v>42</v>
      </c>
      <c r="E56" s="14">
        <v>92.7</v>
      </c>
      <c r="F56" s="12">
        <v>24.6</v>
      </c>
      <c r="G56" s="12">
        <v>367.84999999999997</v>
      </c>
      <c r="H56" s="12">
        <v>299.75</v>
      </c>
      <c r="I56" s="12">
        <v>7.0000000000000007E-2</v>
      </c>
      <c r="J56" s="36">
        <v>6</v>
      </c>
      <c r="K56" s="12">
        <f t="shared" si="0"/>
        <v>28.60199999999999</v>
      </c>
      <c r="M56" s="12">
        <v>92.7</v>
      </c>
      <c r="N56" s="12">
        <v>24.6</v>
      </c>
      <c r="O56" s="12">
        <v>367.84999999999997</v>
      </c>
      <c r="P56" s="12">
        <v>299.75</v>
      </c>
      <c r="Q56" s="12">
        <v>7.0000000000000007E-2</v>
      </c>
      <c r="R56" s="10"/>
      <c r="S56" s="10"/>
      <c r="T56" s="12">
        <f t="shared" si="1"/>
        <v>2.8440742251240896</v>
      </c>
      <c r="U56" s="32">
        <v>2.8966757058817665</v>
      </c>
    </row>
    <row r="57" spans="2:21" x14ac:dyDescent="0.2">
      <c r="B57" s="108"/>
      <c r="C57" s="28" t="s">
        <v>108</v>
      </c>
      <c r="D57" s="18">
        <v>43</v>
      </c>
      <c r="E57" s="14">
        <v>77.2</v>
      </c>
      <c r="F57" s="12">
        <v>24.4</v>
      </c>
      <c r="G57" s="12">
        <v>352.34999999999997</v>
      </c>
      <c r="H57" s="12">
        <v>299.54999999999995</v>
      </c>
      <c r="I57" s="12">
        <v>0.15</v>
      </c>
      <c r="J57" s="36">
        <v>6</v>
      </c>
      <c r="K57" s="12">
        <f t="shared" si="0"/>
        <v>47.52</v>
      </c>
      <c r="M57" s="12">
        <v>77.2</v>
      </c>
      <c r="N57" s="12">
        <v>24.4</v>
      </c>
      <c r="O57" s="12">
        <v>352.34999999999997</v>
      </c>
      <c r="P57" s="12">
        <v>299.54999999999995</v>
      </c>
      <c r="Q57" s="12">
        <v>0.15</v>
      </c>
      <c r="R57" s="10"/>
      <c r="S57" s="10"/>
      <c r="T57" s="12">
        <f t="shared" si="1"/>
        <v>4.3828732278662557</v>
      </c>
      <c r="U57" s="32">
        <v>2.6924658233124035</v>
      </c>
    </row>
    <row r="58" spans="2:21" x14ac:dyDescent="0.2">
      <c r="B58" s="108"/>
      <c r="C58" s="28"/>
      <c r="D58" s="18">
        <v>44</v>
      </c>
      <c r="E58" s="14">
        <v>91.3</v>
      </c>
      <c r="F58" s="12">
        <v>24.4</v>
      </c>
      <c r="G58" s="12">
        <v>366.45</v>
      </c>
      <c r="H58" s="12">
        <v>299.54999999999995</v>
      </c>
      <c r="I58" s="12">
        <v>0.32</v>
      </c>
      <c r="J58" s="36">
        <v>6</v>
      </c>
      <c r="K58" s="12">
        <f t="shared" si="0"/>
        <v>128.44800000000006</v>
      </c>
      <c r="M58" s="12">
        <v>91.3</v>
      </c>
      <c r="N58" s="12">
        <v>24.4</v>
      </c>
      <c r="O58" s="12">
        <v>366.45</v>
      </c>
      <c r="P58" s="12">
        <v>299.54999999999995</v>
      </c>
      <c r="Q58" s="12">
        <v>0.32</v>
      </c>
      <c r="R58" s="10"/>
      <c r="S58" s="10"/>
      <c r="T58" s="12">
        <f t="shared" si="1"/>
        <v>12.676813012687038</v>
      </c>
      <c r="U58" s="32">
        <v>2.8756248658213126</v>
      </c>
    </row>
    <row r="59" spans="2:21" x14ac:dyDescent="0.2">
      <c r="B59" s="108"/>
      <c r="C59" s="28"/>
      <c r="D59" s="18">
        <v>45</v>
      </c>
      <c r="E59" s="14">
        <v>218</v>
      </c>
      <c r="F59" s="12">
        <v>24.4</v>
      </c>
      <c r="G59" s="12">
        <v>493.15</v>
      </c>
      <c r="H59" s="12">
        <v>299.54999999999995</v>
      </c>
      <c r="I59" s="12">
        <v>7.0000000000000007E-2</v>
      </c>
      <c r="J59" s="36">
        <v>6</v>
      </c>
      <c r="K59" s="12">
        <f t="shared" si="0"/>
        <v>81.312000000000012</v>
      </c>
      <c r="M59" s="12">
        <v>218</v>
      </c>
      <c r="N59" s="12">
        <v>24.4</v>
      </c>
      <c r="O59" s="12">
        <v>493.15</v>
      </c>
      <c r="P59" s="12">
        <v>299.54999999999995</v>
      </c>
      <c r="Q59" s="12">
        <v>7.0000000000000007E-2</v>
      </c>
      <c r="R59" s="10"/>
      <c r="S59" s="10"/>
      <c r="T59" s="12">
        <f t="shared" si="1"/>
        <v>14.195233166874468</v>
      </c>
      <c r="U59" s="32">
        <v>4.9766759208774403</v>
      </c>
    </row>
    <row r="60" spans="2:21" x14ac:dyDescent="0.2">
      <c r="B60" s="108"/>
      <c r="C60" s="28" t="s">
        <v>109</v>
      </c>
      <c r="D60" s="18">
        <v>46</v>
      </c>
      <c r="E60" s="14">
        <v>136.4</v>
      </c>
      <c r="F60" s="12">
        <v>26.1</v>
      </c>
      <c r="G60" s="12">
        <v>411.54999999999995</v>
      </c>
      <c r="H60" s="12">
        <v>301.25</v>
      </c>
      <c r="I60" s="12">
        <v>0.22500000000000001</v>
      </c>
      <c r="J60" s="36">
        <v>6</v>
      </c>
      <c r="K60" s="12">
        <f t="shared" si="0"/>
        <v>148.90499999999994</v>
      </c>
      <c r="M60" s="12">
        <v>136.4</v>
      </c>
      <c r="N60" s="12">
        <v>26.1</v>
      </c>
      <c r="O60" s="12">
        <v>411.54999999999995</v>
      </c>
      <c r="P60" s="12">
        <v>301.25</v>
      </c>
      <c r="Q60" s="12">
        <v>0.22500000000000001</v>
      </c>
      <c r="R60" s="10"/>
      <c r="S60" s="10"/>
      <c r="T60" s="12">
        <f t="shared" si="1"/>
        <v>18.263703804348836</v>
      </c>
      <c r="U60" s="32">
        <v>3.5490123308672179</v>
      </c>
    </row>
    <row r="61" spans="2:21" x14ac:dyDescent="0.2">
      <c r="B61" s="108"/>
      <c r="C61" s="28" t="s">
        <v>110</v>
      </c>
      <c r="D61" s="18">
        <v>47</v>
      </c>
      <c r="E61" s="14">
        <v>98.05</v>
      </c>
      <c r="F61" s="12">
        <v>26.1</v>
      </c>
      <c r="G61" s="12">
        <v>373.2</v>
      </c>
      <c r="H61" s="12">
        <v>301.25</v>
      </c>
      <c r="I61" s="12">
        <v>7.0000000000000007E-2</v>
      </c>
      <c r="J61" s="36">
        <v>6</v>
      </c>
      <c r="K61" s="12">
        <f t="shared" si="0"/>
        <v>30.218999999999998</v>
      </c>
      <c r="M61" s="12">
        <v>98.05</v>
      </c>
      <c r="N61" s="12">
        <v>26.1</v>
      </c>
      <c r="O61" s="12">
        <v>373.2</v>
      </c>
      <c r="P61" s="12">
        <v>301.25</v>
      </c>
      <c r="Q61" s="12">
        <v>7.0000000000000007E-2</v>
      </c>
      <c r="R61" s="10"/>
      <c r="S61" s="10"/>
      <c r="T61" s="12">
        <f t="shared" si="1"/>
        <v>3.101300168536099</v>
      </c>
      <c r="U61" s="32">
        <v>2.9868644267211857</v>
      </c>
    </row>
    <row r="62" spans="2:21" x14ac:dyDescent="0.2">
      <c r="B62" s="108"/>
      <c r="C62" s="28"/>
      <c r="D62" s="18">
        <v>48</v>
      </c>
      <c r="E62" s="14">
        <v>142.1</v>
      </c>
      <c r="F62" s="12">
        <v>26.1</v>
      </c>
      <c r="G62" s="12">
        <v>417.25</v>
      </c>
      <c r="H62" s="12">
        <v>301.25</v>
      </c>
      <c r="I62" s="12">
        <v>0.26500000000000001</v>
      </c>
      <c r="J62" s="36">
        <v>6</v>
      </c>
      <c r="K62" s="12">
        <f t="shared" si="0"/>
        <v>184.44</v>
      </c>
      <c r="M62" s="12">
        <v>142.1</v>
      </c>
      <c r="N62" s="12">
        <v>26.1</v>
      </c>
      <c r="O62" s="12">
        <v>417.25</v>
      </c>
      <c r="P62" s="12">
        <v>301.25</v>
      </c>
      <c r="Q62" s="12">
        <v>0.26500000000000001</v>
      </c>
      <c r="R62" s="10"/>
      <c r="S62" s="10"/>
      <c r="T62" s="12">
        <f t="shared" si="1"/>
        <v>23.217223226444965</v>
      </c>
      <c r="U62" s="32">
        <v>3.6389649654026206</v>
      </c>
    </row>
    <row r="63" spans="2:21" x14ac:dyDescent="0.2">
      <c r="B63" s="108"/>
      <c r="C63" s="28" t="s">
        <v>111</v>
      </c>
      <c r="D63" s="18">
        <v>49</v>
      </c>
      <c r="E63" s="14">
        <v>76.8</v>
      </c>
      <c r="F63" s="12">
        <v>26.4</v>
      </c>
      <c r="G63" s="12">
        <v>351.95</v>
      </c>
      <c r="H63" s="12">
        <v>301.54999999999995</v>
      </c>
      <c r="I63" s="12">
        <v>0.35</v>
      </c>
      <c r="J63" s="36">
        <v>6</v>
      </c>
      <c r="K63" s="12">
        <f t="shared" si="0"/>
        <v>105.84000000000006</v>
      </c>
      <c r="M63" s="12">
        <v>76.8</v>
      </c>
      <c r="N63" s="12">
        <v>26.4</v>
      </c>
      <c r="O63" s="12">
        <v>351.95</v>
      </c>
      <c r="P63" s="12">
        <v>301.54999999999995</v>
      </c>
      <c r="Q63" s="12">
        <v>0.35</v>
      </c>
      <c r="R63" s="10"/>
      <c r="S63" s="10"/>
      <c r="T63" s="12">
        <f t="shared" si="1"/>
        <v>9.8279284259760775</v>
      </c>
      <c r="U63" s="32">
        <v>2.7101962247186</v>
      </c>
    </row>
    <row r="64" spans="2:21" x14ac:dyDescent="0.2">
      <c r="B64" s="108"/>
      <c r="C64" s="28" t="s">
        <v>112</v>
      </c>
      <c r="D64" s="18">
        <v>50</v>
      </c>
      <c r="E64" s="14">
        <v>218</v>
      </c>
      <c r="F64" s="12">
        <v>26.5</v>
      </c>
      <c r="G64" s="12">
        <v>493.15</v>
      </c>
      <c r="H64" s="12">
        <v>301.64999999999998</v>
      </c>
      <c r="I64" s="12">
        <v>1.1000000000000001</v>
      </c>
      <c r="J64" s="36">
        <v>6</v>
      </c>
      <c r="K64" s="12">
        <f t="shared" si="0"/>
        <v>1263.9000000000001</v>
      </c>
      <c r="M64" s="12">
        <v>218</v>
      </c>
      <c r="N64" s="12">
        <v>26.5</v>
      </c>
      <c r="O64" s="12">
        <v>493.15</v>
      </c>
      <c r="P64" s="12">
        <v>301.64999999999998</v>
      </c>
      <c r="Q64" s="12">
        <v>1.1000000000000001</v>
      </c>
      <c r="R64" s="10"/>
      <c r="S64" s="10"/>
      <c r="T64" s="12">
        <f t="shared" si="1"/>
        <v>222.07179848425574</v>
      </c>
      <c r="U64" s="32">
        <v>5.0071748231934308</v>
      </c>
    </row>
    <row r="65" spans="2:21" x14ac:dyDescent="0.2">
      <c r="B65" s="109" t="s">
        <v>27</v>
      </c>
      <c r="C65" s="28" t="s">
        <v>113</v>
      </c>
      <c r="D65" s="18">
        <v>51</v>
      </c>
      <c r="E65" s="15">
        <v>89.9</v>
      </c>
      <c r="F65" s="13">
        <v>25.5</v>
      </c>
      <c r="G65" s="13">
        <v>365.04999999999995</v>
      </c>
      <c r="H65" s="13">
        <v>300.64999999999998</v>
      </c>
      <c r="I65" s="13">
        <v>0.13100000000000001</v>
      </c>
      <c r="J65" s="36">
        <v>6</v>
      </c>
      <c r="K65" s="13">
        <f t="shared" si="0"/>
        <v>50.618399999999987</v>
      </c>
      <c r="M65" s="13">
        <v>89.9</v>
      </c>
      <c r="N65" s="13">
        <v>25.5</v>
      </c>
      <c r="O65" s="13">
        <v>365.04999999999995</v>
      </c>
      <c r="P65" s="13">
        <v>300.64999999999998</v>
      </c>
      <c r="Q65" s="13">
        <v>0.13100000000000001</v>
      </c>
      <c r="R65" s="10"/>
      <c r="S65" s="10"/>
      <c r="T65" s="13">
        <f t="shared" si="1"/>
        <v>4.9852788956173786</v>
      </c>
      <c r="U65" s="32">
        <v>2.8698317867875756</v>
      </c>
    </row>
    <row r="66" spans="2:21" x14ac:dyDescent="0.2">
      <c r="B66" s="109"/>
      <c r="C66" s="28"/>
      <c r="D66" s="18">
        <v>52</v>
      </c>
      <c r="E66" s="15">
        <v>75.599999999999994</v>
      </c>
      <c r="F66" s="13">
        <v>25.5</v>
      </c>
      <c r="G66" s="13">
        <v>350.75</v>
      </c>
      <c r="H66" s="13">
        <v>300.64999999999998</v>
      </c>
      <c r="I66" s="13">
        <v>0.16</v>
      </c>
      <c r="J66" s="36">
        <v>6</v>
      </c>
      <c r="K66" s="13">
        <f t="shared" si="0"/>
        <v>48.096000000000018</v>
      </c>
      <c r="M66" s="13">
        <v>75.599999999999994</v>
      </c>
      <c r="N66" s="13">
        <v>25.5</v>
      </c>
      <c r="O66" s="13">
        <v>350.75</v>
      </c>
      <c r="P66" s="13">
        <v>300.64999999999998</v>
      </c>
      <c r="Q66" s="13">
        <v>0.16</v>
      </c>
      <c r="R66" s="10"/>
      <c r="S66" s="10"/>
      <c r="T66" s="13">
        <f t="shared" si="1"/>
        <v>4.4229650428546412</v>
      </c>
      <c r="U66" s="32">
        <v>2.6847671715172128</v>
      </c>
    </row>
    <row r="67" spans="2:21" x14ac:dyDescent="0.2">
      <c r="B67" s="109"/>
      <c r="C67" s="28" t="s">
        <v>114</v>
      </c>
      <c r="D67" s="18">
        <v>53</v>
      </c>
      <c r="E67" s="15">
        <v>275.39999999999998</v>
      </c>
      <c r="F67" s="13">
        <v>25.7</v>
      </c>
      <c r="G67" s="13">
        <v>550.54999999999995</v>
      </c>
      <c r="H67" s="13">
        <v>300.84999999999997</v>
      </c>
      <c r="I67" s="13">
        <v>0.04</v>
      </c>
      <c r="J67" s="36">
        <v>6</v>
      </c>
      <c r="K67" s="13">
        <f t="shared" si="0"/>
        <v>59.927999999999997</v>
      </c>
      <c r="M67" s="13">
        <v>275.39999999999998</v>
      </c>
      <c r="N67" s="13">
        <v>25.7</v>
      </c>
      <c r="O67" s="13">
        <v>550.54999999999995</v>
      </c>
      <c r="P67" s="13">
        <v>300.84999999999997</v>
      </c>
      <c r="Q67" s="13">
        <v>0.04</v>
      </c>
      <c r="R67" s="10"/>
      <c r="S67" s="10"/>
      <c r="T67" s="13">
        <f t="shared" si="1"/>
        <v>13.285137377023096</v>
      </c>
      <c r="U67" s="32">
        <v>6.2358322469067051</v>
      </c>
    </row>
    <row r="68" spans="2:21" x14ac:dyDescent="0.2">
      <c r="B68" s="109"/>
      <c r="C68" s="28" t="s">
        <v>115</v>
      </c>
      <c r="D68" s="18">
        <v>54</v>
      </c>
      <c r="E68" s="15">
        <v>275.39999999999998</v>
      </c>
      <c r="F68" s="13">
        <v>25.9</v>
      </c>
      <c r="G68" s="13">
        <v>550.54999999999995</v>
      </c>
      <c r="H68" s="13">
        <v>301.04999999999995</v>
      </c>
      <c r="I68" s="13">
        <v>0.16</v>
      </c>
      <c r="J68" s="36">
        <v>6</v>
      </c>
      <c r="K68" s="13">
        <f t="shared" si="0"/>
        <v>239.51999999999998</v>
      </c>
      <c r="M68" s="13">
        <v>275.39999999999998</v>
      </c>
      <c r="N68" s="13">
        <v>25.9</v>
      </c>
      <c r="O68" s="13">
        <v>550.54999999999995</v>
      </c>
      <c r="P68" s="13">
        <v>301.04999999999995</v>
      </c>
      <c r="Q68" s="13">
        <v>0.16</v>
      </c>
      <c r="R68" s="10"/>
      <c r="S68" s="10"/>
      <c r="T68" s="13">
        <f t="shared" si="1"/>
        <v>53.126701919270893</v>
      </c>
      <c r="U68" s="32">
        <v>6.2389942440475075</v>
      </c>
    </row>
    <row r="69" spans="2:21" x14ac:dyDescent="0.2">
      <c r="B69" s="109"/>
      <c r="C69" s="28"/>
      <c r="D69" s="18">
        <v>55</v>
      </c>
      <c r="E69" s="15">
        <v>72.400000000000006</v>
      </c>
      <c r="F69" s="13">
        <v>25.9</v>
      </c>
      <c r="G69" s="13">
        <v>347.54999999999995</v>
      </c>
      <c r="H69" s="13">
        <v>301.04999999999995</v>
      </c>
      <c r="I69" s="13">
        <v>0.04</v>
      </c>
      <c r="J69" s="36">
        <v>6</v>
      </c>
      <c r="K69" s="13">
        <f t="shared" ref="K69:K102" si="2">J69*I69*(G69-H69)</f>
        <v>11.16</v>
      </c>
      <c r="M69" s="13">
        <v>72.400000000000006</v>
      </c>
      <c r="N69" s="13">
        <v>25.9</v>
      </c>
      <c r="O69" s="13">
        <v>347.54999999999995</v>
      </c>
      <c r="P69" s="13">
        <v>301.04999999999995</v>
      </c>
      <c r="Q69" s="13">
        <v>0.04</v>
      </c>
      <c r="R69" s="10"/>
      <c r="S69" s="10"/>
      <c r="T69" s="13">
        <f t="shared" ref="T69:T102" si="3">$R$4*$S$4*I69*((G69^4)-(H69^4))</f>
        <v>1.0123283048990286</v>
      </c>
      <c r="U69" s="32">
        <v>2.6492191127993698</v>
      </c>
    </row>
    <row r="70" spans="2:21" x14ac:dyDescent="0.2">
      <c r="B70" s="109"/>
      <c r="C70" s="28" t="s">
        <v>116</v>
      </c>
      <c r="D70" s="18">
        <v>56</v>
      </c>
      <c r="E70" s="15">
        <v>114.5</v>
      </c>
      <c r="F70" s="13">
        <v>26.1</v>
      </c>
      <c r="G70" s="13">
        <v>389.65</v>
      </c>
      <c r="H70" s="13">
        <v>301.25</v>
      </c>
      <c r="I70" s="13">
        <v>0.18</v>
      </c>
      <c r="J70" s="36">
        <v>6</v>
      </c>
      <c r="K70" s="13">
        <f t="shared" si="2"/>
        <v>95.47199999999998</v>
      </c>
      <c r="M70" s="13">
        <v>114.5</v>
      </c>
      <c r="N70" s="13">
        <v>26.1</v>
      </c>
      <c r="O70" s="13">
        <v>389.65</v>
      </c>
      <c r="P70" s="13">
        <v>301.25</v>
      </c>
      <c r="Q70" s="13">
        <v>0.18</v>
      </c>
      <c r="R70" s="10"/>
      <c r="S70" s="10"/>
      <c r="T70" s="13">
        <f t="shared" si="3"/>
        <v>10.584581691925937</v>
      </c>
      <c r="U70" s="32">
        <v>3.2189143638423539</v>
      </c>
    </row>
    <row r="71" spans="2:21" x14ac:dyDescent="0.2">
      <c r="B71" s="109"/>
      <c r="C71" s="28"/>
      <c r="D71" s="18">
        <v>57</v>
      </c>
      <c r="E71" s="15">
        <v>138</v>
      </c>
      <c r="F71" s="13">
        <v>26.3</v>
      </c>
      <c r="G71" s="13">
        <v>413.15</v>
      </c>
      <c r="H71" s="13">
        <v>301.45</v>
      </c>
      <c r="I71" s="13">
        <v>0.14000000000000001</v>
      </c>
      <c r="J71" s="36">
        <v>6</v>
      </c>
      <c r="K71" s="13">
        <f t="shared" si="2"/>
        <v>93.828000000000003</v>
      </c>
      <c r="M71" s="13">
        <v>138</v>
      </c>
      <c r="N71" s="13">
        <v>26.3</v>
      </c>
      <c r="O71" s="13">
        <v>413.15</v>
      </c>
      <c r="P71" s="13">
        <v>301.45</v>
      </c>
      <c r="Q71" s="13">
        <v>0.14000000000000001</v>
      </c>
      <c r="R71" s="10"/>
      <c r="S71" s="10"/>
      <c r="T71" s="13">
        <f t="shared" si="3"/>
        <v>11.601255503199397</v>
      </c>
      <c r="U71" s="32">
        <v>3.5766465033568</v>
      </c>
    </row>
    <row r="72" spans="2:21" x14ac:dyDescent="0.2">
      <c r="B72" s="109"/>
      <c r="C72" s="28" t="s">
        <v>117</v>
      </c>
      <c r="D72" s="18">
        <v>58</v>
      </c>
      <c r="E72" s="15">
        <v>110.8</v>
      </c>
      <c r="F72" s="13">
        <v>25.9</v>
      </c>
      <c r="G72" s="13">
        <v>385.95</v>
      </c>
      <c r="H72" s="13">
        <v>301.04999999999995</v>
      </c>
      <c r="I72" s="13">
        <v>7.0000000000000007E-2</v>
      </c>
      <c r="J72" s="36">
        <v>6</v>
      </c>
      <c r="K72" s="13">
        <f t="shared" si="2"/>
        <v>35.658000000000015</v>
      </c>
      <c r="M72" s="13">
        <v>110.8</v>
      </c>
      <c r="N72" s="13">
        <v>25.9</v>
      </c>
      <c r="O72" s="13">
        <v>385.95</v>
      </c>
      <c r="P72" s="13">
        <v>301.04999999999995</v>
      </c>
      <c r="Q72" s="13">
        <v>7.0000000000000007E-2</v>
      </c>
      <c r="R72" s="10"/>
      <c r="S72" s="10"/>
      <c r="T72" s="13">
        <f t="shared" si="3"/>
        <v>3.8824828304591974</v>
      </c>
      <c r="U72" s="32">
        <v>3.1631125107856599</v>
      </c>
    </row>
    <row r="73" spans="2:21" x14ac:dyDescent="0.2">
      <c r="B73" s="109"/>
      <c r="C73" s="28" t="s">
        <v>118</v>
      </c>
      <c r="D73" s="18">
        <v>59</v>
      </c>
      <c r="E73" s="15">
        <v>60.5</v>
      </c>
      <c r="F73" s="13">
        <v>26.5</v>
      </c>
      <c r="G73" s="13">
        <v>335.65</v>
      </c>
      <c r="H73" s="13">
        <v>301.64999999999998</v>
      </c>
      <c r="I73" s="13">
        <v>0.25</v>
      </c>
      <c r="J73" s="36">
        <v>6</v>
      </c>
      <c r="K73" s="13">
        <f t="shared" si="2"/>
        <v>51</v>
      </c>
      <c r="M73" s="13">
        <v>60.5</v>
      </c>
      <c r="N73" s="13">
        <v>26.5</v>
      </c>
      <c r="O73" s="13">
        <v>335.65</v>
      </c>
      <c r="P73" s="13">
        <v>301.64999999999998</v>
      </c>
      <c r="Q73" s="13">
        <v>0.25</v>
      </c>
      <c r="R73" s="10"/>
      <c r="S73" s="10"/>
      <c r="T73" s="13">
        <f t="shared" si="3"/>
        <v>4.3786086492819329</v>
      </c>
      <c r="U73" s="32">
        <v>2.5109780856712685</v>
      </c>
    </row>
    <row r="74" spans="2:21" x14ac:dyDescent="0.2">
      <c r="B74" s="109"/>
      <c r="C74" s="28"/>
      <c r="D74" s="18">
        <v>60</v>
      </c>
      <c r="E74" s="15">
        <v>275.39999999999998</v>
      </c>
      <c r="F74" s="13">
        <v>26.5</v>
      </c>
      <c r="G74" s="13">
        <v>550.54999999999995</v>
      </c>
      <c r="H74" s="13">
        <v>301.64999999999998</v>
      </c>
      <c r="I74" s="13">
        <v>3.1399999999999997E-2</v>
      </c>
      <c r="J74" s="36">
        <v>6</v>
      </c>
      <c r="K74" s="13">
        <f t="shared" si="2"/>
        <v>46.892759999999988</v>
      </c>
      <c r="M74" s="13">
        <v>275.39999999999998</v>
      </c>
      <c r="N74" s="13">
        <v>26.5</v>
      </c>
      <c r="O74" s="13">
        <v>550.54999999999995</v>
      </c>
      <c r="P74" s="13">
        <v>301.64999999999998</v>
      </c>
      <c r="Q74" s="13">
        <v>3.1399999999999997E-2</v>
      </c>
      <c r="R74" s="10"/>
      <c r="S74" s="10"/>
      <c r="T74" s="13">
        <f t="shared" si="3"/>
        <v>10.417929925174105</v>
      </c>
      <c r="U74" s="32">
        <v>6.2484911302975101</v>
      </c>
    </row>
    <row r="75" spans="2:21" x14ac:dyDescent="0.2">
      <c r="B75" s="109"/>
      <c r="C75" s="28"/>
      <c r="D75" s="18">
        <v>61</v>
      </c>
      <c r="E75" s="15">
        <v>275.39999999999998</v>
      </c>
      <c r="F75" s="13">
        <v>26.5</v>
      </c>
      <c r="G75" s="13">
        <v>550.54999999999995</v>
      </c>
      <c r="H75" s="13">
        <v>301.64999999999998</v>
      </c>
      <c r="I75" s="13">
        <v>3.1399999999999997E-2</v>
      </c>
      <c r="J75" s="36">
        <v>6</v>
      </c>
      <c r="K75" s="13">
        <f t="shared" si="2"/>
        <v>46.892759999999988</v>
      </c>
      <c r="M75" s="13">
        <v>275.39999999999998</v>
      </c>
      <c r="N75" s="13">
        <v>26.5</v>
      </c>
      <c r="O75" s="13">
        <v>550.54999999999995</v>
      </c>
      <c r="P75" s="13">
        <v>301.64999999999998</v>
      </c>
      <c r="Q75" s="13">
        <v>3.1399999999999997E-2</v>
      </c>
      <c r="R75" s="10"/>
      <c r="S75" s="10"/>
      <c r="T75" s="13">
        <f t="shared" si="3"/>
        <v>10.417929925174105</v>
      </c>
      <c r="U75" s="32">
        <v>6.2484911302975101</v>
      </c>
    </row>
    <row r="76" spans="2:21" x14ac:dyDescent="0.2">
      <c r="B76" s="109" t="s">
        <v>28</v>
      </c>
      <c r="C76" s="28" t="s">
        <v>119</v>
      </c>
      <c r="D76" s="18">
        <v>62</v>
      </c>
      <c r="E76" s="14">
        <v>130.6</v>
      </c>
      <c r="F76" s="12">
        <v>27.5</v>
      </c>
      <c r="G76" s="12">
        <v>405.75</v>
      </c>
      <c r="H76" s="12">
        <v>302.64999999999998</v>
      </c>
      <c r="I76" s="12">
        <v>0.2</v>
      </c>
      <c r="J76" s="36">
        <v>6</v>
      </c>
      <c r="K76" s="12">
        <f t="shared" si="2"/>
        <v>123.72000000000004</v>
      </c>
      <c r="M76" s="12">
        <v>130.6</v>
      </c>
      <c r="N76" s="12">
        <v>27.5</v>
      </c>
      <c r="O76" s="12">
        <v>405.75</v>
      </c>
      <c r="P76" s="12">
        <v>302.64999999999998</v>
      </c>
      <c r="Q76" s="12">
        <v>0.2</v>
      </c>
      <c r="R76" s="10"/>
      <c r="S76" s="10"/>
      <c r="T76" s="12">
        <f t="shared" si="3"/>
        <v>14.855197599239688</v>
      </c>
      <c r="U76" s="32">
        <v>3.4768910203343353</v>
      </c>
    </row>
    <row r="77" spans="2:21" x14ac:dyDescent="0.2">
      <c r="B77" s="109"/>
      <c r="C77" s="28" t="s">
        <v>120</v>
      </c>
      <c r="D77" s="18">
        <v>63</v>
      </c>
      <c r="E77" s="14">
        <v>284</v>
      </c>
      <c r="F77" s="12">
        <v>27.6</v>
      </c>
      <c r="G77" s="12">
        <v>559.15</v>
      </c>
      <c r="H77" s="12">
        <v>302.75</v>
      </c>
      <c r="I77" s="12">
        <v>0.05</v>
      </c>
      <c r="J77" s="36">
        <v>6</v>
      </c>
      <c r="K77" s="12">
        <f t="shared" si="2"/>
        <v>76.92</v>
      </c>
      <c r="M77" s="12">
        <v>284</v>
      </c>
      <c r="N77" s="12">
        <v>27.6</v>
      </c>
      <c r="O77" s="12">
        <v>559.15</v>
      </c>
      <c r="P77" s="12">
        <v>302.75</v>
      </c>
      <c r="Q77" s="12">
        <v>0.05</v>
      </c>
      <c r="R77" s="10"/>
      <c r="S77" s="10"/>
      <c r="T77" s="12">
        <f t="shared" si="3"/>
        <v>17.731133405366084</v>
      </c>
      <c r="U77" s="32">
        <v>6.4681209992834034</v>
      </c>
    </row>
    <row r="78" spans="2:21" x14ac:dyDescent="0.2">
      <c r="B78" s="109"/>
      <c r="C78" s="28" t="s">
        <v>121</v>
      </c>
      <c r="D78" s="18">
        <v>64</v>
      </c>
      <c r="E78" s="14">
        <v>284</v>
      </c>
      <c r="F78" s="12">
        <v>28.1</v>
      </c>
      <c r="G78" s="12">
        <v>559.15</v>
      </c>
      <c r="H78" s="12">
        <v>303.25</v>
      </c>
      <c r="I78" s="12">
        <v>0.05</v>
      </c>
      <c r="J78" s="36">
        <v>6</v>
      </c>
      <c r="K78" s="12">
        <f t="shared" si="2"/>
        <v>76.77000000000001</v>
      </c>
      <c r="M78" s="12">
        <v>284</v>
      </c>
      <c r="N78" s="12">
        <v>28.1</v>
      </c>
      <c r="O78" s="12">
        <v>559.15</v>
      </c>
      <c r="P78" s="12">
        <v>303.25</v>
      </c>
      <c r="Q78" s="12">
        <v>0.05</v>
      </c>
      <c r="R78" s="10"/>
      <c r="S78" s="10"/>
      <c r="T78" s="12">
        <f t="shared" si="3"/>
        <v>17.72009238324349</v>
      </c>
      <c r="U78" s="32">
        <v>6.4761663622362962</v>
      </c>
    </row>
    <row r="79" spans="2:21" x14ac:dyDescent="0.2">
      <c r="B79" s="109"/>
      <c r="C79" s="28"/>
      <c r="D79" s="18">
        <v>65</v>
      </c>
      <c r="E79" s="14">
        <v>284</v>
      </c>
      <c r="F79" s="12">
        <v>28.1</v>
      </c>
      <c r="G79" s="12">
        <v>559.15</v>
      </c>
      <c r="H79" s="12">
        <v>303.25</v>
      </c>
      <c r="I79" s="12">
        <v>0.1963</v>
      </c>
      <c r="J79" s="36">
        <v>6</v>
      </c>
      <c r="K79" s="12">
        <f t="shared" si="2"/>
        <v>301.39901999999995</v>
      </c>
      <c r="M79" s="12">
        <v>284</v>
      </c>
      <c r="N79" s="12">
        <v>28.1</v>
      </c>
      <c r="O79" s="12">
        <v>559.15</v>
      </c>
      <c r="P79" s="12">
        <v>303.25</v>
      </c>
      <c r="Q79" s="12">
        <v>0.1963</v>
      </c>
      <c r="R79" s="10"/>
      <c r="S79" s="10"/>
      <c r="T79" s="12">
        <f t="shared" si="3"/>
        <v>69.569082696613933</v>
      </c>
      <c r="U79" s="32">
        <v>6.4761663622362944</v>
      </c>
    </row>
    <row r="80" spans="2:21" x14ac:dyDescent="0.2">
      <c r="B80" s="109"/>
      <c r="C80" s="28"/>
      <c r="D80" s="18">
        <v>66</v>
      </c>
      <c r="E80" s="14">
        <v>284</v>
      </c>
      <c r="F80" s="12">
        <v>28.1</v>
      </c>
      <c r="G80" s="12">
        <v>559.15</v>
      </c>
      <c r="H80" s="12">
        <v>303.25</v>
      </c>
      <c r="I80" s="12">
        <v>1.57</v>
      </c>
      <c r="J80" s="36">
        <v>6</v>
      </c>
      <c r="K80" s="12">
        <f t="shared" si="2"/>
        <v>2410.578</v>
      </c>
      <c r="M80" s="12">
        <v>284</v>
      </c>
      <c r="N80" s="12">
        <v>28.1</v>
      </c>
      <c r="O80" s="12">
        <v>559.15</v>
      </c>
      <c r="P80" s="12">
        <v>303.25</v>
      </c>
      <c r="Q80" s="12">
        <v>1.57</v>
      </c>
      <c r="R80" s="10"/>
      <c r="S80" s="10"/>
      <c r="T80" s="12">
        <f t="shared" si="3"/>
        <v>556.41090083384552</v>
      </c>
      <c r="U80" s="32">
        <v>6.4761663622362944</v>
      </c>
    </row>
    <row r="81" spans="2:21" x14ac:dyDescent="0.2">
      <c r="B81" s="109"/>
      <c r="C81" s="28"/>
      <c r="D81" s="18">
        <v>67</v>
      </c>
      <c r="E81" s="14">
        <v>105.1</v>
      </c>
      <c r="F81" s="12">
        <v>28.1</v>
      </c>
      <c r="G81" s="12">
        <v>380.25</v>
      </c>
      <c r="H81" s="12">
        <v>303.25</v>
      </c>
      <c r="I81" s="12">
        <v>1.57</v>
      </c>
      <c r="J81" s="36">
        <v>6</v>
      </c>
      <c r="K81" s="12">
        <f t="shared" si="2"/>
        <v>725.34</v>
      </c>
      <c r="M81" s="12">
        <v>105.1</v>
      </c>
      <c r="N81" s="12">
        <v>28.1</v>
      </c>
      <c r="O81" s="12">
        <v>380.25</v>
      </c>
      <c r="P81" s="12">
        <v>303.25</v>
      </c>
      <c r="Q81" s="12">
        <v>1.57</v>
      </c>
      <c r="R81" s="10"/>
      <c r="S81" s="10"/>
      <c r="T81" s="12">
        <f t="shared" si="3"/>
        <v>77.577199057553145</v>
      </c>
      <c r="U81" s="32">
        <v>3.108836575362325</v>
      </c>
    </row>
    <row r="82" spans="2:21" x14ac:dyDescent="0.2">
      <c r="B82" s="109"/>
      <c r="C82" s="28"/>
      <c r="D82" s="18">
        <v>68</v>
      </c>
      <c r="E82" s="14">
        <v>114.8</v>
      </c>
      <c r="F82" s="12">
        <v>28.1</v>
      </c>
      <c r="G82" s="12">
        <v>389.95</v>
      </c>
      <c r="H82" s="12">
        <v>303.25</v>
      </c>
      <c r="I82" s="12">
        <v>0.94</v>
      </c>
      <c r="J82" s="36">
        <v>6</v>
      </c>
      <c r="K82" s="12">
        <f t="shared" si="2"/>
        <v>488.98799999999989</v>
      </c>
      <c r="M82" s="12">
        <v>114.8</v>
      </c>
      <c r="N82" s="12">
        <v>28.1</v>
      </c>
      <c r="O82" s="12">
        <v>389.95</v>
      </c>
      <c r="P82" s="12">
        <v>303.25</v>
      </c>
      <c r="Q82" s="12">
        <v>0.94</v>
      </c>
      <c r="R82" s="10"/>
      <c r="S82" s="10"/>
      <c r="T82" s="12">
        <f t="shared" si="3"/>
        <v>54.71605936988383</v>
      </c>
      <c r="U82" s="32">
        <v>3.2478682810005139</v>
      </c>
    </row>
    <row r="83" spans="2:21" x14ac:dyDescent="0.2">
      <c r="B83" s="109"/>
      <c r="C83" s="28"/>
      <c r="D83" s="18">
        <v>69</v>
      </c>
      <c r="E83" s="14">
        <v>298.39999999999998</v>
      </c>
      <c r="F83" s="12">
        <v>28.1</v>
      </c>
      <c r="G83" s="12">
        <v>573.54999999999995</v>
      </c>
      <c r="H83" s="12">
        <v>303.25</v>
      </c>
      <c r="I83" s="12">
        <v>0.94</v>
      </c>
      <c r="J83" s="36">
        <v>6</v>
      </c>
      <c r="K83" s="12">
        <f t="shared" si="2"/>
        <v>1524.4919999999997</v>
      </c>
      <c r="M83" s="12">
        <v>298.39999999999998</v>
      </c>
      <c r="N83" s="12">
        <v>28.1</v>
      </c>
      <c r="O83" s="12">
        <v>573.54999999999995</v>
      </c>
      <c r="P83" s="12">
        <v>303.25</v>
      </c>
      <c r="Q83" s="12">
        <v>0.94</v>
      </c>
      <c r="R83" s="10"/>
      <c r="S83" s="10"/>
      <c r="T83" s="12">
        <f t="shared" si="3"/>
        <v>372.18191943124151</v>
      </c>
      <c r="U83" s="32">
        <v>6.8242404121265308</v>
      </c>
    </row>
    <row r="84" spans="2:21" x14ac:dyDescent="0.2">
      <c r="B84" s="109"/>
      <c r="C84" s="28" t="s">
        <v>122</v>
      </c>
      <c r="D84" s="18">
        <v>70</v>
      </c>
      <c r="E84" s="14">
        <v>284</v>
      </c>
      <c r="F84" s="12">
        <v>27.7</v>
      </c>
      <c r="G84" s="12">
        <v>559.15</v>
      </c>
      <c r="H84" s="12">
        <v>302.84999999999997</v>
      </c>
      <c r="I84" s="12">
        <v>2.19</v>
      </c>
      <c r="J84" s="36">
        <v>6</v>
      </c>
      <c r="K84" s="12">
        <f t="shared" si="2"/>
        <v>3367.7820000000002</v>
      </c>
      <c r="M84" s="12">
        <v>284</v>
      </c>
      <c r="N84" s="12">
        <v>27.7</v>
      </c>
      <c r="O84" s="12">
        <v>559.15</v>
      </c>
      <c r="P84" s="12">
        <v>302.84999999999997</v>
      </c>
      <c r="Q84" s="12">
        <v>2.19</v>
      </c>
      <c r="R84" s="10"/>
      <c r="S84" s="10"/>
      <c r="T84" s="12">
        <f t="shared" si="3"/>
        <v>776.52711526140354</v>
      </c>
      <c r="U84" s="32">
        <v>6.4697291632153862</v>
      </c>
    </row>
    <row r="85" spans="2:21" x14ac:dyDescent="0.2">
      <c r="B85" s="109"/>
      <c r="C85" s="28" t="s">
        <v>123</v>
      </c>
      <c r="D85" s="18">
        <v>71</v>
      </c>
      <c r="E85" s="14">
        <v>83.4</v>
      </c>
      <c r="F85" s="12">
        <v>27.5</v>
      </c>
      <c r="G85" s="12">
        <v>358.54999999999995</v>
      </c>
      <c r="H85" s="12">
        <v>302.64999999999998</v>
      </c>
      <c r="I85" s="12">
        <v>30.78</v>
      </c>
      <c r="J85" s="36">
        <v>6</v>
      </c>
      <c r="K85" s="12">
        <f t="shared" si="2"/>
        <v>10323.611999999996</v>
      </c>
      <c r="M85" s="12">
        <v>83.4</v>
      </c>
      <c r="N85" s="12">
        <v>27.5</v>
      </c>
      <c r="O85" s="12">
        <v>358.54999999999995</v>
      </c>
      <c r="P85" s="12">
        <v>302.64999999999998</v>
      </c>
      <c r="Q85" s="12">
        <v>30.78</v>
      </c>
      <c r="R85" s="10"/>
      <c r="S85" s="10"/>
      <c r="T85" s="12">
        <f t="shared" si="3"/>
        <v>994.08419060558606</v>
      </c>
      <c r="U85" s="32">
        <v>2.8076617063591214</v>
      </c>
    </row>
    <row r="86" spans="2:21" x14ac:dyDescent="0.2">
      <c r="B86" s="109"/>
      <c r="C86" s="28" t="s">
        <v>124</v>
      </c>
      <c r="D86" s="18">
        <v>72</v>
      </c>
      <c r="E86" s="14">
        <v>230.5</v>
      </c>
      <c r="F86" s="12">
        <v>27.7</v>
      </c>
      <c r="G86" s="12">
        <v>505.65</v>
      </c>
      <c r="H86" s="12">
        <v>302.84999999999997</v>
      </c>
      <c r="I86" s="12">
        <v>0.15</v>
      </c>
      <c r="J86" s="36">
        <v>6</v>
      </c>
      <c r="K86" s="12">
        <f t="shared" si="2"/>
        <v>182.51999999999998</v>
      </c>
      <c r="M86" s="12">
        <v>230.5</v>
      </c>
      <c r="N86" s="12">
        <v>27.7</v>
      </c>
      <c r="O86" s="12">
        <v>505.65</v>
      </c>
      <c r="P86" s="12">
        <v>302.84999999999997</v>
      </c>
      <c r="Q86" s="12">
        <v>0.15</v>
      </c>
      <c r="R86" s="10"/>
      <c r="S86" s="10"/>
      <c r="T86" s="12">
        <f t="shared" si="3"/>
        <v>33.911750102555168</v>
      </c>
      <c r="U86" s="32">
        <v>5.2796403144019424</v>
      </c>
    </row>
    <row r="87" spans="2:21" x14ac:dyDescent="0.2">
      <c r="B87" s="109"/>
      <c r="C87" s="28"/>
      <c r="D87" s="18">
        <v>73</v>
      </c>
      <c r="E87" s="14">
        <v>230.5</v>
      </c>
      <c r="F87" s="12">
        <v>27.7</v>
      </c>
      <c r="G87" s="12">
        <v>505.65</v>
      </c>
      <c r="H87" s="12">
        <v>302.84999999999997</v>
      </c>
      <c r="I87" s="12">
        <v>0.12</v>
      </c>
      <c r="J87" s="36">
        <v>6</v>
      </c>
      <c r="K87" s="12">
        <f t="shared" si="2"/>
        <v>146.01599999999999</v>
      </c>
      <c r="M87" s="12">
        <v>230.5</v>
      </c>
      <c r="N87" s="12">
        <v>27.7</v>
      </c>
      <c r="O87" s="12">
        <v>505.65</v>
      </c>
      <c r="P87" s="12">
        <v>302.84999999999997</v>
      </c>
      <c r="Q87" s="12">
        <v>0.12</v>
      </c>
      <c r="R87" s="10"/>
      <c r="S87" s="10"/>
      <c r="T87" s="12">
        <f t="shared" si="3"/>
        <v>27.129400082044132</v>
      </c>
      <c r="U87" s="32">
        <v>5.2796403144019415</v>
      </c>
    </row>
    <row r="88" spans="2:21" x14ac:dyDescent="0.2">
      <c r="B88" s="109"/>
      <c r="C88" s="28"/>
      <c r="D88" s="18">
        <v>74</v>
      </c>
      <c r="E88" s="14">
        <v>146.1</v>
      </c>
      <c r="F88" s="12">
        <v>27.7</v>
      </c>
      <c r="G88" s="12">
        <v>421.25</v>
      </c>
      <c r="H88" s="12">
        <v>302.84999999999997</v>
      </c>
      <c r="I88" s="12">
        <v>0.13</v>
      </c>
      <c r="J88" s="36">
        <v>6</v>
      </c>
      <c r="K88" s="12">
        <f t="shared" si="2"/>
        <v>92.352000000000032</v>
      </c>
      <c r="M88" s="12">
        <v>146.1</v>
      </c>
      <c r="N88" s="12">
        <v>27.7</v>
      </c>
      <c r="O88" s="12">
        <v>421.25</v>
      </c>
      <c r="P88" s="12">
        <v>302.84999999999997</v>
      </c>
      <c r="Q88" s="12">
        <v>0.13</v>
      </c>
      <c r="R88" s="10"/>
      <c r="S88" s="10"/>
      <c r="T88" s="12">
        <f t="shared" si="3"/>
        <v>11.906958702712302</v>
      </c>
      <c r="U88" s="32">
        <v>3.7238692593110492</v>
      </c>
    </row>
    <row r="89" spans="2:21" x14ac:dyDescent="0.2">
      <c r="B89" s="109"/>
      <c r="C89" s="28"/>
      <c r="D89" s="18">
        <v>75</v>
      </c>
      <c r="E89" s="14">
        <v>230.5</v>
      </c>
      <c r="F89" s="12">
        <v>27.7</v>
      </c>
      <c r="G89" s="12">
        <v>505.65</v>
      </c>
      <c r="H89" s="12">
        <v>302.84999999999997</v>
      </c>
      <c r="I89" s="12">
        <v>1.75</v>
      </c>
      <c r="J89" s="36">
        <v>6</v>
      </c>
      <c r="K89" s="12">
        <f t="shared" si="2"/>
        <v>2129.4</v>
      </c>
      <c r="M89" s="12">
        <v>230.5</v>
      </c>
      <c r="N89" s="12">
        <v>27.7</v>
      </c>
      <c r="O89" s="12">
        <v>505.65</v>
      </c>
      <c r="P89" s="12">
        <v>302.84999999999997</v>
      </c>
      <c r="Q89" s="12">
        <v>1.75</v>
      </c>
      <c r="R89" s="10"/>
      <c r="S89" s="10"/>
      <c r="T89" s="12">
        <f t="shared" si="3"/>
        <v>395.63708452981029</v>
      </c>
      <c r="U89" s="32">
        <v>5.2796403144019433</v>
      </c>
    </row>
    <row r="90" spans="2:21" x14ac:dyDescent="0.2">
      <c r="B90" s="109"/>
      <c r="C90" s="28" t="s">
        <v>125</v>
      </c>
      <c r="D90" s="18">
        <v>76</v>
      </c>
      <c r="E90" s="14">
        <v>230.5</v>
      </c>
      <c r="F90" s="12">
        <v>28.1</v>
      </c>
      <c r="G90" s="12">
        <v>505.65</v>
      </c>
      <c r="H90" s="12">
        <v>303.25</v>
      </c>
      <c r="I90" s="12">
        <v>2.92</v>
      </c>
      <c r="J90" s="36">
        <v>6</v>
      </c>
      <c r="K90" s="12">
        <f t="shared" si="2"/>
        <v>3546.0479999999993</v>
      </c>
      <c r="M90" s="12">
        <v>230.5</v>
      </c>
      <c r="N90" s="12">
        <v>28.1</v>
      </c>
      <c r="O90" s="12">
        <v>505.65</v>
      </c>
      <c r="P90" s="12">
        <v>303.25</v>
      </c>
      <c r="Q90" s="12">
        <v>2.92</v>
      </c>
      <c r="R90" s="10"/>
      <c r="S90" s="10"/>
      <c r="T90" s="12">
        <f t="shared" si="3"/>
        <v>659.63264349595568</v>
      </c>
      <c r="U90" s="32">
        <v>5.2856057976230399</v>
      </c>
    </row>
    <row r="91" spans="2:21" x14ac:dyDescent="0.2">
      <c r="B91" s="109"/>
      <c r="C91" s="28"/>
      <c r="D91" s="18">
        <v>77</v>
      </c>
      <c r="E91" s="14">
        <v>81.5</v>
      </c>
      <c r="F91" s="12">
        <v>28.1</v>
      </c>
      <c r="G91" s="12">
        <v>356.65</v>
      </c>
      <c r="H91" s="12">
        <v>303.25</v>
      </c>
      <c r="I91" s="12">
        <v>2.92</v>
      </c>
      <c r="J91" s="36">
        <v>6</v>
      </c>
      <c r="K91" s="12">
        <f t="shared" si="2"/>
        <v>935.56799999999953</v>
      </c>
      <c r="M91" s="12">
        <v>81.5</v>
      </c>
      <c r="N91" s="12">
        <v>28.1</v>
      </c>
      <c r="O91" s="12">
        <v>356.65</v>
      </c>
      <c r="P91" s="12">
        <v>303.25</v>
      </c>
      <c r="Q91" s="12">
        <v>2.92</v>
      </c>
      <c r="R91" s="10"/>
      <c r="S91" s="10"/>
      <c r="T91" s="12">
        <f t="shared" si="3"/>
        <v>89.504362053731413</v>
      </c>
      <c r="U91" s="32">
        <v>2.7899802482900551</v>
      </c>
    </row>
    <row r="92" spans="2:21" x14ac:dyDescent="0.2">
      <c r="B92" s="109"/>
      <c r="C92" s="28"/>
      <c r="D92" s="18">
        <v>78</v>
      </c>
      <c r="E92" s="14">
        <v>103.3</v>
      </c>
      <c r="F92" s="12">
        <v>28.1</v>
      </c>
      <c r="G92" s="12">
        <v>378.45</v>
      </c>
      <c r="H92" s="12">
        <v>303.25</v>
      </c>
      <c r="I92" s="12">
        <v>3.1</v>
      </c>
      <c r="J92" s="36">
        <v>6</v>
      </c>
      <c r="K92" s="12">
        <f t="shared" si="2"/>
        <v>1398.7199999999998</v>
      </c>
      <c r="M92" s="12">
        <v>103.3</v>
      </c>
      <c r="N92" s="12">
        <v>28.1</v>
      </c>
      <c r="O92" s="12">
        <v>378.45</v>
      </c>
      <c r="P92" s="12">
        <v>303.25</v>
      </c>
      <c r="Q92" s="12">
        <v>3.1</v>
      </c>
      <c r="R92" s="10"/>
      <c r="S92" s="10"/>
      <c r="T92" s="12">
        <f t="shared" si="3"/>
        <v>148.34177860805991</v>
      </c>
      <c r="U92" s="32">
        <v>3.0835531282866135</v>
      </c>
    </row>
    <row r="93" spans="2:21" x14ac:dyDescent="0.2">
      <c r="B93" s="109"/>
      <c r="C93" s="28" t="s">
        <v>126</v>
      </c>
      <c r="D93" s="18">
        <v>79</v>
      </c>
      <c r="E93" s="14">
        <v>93.2</v>
      </c>
      <c r="F93" s="12">
        <v>28.3</v>
      </c>
      <c r="G93" s="12">
        <v>368.34999999999997</v>
      </c>
      <c r="H93" s="12">
        <v>303.45</v>
      </c>
      <c r="I93" s="12">
        <v>0.11</v>
      </c>
      <c r="J93" s="36">
        <v>6</v>
      </c>
      <c r="K93" s="12">
        <f t="shared" si="2"/>
        <v>42.833999999999989</v>
      </c>
      <c r="M93" s="12">
        <v>93.2</v>
      </c>
      <c r="N93" s="12">
        <v>28.3</v>
      </c>
      <c r="O93" s="12">
        <v>368.34999999999997</v>
      </c>
      <c r="P93" s="12">
        <v>303.45</v>
      </c>
      <c r="Q93" s="12">
        <v>0.11</v>
      </c>
      <c r="R93" s="10"/>
      <c r="S93" s="10"/>
      <c r="T93" s="12">
        <f t="shared" si="3"/>
        <v>4.3355364982117095</v>
      </c>
      <c r="U93" s="32">
        <v>2.9470283026595308</v>
      </c>
    </row>
    <row r="94" spans="2:21" x14ac:dyDescent="0.2">
      <c r="B94" s="109"/>
      <c r="C94" s="28" t="s">
        <v>127</v>
      </c>
      <c r="D94" s="18">
        <v>80</v>
      </c>
      <c r="E94" s="14">
        <v>101.1</v>
      </c>
      <c r="F94" s="12">
        <v>28.2</v>
      </c>
      <c r="G94" s="12">
        <v>376.25</v>
      </c>
      <c r="H94" s="12">
        <v>303.34999999999997</v>
      </c>
      <c r="I94" s="12">
        <v>3.1415000000000002</v>
      </c>
      <c r="J94" s="36">
        <v>6</v>
      </c>
      <c r="K94" s="12">
        <f t="shared" si="2"/>
        <v>1374.0921000000008</v>
      </c>
      <c r="M94" s="12">
        <v>101.1</v>
      </c>
      <c r="N94" s="12">
        <v>28.2</v>
      </c>
      <c r="O94" s="12">
        <v>376.25</v>
      </c>
      <c r="P94" s="12">
        <v>303.34999999999997</v>
      </c>
      <c r="Q94" s="12">
        <v>3.1415000000000002</v>
      </c>
      <c r="R94" s="10"/>
      <c r="S94" s="10"/>
      <c r="T94" s="12">
        <f t="shared" si="3"/>
        <v>144.29276042053115</v>
      </c>
      <c r="U94" s="32">
        <v>3.0540737361356456</v>
      </c>
    </row>
    <row r="95" spans="2:21" x14ac:dyDescent="0.2">
      <c r="B95" s="109"/>
      <c r="C95" s="28" t="s">
        <v>128</v>
      </c>
      <c r="D95" s="18">
        <v>81</v>
      </c>
      <c r="E95" s="14">
        <v>230.5</v>
      </c>
      <c r="F95" s="12">
        <v>28.3</v>
      </c>
      <c r="G95" s="12">
        <v>505.65</v>
      </c>
      <c r="H95" s="12">
        <v>303.45</v>
      </c>
      <c r="I95" s="12">
        <v>2.0099999999999998</v>
      </c>
      <c r="J95" s="36">
        <v>6</v>
      </c>
      <c r="K95" s="12">
        <f t="shared" si="2"/>
        <v>2438.5319999999997</v>
      </c>
      <c r="M95" s="12">
        <v>230.5</v>
      </c>
      <c r="N95" s="12">
        <v>28.3</v>
      </c>
      <c r="O95" s="12">
        <v>505.65</v>
      </c>
      <c r="P95" s="12">
        <v>303.45</v>
      </c>
      <c r="Q95" s="12">
        <v>2.0099999999999998</v>
      </c>
      <c r="R95" s="10"/>
      <c r="S95" s="10"/>
      <c r="T95" s="12">
        <f t="shared" si="3"/>
        <v>453.88404089795097</v>
      </c>
      <c r="U95" s="32">
        <v>5.2885912805788458</v>
      </c>
    </row>
    <row r="96" spans="2:21" x14ac:dyDescent="0.2">
      <c r="B96" s="109"/>
      <c r="C96" s="28"/>
      <c r="D96" s="18">
        <v>82</v>
      </c>
      <c r="E96" s="14">
        <v>230.5</v>
      </c>
      <c r="F96" s="12">
        <v>28.3</v>
      </c>
      <c r="G96" s="12">
        <v>505.65</v>
      </c>
      <c r="H96" s="12">
        <v>303.45</v>
      </c>
      <c r="I96" s="12">
        <v>2.0099999999999998</v>
      </c>
      <c r="J96" s="36">
        <v>6</v>
      </c>
      <c r="K96" s="12">
        <f t="shared" si="2"/>
        <v>2438.5319999999997</v>
      </c>
      <c r="M96" s="12">
        <v>230.5</v>
      </c>
      <c r="N96" s="12">
        <v>28.3</v>
      </c>
      <c r="O96" s="12">
        <v>505.65</v>
      </c>
      <c r="P96" s="12">
        <v>303.45</v>
      </c>
      <c r="Q96" s="12">
        <v>2.0099999999999998</v>
      </c>
      <c r="R96" s="10"/>
      <c r="S96" s="10"/>
      <c r="T96" s="12">
        <f t="shared" si="3"/>
        <v>453.88404089795097</v>
      </c>
      <c r="U96" s="32">
        <v>5.2885912805788458</v>
      </c>
    </row>
    <row r="97" spans="2:21" x14ac:dyDescent="0.2">
      <c r="B97" s="109"/>
      <c r="C97" s="28" t="s">
        <v>129</v>
      </c>
      <c r="D97" s="18">
        <v>83</v>
      </c>
      <c r="E97" s="14">
        <v>230.5</v>
      </c>
      <c r="F97" s="12">
        <v>28.1</v>
      </c>
      <c r="G97" s="12">
        <v>505.65</v>
      </c>
      <c r="H97" s="12">
        <v>303.25</v>
      </c>
      <c r="I97" s="12">
        <v>0.47</v>
      </c>
      <c r="J97" s="36">
        <v>6</v>
      </c>
      <c r="K97" s="12">
        <f t="shared" si="2"/>
        <v>570.76799999999992</v>
      </c>
      <c r="M97" s="12">
        <v>230.5</v>
      </c>
      <c r="N97" s="12">
        <v>28.1</v>
      </c>
      <c r="O97" s="12">
        <v>505.65</v>
      </c>
      <c r="P97" s="12">
        <v>303.25</v>
      </c>
      <c r="Q97" s="12">
        <v>0.47</v>
      </c>
      <c r="R97" s="10"/>
      <c r="S97" s="10"/>
      <c r="T97" s="12">
        <f t="shared" si="3"/>
        <v>106.17374741202026</v>
      </c>
      <c r="U97" s="32">
        <v>5.2856057976230391</v>
      </c>
    </row>
    <row r="98" spans="2:21" x14ac:dyDescent="0.2">
      <c r="B98" s="109"/>
      <c r="C98" s="28" t="s">
        <v>130</v>
      </c>
      <c r="D98" s="18">
        <v>84</v>
      </c>
      <c r="E98" s="14">
        <v>145.80000000000001</v>
      </c>
      <c r="F98" s="12">
        <v>28.3</v>
      </c>
      <c r="G98" s="12">
        <v>420.95</v>
      </c>
      <c r="H98" s="12">
        <v>303.45</v>
      </c>
      <c r="I98" s="12">
        <v>2.2999999999999998</v>
      </c>
      <c r="J98" s="36">
        <v>6</v>
      </c>
      <c r="K98" s="12">
        <f t="shared" si="2"/>
        <v>1621.4999999999998</v>
      </c>
      <c r="M98" s="12">
        <v>145.80000000000001</v>
      </c>
      <c r="N98" s="12">
        <v>28.3</v>
      </c>
      <c r="O98" s="12">
        <v>420.95</v>
      </c>
      <c r="P98" s="12">
        <v>303.45</v>
      </c>
      <c r="Q98" s="12">
        <v>2.2999999999999998</v>
      </c>
      <c r="R98" s="10"/>
      <c r="S98" s="10"/>
      <c r="T98" s="12">
        <f t="shared" si="3"/>
        <v>209.23322068239611</v>
      </c>
      <c r="U98" s="32">
        <v>3.7268352143191574</v>
      </c>
    </row>
    <row r="99" spans="2:21" x14ac:dyDescent="0.2">
      <c r="B99" s="109"/>
      <c r="C99" s="28" t="s">
        <v>131</v>
      </c>
      <c r="D99" s="18">
        <v>85</v>
      </c>
      <c r="E99" s="14">
        <v>230.5</v>
      </c>
      <c r="F99" s="12">
        <v>28.2</v>
      </c>
      <c r="G99" s="12">
        <v>505.65</v>
      </c>
      <c r="H99" s="12">
        <v>303.34999999999997</v>
      </c>
      <c r="I99" s="12">
        <v>3.95</v>
      </c>
      <c r="J99" s="36">
        <v>6</v>
      </c>
      <c r="K99" s="12">
        <f t="shared" si="2"/>
        <v>4794.5100000000011</v>
      </c>
      <c r="M99" s="12">
        <v>230.5</v>
      </c>
      <c r="N99" s="12">
        <v>28.2</v>
      </c>
      <c r="O99" s="12">
        <v>505.65</v>
      </c>
      <c r="P99" s="12">
        <v>303.34999999999997</v>
      </c>
      <c r="Q99" s="12">
        <v>3.95</v>
      </c>
      <c r="R99" s="10"/>
      <c r="S99" s="10"/>
      <c r="T99" s="12">
        <f t="shared" si="3"/>
        <v>892.13631473024327</v>
      </c>
      <c r="U99" s="32">
        <v>5.2870983106043337</v>
      </c>
    </row>
    <row r="100" spans="2:21" x14ac:dyDescent="0.2">
      <c r="B100" s="109"/>
      <c r="C100" s="28" t="s">
        <v>132</v>
      </c>
      <c r="D100" s="18">
        <v>86</v>
      </c>
      <c r="E100" s="14">
        <v>230.5</v>
      </c>
      <c r="F100" s="12">
        <v>28.3</v>
      </c>
      <c r="G100" s="12">
        <v>505.65</v>
      </c>
      <c r="H100" s="12">
        <v>303.45</v>
      </c>
      <c r="I100" s="12">
        <v>0.21</v>
      </c>
      <c r="J100" s="36">
        <v>6</v>
      </c>
      <c r="K100" s="12">
        <f t="shared" si="2"/>
        <v>254.77199999999999</v>
      </c>
      <c r="M100" s="12">
        <v>230.5</v>
      </c>
      <c r="N100" s="12">
        <v>28.3</v>
      </c>
      <c r="O100" s="12">
        <v>505.65</v>
      </c>
      <c r="P100" s="12">
        <v>303.45</v>
      </c>
      <c r="Q100" s="12">
        <v>0.21</v>
      </c>
      <c r="R100" s="10"/>
      <c r="S100" s="10"/>
      <c r="T100" s="12">
        <f t="shared" si="3"/>
        <v>47.420720690830699</v>
      </c>
      <c r="U100" s="32">
        <v>5.288591280578844</v>
      </c>
    </row>
    <row r="101" spans="2:21" ht="16" thickBot="1" x14ac:dyDescent="0.25">
      <c r="B101" s="109"/>
      <c r="C101" s="28"/>
      <c r="D101" s="19">
        <v>87</v>
      </c>
      <c r="E101" s="14">
        <v>230.5</v>
      </c>
      <c r="F101" s="12">
        <v>28.3</v>
      </c>
      <c r="G101" s="12">
        <v>505.65</v>
      </c>
      <c r="H101" s="12">
        <v>303.45</v>
      </c>
      <c r="I101" s="12">
        <v>0.15</v>
      </c>
      <c r="J101" s="36">
        <v>6</v>
      </c>
      <c r="K101" s="12">
        <f t="shared" si="2"/>
        <v>181.97999999999996</v>
      </c>
      <c r="M101" s="12">
        <v>230.5</v>
      </c>
      <c r="N101" s="12">
        <v>28.3</v>
      </c>
      <c r="O101" s="12">
        <v>505.65</v>
      </c>
      <c r="P101" s="12">
        <v>303.45</v>
      </c>
      <c r="Q101" s="12">
        <v>0.15</v>
      </c>
      <c r="R101" s="10"/>
      <c r="S101" s="10"/>
      <c r="T101" s="12">
        <f t="shared" si="3"/>
        <v>33.871943350593355</v>
      </c>
      <c r="U101" s="32">
        <v>5.2885912805788449</v>
      </c>
    </row>
    <row r="102" spans="2:21" ht="16" thickBot="1" x14ac:dyDescent="0.25">
      <c r="B102" s="109"/>
      <c r="C102" s="28" t="s">
        <v>133</v>
      </c>
      <c r="D102" s="16">
        <v>88</v>
      </c>
      <c r="E102" s="14">
        <v>230.5</v>
      </c>
      <c r="F102" s="12">
        <v>27.9</v>
      </c>
      <c r="G102" s="12">
        <v>505.65</v>
      </c>
      <c r="H102" s="12">
        <v>303.04999999999995</v>
      </c>
      <c r="I102" s="12">
        <v>20.399999999999999</v>
      </c>
      <c r="J102" s="36">
        <v>6</v>
      </c>
      <c r="K102" s="12">
        <f t="shared" si="2"/>
        <v>24798.240000000002</v>
      </c>
      <c r="M102" s="12">
        <v>230.5</v>
      </c>
      <c r="N102" s="12">
        <v>27.9</v>
      </c>
      <c r="O102" s="12">
        <v>505.65</v>
      </c>
      <c r="P102" s="12">
        <v>303.04999999999995</v>
      </c>
      <c r="Q102" s="12">
        <v>20.399999999999999</v>
      </c>
      <c r="R102" s="11"/>
      <c r="S102" s="11"/>
      <c r="T102" s="12">
        <f t="shared" si="3"/>
        <v>4610.1970120468577</v>
      </c>
      <c r="U102" s="32">
        <v>5.2826221423945317</v>
      </c>
    </row>
    <row r="103" spans="2:21" x14ac:dyDescent="0.2">
      <c r="J103" s="7" t="s">
        <v>30</v>
      </c>
      <c r="K103" s="6">
        <f>SUM(K4:K102)</f>
        <v>75516.342680000002</v>
      </c>
      <c r="S103" t="s">
        <v>31</v>
      </c>
      <c r="T103" s="6">
        <f>SUM(T4:T102)</f>
        <v>12535.238616278733</v>
      </c>
    </row>
    <row r="104" spans="2:21" x14ac:dyDescent="0.2">
      <c r="J104" s="74" t="s">
        <v>57</v>
      </c>
      <c r="K104">
        <f>75516.34268-(SUM(K65:K75))</f>
        <v>74737.276760000008</v>
      </c>
      <c r="R104" s="121" t="s">
        <v>58</v>
      </c>
      <c r="S104" s="121"/>
      <c r="T104">
        <f>12535.2386162787-(SUM(T65:T75))</f>
        <v>12407.123416213821</v>
      </c>
    </row>
  </sheetData>
  <mergeCells count="18">
    <mergeCell ref="W13:X14"/>
    <mergeCell ref="Y13:Z14"/>
    <mergeCell ref="M2:U2"/>
    <mergeCell ref="R104:S104"/>
    <mergeCell ref="C2:C3"/>
    <mergeCell ref="D2:D3"/>
    <mergeCell ref="E2:K2"/>
    <mergeCell ref="W8:X9"/>
    <mergeCell ref="Y8:Z9"/>
    <mergeCell ref="Y20:Z21"/>
    <mergeCell ref="W20:X21"/>
    <mergeCell ref="W25:X26"/>
    <mergeCell ref="Y25:Z26"/>
    <mergeCell ref="B4:B22"/>
    <mergeCell ref="B23:B41"/>
    <mergeCell ref="B42:B64"/>
    <mergeCell ref="B65:B75"/>
    <mergeCell ref="B76:B102"/>
  </mergeCells>
  <pageMargins left="0.7" right="0.7" top="0.75" bottom="0.75" header="0.3" footer="0.3"/>
  <pageSetup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B68A7-7AF4-4ED6-89ED-4CB9F7F206A7}">
  <dimension ref="B1:AB118"/>
  <sheetViews>
    <sheetView topLeftCell="N1" workbookViewId="0">
      <selection activeCell="D106" sqref="D106"/>
    </sheetView>
  </sheetViews>
  <sheetFormatPr baseColWidth="10" defaultRowHeight="15" x14ac:dyDescent="0.2"/>
  <cols>
    <col min="3" max="3" width="11.5" style="7"/>
    <col min="5" max="5" width="14.6640625" customWidth="1"/>
    <col min="6" max="6" width="16.33203125" customWidth="1"/>
    <col min="7" max="8" width="15.5" customWidth="1"/>
    <col min="9" max="9" width="19" customWidth="1"/>
    <col min="10" max="10" width="16.33203125" customWidth="1"/>
    <col min="11" max="11" width="16.83203125" customWidth="1"/>
    <col min="13" max="13" width="15.5" bestFit="1" customWidth="1"/>
    <col min="14" max="14" width="16" customWidth="1"/>
    <col min="15" max="15" width="17.1640625" customWidth="1"/>
    <col min="16" max="16" width="14.5" customWidth="1"/>
    <col min="19" max="19" width="12.5" bestFit="1" customWidth="1"/>
  </cols>
  <sheetData>
    <row r="1" spans="2:26" ht="16" thickBot="1" x14ac:dyDescent="0.25"/>
    <row r="2" spans="2:26" ht="16" thickBot="1" x14ac:dyDescent="0.25">
      <c r="B2" s="10"/>
      <c r="C2" s="122" t="s">
        <v>0</v>
      </c>
      <c r="D2" s="123" t="s">
        <v>1</v>
      </c>
      <c r="E2" s="125" t="s">
        <v>2</v>
      </c>
      <c r="F2" s="126"/>
      <c r="G2" s="126"/>
      <c r="H2" s="126"/>
      <c r="I2" s="126"/>
      <c r="J2" s="126"/>
      <c r="K2" s="127"/>
      <c r="M2" s="118" t="s">
        <v>29</v>
      </c>
      <c r="N2" s="119"/>
      <c r="O2" s="119"/>
      <c r="P2" s="119"/>
      <c r="Q2" s="119"/>
      <c r="R2" s="119"/>
      <c r="S2" s="119"/>
      <c r="T2" s="119"/>
      <c r="U2" s="120"/>
    </row>
    <row r="3" spans="2:26" ht="49" thickBot="1" x14ac:dyDescent="0.25">
      <c r="B3" s="10"/>
      <c r="C3" s="122"/>
      <c r="D3" s="124"/>
      <c r="E3" s="21" t="s">
        <v>3</v>
      </c>
      <c r="F3" s="22" t="s">
        <v>4</v>
      </c>
      <c r="G3" s="22" t="s">
        <v>5</v>
      </c>
      <c r="H3" s="22" t="s">
        <v>6</v>
      </c>
      <c r="I3" s="22" t="s">
        <v>7</v>
      </c>
      <c r="J3" s="25" t="s">
        <v>17</v>
      </c>
      <c r="K3" s="23" t="s">
        <v>8</v>
      </c>
      <c r="M3" s="24" t="s">
        <v>3</v>
      </c>
      <c r="N3" s="24" t="s">
        <v>4</v>
      </c>
      <c r="O3" s="24" t="s">
        <v>5</v>
      </c>
      <c r="P3" s="23" t="s">
        <v>6</v>
      </c>
      <c r="Q3" s="23" t="s">
        <v>7</v>
      </c>
      <c r="R3" s="23" t="s">
        <v>21</v>
      </c>
      <c r="S3" s="23" t="s">
        <v>22</v>
      </c>
      <c r="T3" s="23" t="s">
        <v>23</v>
      </c>
      <c r="U3" s="31" t="s">
        <v>35</v>
      </c>
    </row>
    <row r="4" spans="2:26" ht="15" customHeight="1" x14ac:dyDescent="0.2">
      <c r="B4" s="135" t="s">
        <v>24</v>
      </c>
      <c r="C4" s="28" t="s">
        <v>134</v>
      </c>
      <c r="D4" s="18">
        <v>1</v>
      </c>
      <c r="E4" s="3">
        <v>71.8</v>
      </c>
      <c r="F4" s="1">
        <v>20</v>
      </c>
      <c r="G4" s="1">
        <v>346.95</v>
      </c>
      <c r="H4" s="1">
        <v>295.14999999999998</v>
      </c>
      <c r="I4" s="1">
        <v>0.04</v>
      </c>
      <c r="J4" s="36">
        <v>6</v>
      </c>
      <c r="K4" s="1">
        <f>J4*I4*(G4-H4)</f>
        <v>12.432000000000002</v>
      </c>
      <c r="L4" s="7"/>
      <c r="M4" s="1">
        <f>E4</f>
        <v>71.8</v>
      </c>
      <c r="N4" s="1">
        <f>F4</f>
        <v>20</v>
      </c>
      <c r="O4" s="1">
        <f>M4+273.15</f>
        <v>344.95</v>
      </c>
      <c r="P4" s="1">
        <f>N4+273.15</f>
        <v>293.14999999999998</v>
      </c>
      <c r="Q4" s="1">
        <f>I4</f>
        <v>0.04</v>
      </c>
      <c r="R4" s="66">
        <v>7.0000000000000007E-2</v>
      </c>
      <c r="S4" s="66">
        <v>5.6699999999999998E-8</v>
      </c>
      <c r="T4" s="1">
        <f>$R$4*$S$4*I4*((G4^4)-(H4^4))</f>
        <v>1.0956356074445555</v>
      </c>
      <c r="U4" s="32">
        <v>2.5758063604738934</v>
      </c>
    </row>
    <row r="5" spans="2:26" x14ac:dyDescent="0.2">
      <c r="B5" s="136"/>
      <c r="C5" s="28"/>
      <c r="D5" s="18">
        <v>2</v>
      </c>
      <c r="E5" s="3">
        <v>92.7</v>
      </c>
      <c r="F5" s="1">
        <v>20</v>
      </c>
      <c r="G5" s="1">
        <v>367.84999999999997</v>
      </c>
      <c r="H5" s="1">
        <v>295.14999999999998</v>
      </c>
      <c r="I5" s="1">
        <v>7.1999999999999995E-2</v>
      </c>
      <c r="J5" s="36">
        <v>6</v>
      </c>
      <c r="K5" s="1">
        <f t="shared" ref="K5:K68" si="0">J5*I5*(G5-H5)</f>
        <v>31.406399999999991</v>
      </c>
      <c r="L5" s="7"/>
      <c r="M5" s="1">
        <f t="shared" ref="M5:M68" si="1">E5</f>
        <v>92.7</v>
      </c>
      <c r="N5" s="1">
        <f t="shared" ref="N5:N68" si="2">F5</f>
        <v>20</v>
      </c>
      <c r="O5" s="1">
        <f t="shared" ref="O5:O68" si="3">M5+273.15</f>
        <v>365.84999999999997</v>
      </c>
      <c r="P5" s="1">
        <f t="shared" ref="P5:P68" si="4">N5+273.15</f>
        <v>293.14999999999998</v>
      </c>
      <c r="Q5" s="67">
        <f t="shared" ref="Q5:Q68" si="5">I5</f>
        <v>7.1999999999999995E-2</v>
      </c>
      <c r="R5" s="54"/>
      <c r="S5" s="55"/>
      <c r="T5" s="3">
        <f t="shared" ref="T5:T68" si="6">$R$4*$S$4*I5*((G5^4)-(H5^4))</f>
        <v>3.0637217662037868</v>
      </c>
      <c r="U5" s="32">
        <v>2.8433158338308067</v>
      </c>
    </row>
    <row r="6" spans="2:26" x14ac:dyDescent="0.2">
      <c r="B6" s="136"/>
      <c r="C6" s="28"/>
      <c r="D6" s="18">
        <v>3</v>
      </c>
      <c r="E6" s="3">
        <v>90.6</v>
      </c>
      <c r="F6" s="1">
        <v>20</v>
      </c>
      <c r="G6" s="1">
        <v>365.75</v>
      </c>
      <c r="H6" s="1">
        <v>295.14999999999998</v>
      </c>
      <c r="I6" s="1">
        <v>0.28899999999999998</v>
      </c>
      <c r="J6" s="36">
        <v>6</v>
      </c>
      <c r="K6" s="1">
        <f t="shared" si="0"/>
        <v>122.42040000000004</v>
      </c>
      <c r="L6" s="7"/>
      <c r="M6" s="1">
        <f t="shared" si="1"/>
        <v>90.6</v>
      </c>
      <c r="N6" s="1">
        <f t="shared" si="2"/>
        <v>20</v>
      </c>
      <c r="O6" s="1">
        <f t="shared" si="3"/>
        <v>363.75</v>
      </c>
      <c r="P6" s="1">
        <f t="shared" si="4"/>
        <v>293.14999999999998</v>
      </c>
      <c r="Q6" s="67">
        <f t="shared" si="5"/>
        <v>0.28899999999999998</v>
      </c>
      <c r="R6" s="68"/>
      <c r="S6" s="69"/>
      <c r="T6" s="3">
        <f t="shared" si="6"/>
        <v>11.821939581291101</v>
      </c>
      <c r="U6" s="32">
        <v>2.81548531338469</v>
      </c>
    </row>
    <row r="7" spans="2:26" ht="16" thickBot="1" x14ac:dyDescent="0.25">
      <c r="B7" s="136"/>
      <c r="C7" s="28"/>
      <c r="D7" s="18">
        <v>4</v>
      </c>
      <c r="E7" s="3">
        <v>83.3</v>
      </c>
      <c r="F7" s="1">
        <v>20</v>
      </c>
      <c r="G7" s="1">
        <v>358.45</v>
      </c>
      <c r="H7" s="1">
        <v>295.14999999999998</v>
      </c>
      <c r="I7" s="1">
        <v>0.14399999999999999</v>
      </c>
      <c r="J7" s="36">
        <v>6</v>
      </c>
      <c r="K7" s="1">
        <f t="shared" si="0"/>
        <v>54.691200000000002</v>
      </c>
      <c r="L7" s="7"/>
      <c r="M7" s="1">
        <f t="shared" si="1"/>
        <v>83.3</v>
      </c>
      <c r="N7" s="1">
        <f t="shared" si="2"/>
        <v>20</v>
      </c>
      <c r="O7" s="1">
        <f t="shared" si="3"/>
        <v>356.45</v>
      </c>
      <c r="P7" s="1">
        <f t="shared" si="4"/>
        <v>293.14999999999998</v>
      </c>
      <c r="Q7" s="67">
        <f t="shared" si="5"/>
        <v>0.14399999999999999</v>
      </c>
      <c r="R7" s="68"/>
      <c r="S7" s="69"/>
      <c r="T7" s="3">
        <f t="shared" si="6"/>
        <v>5.0980953046406317</v>
      </c>
      <c r="U7" s="32">
        <v>2.7204046445442209</v>
      </c>
    </row>
    <row r="8" spans="2:26" x14ac:dyDescent="0.2">
      <c r="B8" s="136"/>
      <c r="C8" s="28"/>
      <c r="D8" s="18">
        <v>5</v>
      </c>
      <c r="E8" s="3">
        <v>90.3</v>
      </c>
      <c r="F8" s="1">
        <v>20</v>
      </c>
      <c r="G8" s="1">
        <v>365.45</v>
      </c>
      <c r="H8" s="1">
        <v>295.14999999999998</v>
      </c>
      <c r="I8" s="1">
        <v>0.125</v>
      </c>
      <c r="J8" s="36">
        <v>6</v>
      </c>
      <c r="K8" s="1">
        <f t="shared" si="0"/>
        <v>52.725000000000009</v>
      </c>
      <c r="L8" s="7"/>
      <c r="M8" s="1">
        <f t="shared" si="1"/>
        <v>90.3</v>
      </c>
      <c r="N8" s="1">
        <f t="shared" si="2"/>
        <v>20</v>
      </c>
      <c r="O8" s="1">
        <f t="shared" si="3"/>
        <v>363.45</v>
      </c>
      <c r="P8" s="1">
        <f t="shared" si="4"/>
        <v>293.14999999999998</v>
      </c>
      <c r="Q8" s="67">
        <f t="shared" si="5"/>
        <v>0.125</v>
      </c>
      <c r="R8" s="68"/>
      <c r="S8" s="69"/>
      <c r="T8" s="3">
        <f t="shared" si="6"/>
        <v>5.0842025001599849</v>
      </c>
      <c r="U8" s="32">
        <v>2.8115270396127006</v>
      </c>
      <c r="W8" s="128" t="s">
        <v>32</v>
      </c>
      <c r="X8" s="129"/>
      <c r="Y8" s="114">
        <f>T117+K117</f>
        <v>84221.32784756762</v>
      </c>
      <c r="Z8" s="115"/>
    </row>
    <row r="9" spans="2:26" ht="16" thickBot="1" x14ac:dyDescent="0.25">
      <c r="B9" s="136"/>
      <c r="C9" s="28"/>
      <c r="D9" s="18">
        <v>6</v>
      </c>
      <c r="E9" s="3">
        <v>73</v>
      </c>
      <c r="F9" s="1">
        <v>20</v>
      </c>
      <c r="G9" s="1">
        <v>348.15</v>
      </c>
      <c r="H9" s="1">
        <v>295.14999999999998</v>
      </c>
      <c r="I9" s="1">
        <v>0.125</v>
      </c>
      <c r="J9" s="36">
        <v>6</v>
      </c>
      <c r="K9" s="1">
        <f t="shared" si="0"/>
        <v>39.75</v>
      </c>
      <c r="L9" s="7"/>
      <c r="M9" s="1">
        <f t="shared" si="1"/>
        <v>73</v>
      </c>
      <c r="N9" s="1">
        <f t="shared" si="2"/>
        <v>20</v>
      </c>
      <c r="O9" s="1">
        <f t="shared" si="3"/>
        <v>346.15</v>
      </c>
      <c r="P9" s="1">
        <f t="shared" si="4"/>
        <v>293.14999999999998</v>
      </c>
      <c r="Q9" s="67">
        <f t="shared" si="5"/>
        <v>0.125</v>
      </c>
      <c r="R9" s="68"/>
      <c r="S9" s="69"/>
      <c r="T9" s="3">
        <f t="shared" si="6"/>
        <v>3.5238349172452499</v>
      </c>
      <c r="U9" s="32">
        <v>2.5906010659007634</v>
      </c>
      <c r="W9" s="130"/>
      <c r="X9" s="131"/>
      <c r="Y9" s="116"/>
      <c r="Z9" s="117"/>
    </row>
    <row r="10" spans="2:26" x14ac:dyDescent="0.2">
      <c r="B10" s="136"/>
      <c r="C10" s="28" t="s">
        <v>135</v>
      </c>
      <c r="D10" s="18">
        <v>7</v>
      </c>
      <c r="E10" s="3">
        <v>88</v>
      </c>
      <c r="F10" s="1">
        <v>22.6</v>
      </c>
      <c r="G10" s="1">
        <v>363.15</v>
      </c>
      <c r="H10" s="1">
        <v>297.75</v>
      </c>
      <c r="I10" s="1">
        <v>0.19700000000000001</v>
      </c>
      <c r="J10" s="36">
        <v>6</v>
      </c>
      <c r="K10" s="1">
        <f>J10*I10*(G10-H10)</f>
        <v>77.302799999999962</v>
      </c>
      <c r="L10" s="7"/>
      <c r="M10" s="1">
        <f t="shared" si="1"/>
        <v>88</v>
      </c>
      <c r="N10" s="1">
        <f t="shared" si="2"/>
        <v>22.6</v>
      </c>
      <c r="O10" s="1">
        <f t="shared" si="3"/>
        <v>361.15</v>
      </c>
      <c r="P10" s="1">
        <f t="shared" si="4"/>
        <v>295.75</v>
      </c>
      <c r="Q10" s="67">
        <f t="shared" si="5"/>
        <v>0.19700000000000001</v>
      </c>
      <c r="R10" s="68"/>
      <c r="S10" s="69"/>
      <c r="T10" s="3">
        <f t="shared" si="6"/>
        <v>7.4530559436830544</v>
      </c>
      <c r="U10" s="32">
        <v>2.8111049229044833</v>
      </c>
    </row>
    <row r="11" spans="2:26" x14ac:dyDescent="0.2">
      <c r="B11" s="136"/>
      <c r="C11" s="28"/>
      <c r="D11" s="18">
        <v>8</v>
      </c>
      <c r="E11" s="3">
        <v>92.4</v>
      </c>
      <c r="F11" s="1">
        <v>22.6</v>
      </c>
      <c r="G11" s="1">
        <v>367.54999999999995</v>
      </c>
      <c r="H11" s="1">
        <v>297.75</v>
      </c>
      <c r="I11" s="1">
        <v>0.01</v>
      </c>
      <c r="J11" s="36">
        <v>6</v>
      </c>
      <c r="K11" s="1">
        <f t="shared" si="0"/>
        <v>4.1879999999999971</v>
      </c>
      <c r="L11" s="7"/>
      <c r="M11" s="1">
        <f t="shared" si="1"/>
        <v>92.4</v>
      </c>
      <c r="N11" s="1">
        <f t="shared" si="2"/>
        <v>22.6</v>
      </c>
      <c r="O11" s="1">
        <f t="shared" si="3"/>
        <v>365.54999999999995</v>
      </c>
      <c r="P11" s="1">
        <f t="shared" si="4"/>
        <v>295.75</v>
      </c>
      <c r="Q11" s="67">
        <f t="shared" si="5"/>
        <v>0.01</v>
      </c>
      <c r="R11" s="68"/>
      <c r="S11" s="69"/>
      <c r="T11" s="3">
        <f t="shared" si="6"/>
        <v>0.41239494494599205</v>
      </c>
      <c r="U11" s="32">
        <v>2.86935438753031</v>
      </c>
    </row>
    <row r="12" spans="2:26" ht="16" thickBot="1" x14ac:dyDescent="0.25">
      <c r="B12" s="136"/>
      <c r="C12" s="28"/>
      <c r="D12" s="18">
        <v>9</v>
      </c>
      <c r="E12" s="3">
        <v>79.900000000000006</v>
      </c>
      <c r="F12" s="1">
        <v>22.6</v>
      </c>
      <c r="G12" s="1">
        <v>355.04999999999995</v>
      </c>
      <c r="H12" s="1">
        <v>297.75</v>
      </c>
      <c r="I12" s="1">
        <v>0.09</v>
      </c>
      <c r="J12" s="36">
        <v>6</v>
      </c>
      <c r="K12" s="1">
        <f t="shared" si="0"/>
        <v>30.941999999999979</v>
      </c>
      <c r="L12" s="7"/>
      <c r="M12" s="1">
        <f t="shared" si="1"/>
        <v>79.900000000000006</v>
      </c>
      <c r="N12" s="1">
        <f t="shared" si="2"/>
        <v>22.6</v>
      </c>
      <c r="O12" s="1">
        <f t="shared" si="3"/>
        <v>353.04999999999995</v>
      </c>
      <c r="P12" s="1">
        <f t="shared" si="4"/>
        <v>295.75</v>
      </c>
      <c r="Q12" s="67">
        <f t="shared" si="5"/>
        <v>0.09</v>
      </c>
      <c r="R12" s="68"/>
      <c r="S12" s="69"/>
      <c r="T12" s="3">
        <f t="shared" si="6"/>
        <v>2.8689428969100441</v>
      </c>
      <c r="U12" s="32">
        <v>2.7063215786426551</v>
      </c>
    </row>
    <row r="13" spans="2:26" ht="15" customHeight="1" x14ac:dyDescent="0.2">
      <c r="B13" s="136"/>
      <c r="C13" s="28"/>
      <c r="D13" s="18">
        <v>10</v>
      </c>
      <c r="E13" s="3">
        <v>73.099999999999994</v>
      </c>
      <c r="F13" s="1">
        <v>22.6</v>
      </c>
      <c r="G13" s="1">
        <v>348.25</v>
      </c>
      <c r="H13" s="1">
        <v>297.75</v>
      </c>
      <c r="I13" s="1">
        <v>0.1</v>
      </c>
      <c r="J13" s="36">
        <v>6</v>
      </c>
      <c r="K13" s="1">
        <f t="shared" si="0"/>
        <v>30.300000000000004</v>
      </c>
      <c r="L13" s="7"/>
      <c r="M13" s="1">
        <f t="shared" si="1"/>
        <v>73.099999999999994</v>
      </c>
      <c r="N13" s="1">
        <f t="shared" si="2"/>
        <v>22.6</v>
      </c>
      <c r="O13" s="1">
        <f t="shared" si="3"/>
        <v>346.25</v>
      </c>
      <c r="P13" s="1">
        <f t="shared" si="4"/>
        <v>295.75</v>
      </c>
      <c r="Q13" s="67">
        <f t="shared" si="5"/>
        <v>0.1</v>
      </c>
      <c r="R13" s="68"/>
      <c r="S13" s="69"/>
      <c r="T13" s="3">
        <f t="shared" si="6"/>
        <v>2.7182285249056877</v>
      </c>
      <c r="U13" s="32">
        <v>2.6207818659889317</v>
      </c>
      <c r="W13" s="110" t="s">
        <v>33</v>
      </c>
      <c r="X13" s="111"/>
      <c r="Y13" s="114">
        <f>0.000002891016576*Y8</f>
        <v>0.24348525486004838</v>
      </c>
      <c r="Z13" s="115"/>
    </row>
    <row r="14" spans="2:26" ht="16" thickBot="1" x14ac:dyDescent="0.25">
      <c r="B14" s="136"/>
      <c r="C14" s="28"/>
      <c r="D14" s="18">
        <v>11</v>
      </c>
      <c r="E14" s="3">
        <v>88</v>
      </c>
      <c r="F14" s="1">
        <v>22.6</v>
      </c>
      <c r="G14" s="1">
        <v>363.15</v>
      </c>
      <c r="H14" s="1">
        <v>297.75</v>
      </c>
      <c r="I14" s="1">
        <v>3.7999999999999999E-2</v>
      </c>
      <c r="J14" s="36">
        <v>6</v>
      </c>
      <c r="K14" s="1">
        <f t="shared" si="0"/>
        <v>14.911199999999994</v>
      </c>
      <c r="L14" s="7"/>
      <c r="M14" s="1">
        <f t="shared" si="1"/>
        <v>88</v>
      </c>
      <c r="N14" s="1">
        <f t="shared" si="2"/>
        <v>22.6</v>
      </c>
      <c r="O14" s="1">
        <f t="shared" si="3"/>
        <v>361.15</v>
      </c>
      <c r="P14" s="1">
        <f t="shared" si="4"/>
        <v>295.75</v>
      </c>
      <c r="Q14" s="67">
        <f t="shared" si="5"/>
        <v>3.7999999999999999E-2</v>
      </c>
      <c r="R14" s="68"/>
      <c r="S14" s="69"/>
      <c r="T14" s="3">
        <f t="shared" si="6"/>
        <v>1.4376453089337871</v>
      </c>
      <c r="U14" s="32">
        <v>2.8111049229044833</v>
      </c>
      <c r="W14" s="112"/>
      <c r="X14" s="113"/>
      <c r="Y14" s="116"/>
      <c r="Z14" s="117"/>
    </row>
    <row r="15" spans="2:26" x14ac:dyDescent="0.2">
      <c r="B15" s="136"/>
      <c r="C15" s="28"/>
      <c r="D15" s="18">
        <v>12</v>
      </c>
      <c r="E15" s="3">
        <v>92.4</v>
      </c>
      <c r="F15" s="1">
        <v>22.6</v>
      </c>
      <c r="G15" s="1">
        <v>367.54999999999995</v>
      </c>
      <c r="H15" s="1">
        <v>297.75</v>
      </c>
      <c r="I15" s="1">
        <v>3.7999999999999999E-2</v>
      </c>
      <c r="J15" s="36">
        <v>6</v>
      </c>
      <c r="K15" s="1">
        <f t="shared" si="0"/>
        <v>15.914399999999988</v>
      </c>
      <c r="L15" s="7"/>
      <c r="M15" s="1">
        <f t="shared" si="1"/>
        <v>92.4</v>
      </c>
      <c r="N15" s="1">
        <f t="shared" si="2"/>
        <v>22.6</v>
      </c>
      <c r="O15" s="1">
        <f t="shared" si="3"/>
        <v>365.54999999999995</v>
      </c>
      <c r="P15" s="1">
        <f t="shared" si="4"/>
        <v>295.75</v>
      </c>
      <c r="Q15" s="67">
        <f t="shared" si="5"/>
        <v>3.7999999999999999E-2</v>
      </c>
      <c r="R15" s="68"/>
      <c r="S15" s="69"/>
      <c r="T15" s="3">
        <f t="shared" si="6"/>
        <v>1.5671007907947698</v>
      </c>
      <c r="U15" s="32">
        <v>2.86935438753031</v>
      </c>
    </row>
    <row r="16" spans="2:26" x14ac:dyDescent="0.2">
      <c r="B16" s="136"/>
      <c r="C16" s="28" t="s">
        <v>136</v>
      </c>
      <c r="D16" s="18">
        <v>13</v>
      </c>
      <c r="E16" s="3">
        <v>130.5</v>
      </c>
      <c r="F16" s="1">
        <v>20.399999999999999</v>
      </c>
      <c r="G16" s="1">
        <v>405.65</v>
      </c>
      <c r="H16" s="1">
        <v>295.54999999999995</v>
      </c>
      <c r="I16" s="1">
        <v>0.17199999999999999</v>
      </c>
      <c r="J16" s="36">
        <v>6</v>
      </c>
      <c r="K16" s="1">
        <f t="shared" si="0"/>
        <v>113.62320000000003</v>
      </c>
      <c r="L16" s="7"/>
      <c r="M16" s="1">
        <f t="shared" si="1"/>
        <v>130.5</v>
      </c>
      <c r="N16" s="1">
        <f t="shared" si="2"/>
        <v>20.399999999999999</v>
      </c>
      <c r="O16" s="1">
        <f t="shared" si="3"/>
        <v>403.65</v>
      </c>
      <c r="P16" s="1">
        <f t="shared" si="4"/>
        <v>293.54999999999995</v>
      </c>
      <c r="Q16" s="67">
        <f t="shared" si="5"/>
        <v>0.17199999999999999</v>
      </c>
      <c r="R16" s="68"/>
      <c r="S16" s="69"/>
      <c r="T16" s="3">
        <f t="shared" si="6"/>
        <v>13.276081619460781</v>
      </c>
      <c r="U16" s="32">
        <v>3.3865820252412608</v>
      </c>
    </row>
    <row r="17" spans="2:28" x14ac:dyDescent="0.2">
      <c r="B17" s="136"/>
      <c r="C17" s="28"/>
      <c r="D17" s="18">
        <v>14</v>
      </c>
      <c r="E17" s="3">
        <v>87.1</v>
      </c>
      <c r="F17" s="1">
        <v>20.399999999999999</v>
      </c>
      <c r="G17" s="1">
        <v>362.25</v>
      </c>
      <c r="H17" s="1">
        <v>295.54999999999995</v>
      </c>
      <c r="I17" s="1">
        <v>0.155</v>
      </c>
      <c r="J17" s="36">
        <v>6</v>
      </c>
      <c r="K17" s="1">
        <f t="shared" si="0"/>
        <v>62.031000000000041</v>
      </c>
      <c r="L17" s="7"/>
      <c r="M17" s="1">
        <f t="shared" si="1"/>
        <v>87.1</v>
      </c>
      <c r="N17" s="1">
        <f t="shared" si="2"/>
        <v>20.399999999999999</v>
      </c>
      <c r="O17" s="1">
        <f t="shared" si="3"/>
        <v>360.25</v>
      </c>
      <c r="P17" s="1">
        <f t="shared" si="4"/>
        <v>293.54999999999995</v>
      </c>
      <c r="Q17" s="67">
        <f t="shared" si="5"/>
        <v>0.155</v>
      </c>
      <c r="R17" s="68"/>
      <c r="S17" s="69"/>
      <c r="T17" s="3">
        <f t="shared" si="6"/>
        <v>5.8997379099351521</v>
      </c>
      <c r="U17" s="32">
        <v>2.7741313681562279</v>
      </c>
    </row>
    <row r="18" spans="2:28" x14ac:dyDescent="0.2">
      <c r="B18" s="136"/>
      <c r="C18" s="28"/>
      <c r="D18" s="18">
        <v>15</v>
      </c>
      <c r="E18" s="3">
        <v>150.1</v>
      </c>
      <c r="F18" s="1">
        <v>20.399999999999999</v>
      </c>
      <c r="G18" s="1">
        <v>425.25</v>
      </c>
      <c r="H18" s="1">
        <v>295.54999999999995</v>
      </c>
      <c r="I18" s="1">
        <v>0.17760000000000001</v>
      </c>
      <c r="J18" s="36">
        <v>6</v>
      </c>
      <c r="K18" s="1">
        <f t="shared" si="0"/>
        <v>138.20832000000007</v>
      </c>
      <c r="L18" s="7"/>
      <c r="M18" s="1">
        <f t="shared" si="1"/>
        <v>150.1</v>
      </c>
      <c r="N18" s="1">
        <f t="shared" si="2"/>
        <v>20.399999999999999</v>
      </c>
      <c r="O18" s="1">
        <f t="shared" si="3"/>
        <v>423.25</v>
      </c>
      <c r="P18" s="1">
        <f t="shared" si="4"/>
        <v>293.54999999999995</v>
      </c>
      <c r="Q18" s="67">
        <f t="shared" si="5"/>
        <v>0.17760000000000001</v>
      </c>
      <c r="R18" s="68"/>
      <c r="S18" s="69"/>
      <c r="T18" s="3">
        <f t="shared" si="6"/>
        <v>17.673278761854352</v>
      </c>
      <c r="U18" s="32">
        <v>3.6944968371604028</v>
      </c>
      <c r="W18" s="75"/>
      <c r="X18" s="75"/>
      <c r="Y18" s="75"/>
      <c r="Z18" s="75"/>
      <c r="AA18" s="75"/>
      <c r="AB18" s="75"/>
    </row>
    <row r="19" spans="2:28" x14ac:dyDescent="0.2">
      <c r="B19" s="136"/>
      <c r="C19" s="28"/>
      <c r="D19" s="18">
        <v>16</v>
      </c>
      <c r="E19" s="3">
        <v>150.1</v>
      </c>
      <c r="F19" s="1">
        <v>20.399999999999999</v>
      </c>
      <c r="G19" s="1">
        <v>425.25</v>
      </c>
      <c r="H19" s="1">
        <v>295.54999999999995</v>
      </c>
      <c r="I19" s="1">
        <v>0.17760000000000001</v>
      </c>
      <c r="J19" s="36">
        <v>6</v>
      </c>
      <c r="K19" s="1">
        <f t="shared" si="0"/>
        <v>138.20832000000007</v>
      </c>
      <c r="L19" s="7"/>
      <c r="M19" s="1">
        <f t="shared" si="1"/>
        <v>150.1</v>
      </c>
      <c r="N19" s="1">
        <f t="shared" si="2"/>
        <v>20.399999999999999</v>
      </c>
      <c r="O19" s="1">
        <f t="shared" si="3"/>
        <v>423.25</v>
      </c>
      <c r="P19" s="1">
        <f t="shared" si="4"/>
        <v>293.54999999999995</v>
      </c>
      <c r="Q19" s="67">
        <f t="shared" si="5"/>
        <v>0.17760000000000001</v>
      </c>
      <c r="R19" s="68"/>
      <c r="S19" s="69"/>
      <c r="T19" s="3">
        <f t="shared" si="6"/>
        <v>17.673278761854352</v>
      </c>
      <c r="U19" s="32">
        <v>3.6944968371604028</v>
      </c>
    </row>
    <row r="20" spans="2:28" x14ac:dyDescent="0.2">
      <c r="B20" s="136"/>
      <c r="C20" s="28"/>
      <c r="D20" s="18">
        <v>17</v>
      </c>
      <c r="E20" s="3">
        <v>76.400000000000006</v>
      </c>
      <c r="F20" s="1">
        <v>20.399999999999999</v>
      </c>
      <c r="G20" s="1">
        <v>351.54999999999995</v>
      </c>
      <c r="H20" s="1">
        <v>295.54999999999995</v>
      </c>
      <c r="I20" s="1">
        <v>0.04</v>
      </c>
      <c r="J20" s="36">
        <v>6</v>
      </c>
      <c r="K20" s="1">
        <f t="shared" si="0"/>
        <v>13.44</v>
      </c>
      <c r="L20" s="7"/>
      <c r="M20" s="1">
        <f t="shared" si="1"/>
        <v>76.400000000000006</v>
      </c>
      <c r="N20" s="1">
        <f t="shared" si="2"/>
        <v>20.399999999999999</v>
      </c>
      <c r="O20" s="1">
        <f t="shared" si="3"/>
        <v>349.54999999999995</v>
      </c>
      <c r="P20" s="1">
        <f t="shared" si="4"/>
        <v>293.54999999999995</v>
      </c>
      <c r="Q20" s="67">
        <f t="shared" si="5"/>
        <v>0.04</v>
      </c>
      <c r="R20" s="68"/>
      <c r="S20" s="69"/>
      <c r="T20" s="3">
        <f t="shared" si="6"/>
        <v>1.2135389055909935</v>
      </c>
      <c r="U20" s="32">
        <v>2.6373518196044237</v>
      </c>
    </row>
    <row r="21" spans="2:28" x14ac:dyDescent="0.2">
      <c r="B21" s="136"/>
      <c r="C21" s="28"/>
      <c r="D21" s="18">
        <v>18</v>
      </c>
      <c r="E21" s="3">
        <v>150.1</v>
      </c>
      <c r="F21" s="1">
        <v>20.399999999999999</v>
      </c>
      <c r="G21" s="1">
        <v>425.25</v>
      </c>
      <c r="H21" s="1">
        <v>295.54999999999995</v>
      </c>
      <c r="I21" s="1">
        <v>3.7499999999999999E-2</v>
      </c>
      <c r="J21" s="36">
        <v>6</v>
      </c>
      <c r="K21" s="1">
        <f t="shared" si="0"/>
        <v>29.182500000000008</v>
      </c>
      <c r="L21" s="7"/>
      <c r="M21" s="1">
        <f t="shared" si="1"/>
        <v>150.1</v>
      </c>
      <c r="N21" s="1">
        <f t="shared" si="2"/>
        <v>20.399999999999999</v>
      </c>
      <c r="O21" s="1">
        <f t="shared" si="3"/>
        <v>423.25</v>
      </c>
      <c r="P21" s="1">
        <f t="shared" si="4"/>
        <v>293.54999999999995</v>
      </c>
      <c r="Q21" s="67">
        <f t="shared" si="5"/>
        <v>3.7499999999999999E-2</v>
      </c>
      <c r="R21" s="68"/>
      <c r="S21" s="69"/>
      <c r="T21" s="3">
        <f t="shared" si="6"/>
        <v>3.7316889277564078</v>
      </c>
      <c r="U21" s="32">
        <v>3.6944968371604019</v>
      </c>
      <c r="W21" s="133"/>
      <c r="X21" s="133"/>
      <c r="Y21" s="132"/>
      <c r="Z21" s="132"/>
    </row>
    <row r="22" spans="2:28" x14ac:dyDescent="0.2">
      <c r="B22" s="136"/>
      <c r="C22" s="28" t="s">
        <v>137</v>
      </c>
      <c r="D22" s="18">
        <v>19</v>
      </c>
      <c r="E22" s="3">
        <v>150.1</v>
      </c>
      <c r="F22" s="1">
        <v>17.3</v>
      </c>
      <c r="G22" s="1">
        <v>425.25</v>
      </c>
      <c r="H22" s="1">
        <v>292.45</v>
      </c>
      <c r="I22" s="1">
        <v>0.29399999999999998</v>
      </c>
      <c r="J22" s="36">
        <v>6</v>
      </c>
      <c r="K22" s="1">
        <f t="shared" si="0"/>
        <v>234.25919999999999</v>
      </c>
      <c r="L22" s="7"/>
      <c r="M22" s="1">
        <f t="shared" si="1"/>
        <v>150.1</v>
      </c>
      <c r="N22" s="1">
        <f t="shared" si="2"/>
        <v>17.3</v>
      </c>
      <c r="O22" s="1">
        <f t="shared" si="3"/>
        <v>423.25</v>
      </c>
      <c r="P22" s="1">
        <f t="shared" si="4"/>
        <v>290.45</v>
      </c>
      <c r="Q22" s="67">
        <f t="shared" si="5"/>
        <v>0.29399999999999998</v>
      </c>
      <c r="R22" s="68"/>
      <c r="S22" s="69"/>
      <c r="T22" s="3">
        <f>$R$4*$S$4*I22*((G22^4)-(H22^4))</f>
        <v>29.624150123408178</v>
      </c>
      <c r="U22" s="32">
        <v>3.6550997221732957</v>
      </c>
      <c r="W22" s="133"/>
      <c r="X22" s="133"/>
      <c r="Y22" s="132"/>
      <c r="Z22" s="132"/>
    </row>
    <row r="23" spans="2:28" ht="15" customHeight="1" x14ac:dyDescent="0.2">
      <c r="B23" s="136"/>
      <c r="C23" s="28"/>
      <c r="D23" s="18">
        <v>9</v>
      </c>
      <c r="E23" s="3">
        <v>134.30000000000001</v>
      </c>
      <c r="F23" s="1">
        <v>17.3</v>
      </c>
      <c r="G23" s="1">
        <v>409.45</v>
      </c>
      <c r="H23" s="1">
        <v>292.45</v>
      </c>
      <c r="I23" s="1">
        <v>0.1694</v>
      </c>
      <c r="J23" s="36">
        <v>6</v>
      </c>
      <c r="K23" s="1">
        <f t="shared" si="0"/>
        <v>118.91879999999999</v>
      </c>
      <c r="L23" s="7"/>
      <c r="M23" s="1">
        <f t="shared" si="1"/>
        <v>134.30000000000001</v>
      </c>
      <c r="N23" s="1">
        <f t="shared" si="2"/>
        <v>17.3</v>
      </c>
      <c r="O23" s="1">
        <f t="shared" si="3"/>
        <v>407.45</v>
      </c>
      <c r="P23" s="1">
        <f t="shared" si="4"/>
        <v>290.45</v>
      </c>
      <c r="Q23" s="67">
        <f t="shared" si="5"/>
        <v>0.1694</v>
      </c>
      <c r="R23" s="68"/>
      <c r="S23" s="69"/>
      <c r="T23" s="3">
        <f>$R$4*$S$4*I23*((G23^4)-(H23^4))</f>
        <v>13.979082446428782</v>
      </c>
      <c r="U23" s="32">
        <v>3.4064159946294108</v>
      </c>
    </row>
    <row r="24" spans="2:28" x14ac:dyDescent="0.2">
      <c r="B24" s="136"/>
      <c r="C24" s="28"/>
      <c r="D24" s="18">
        <v>10</v>
      </c>
      <c r="E24" s="3">
        <v>140.1</v>
      </c>
      <c r="F24" s="1">
        <v>17.3</v>
      </c>
      <c r="G24" s="1">
        <v>415.25</v>
      </c>
      <c r="H24" s="1">
        <v>292.45</v>
      </c>
      <c r="I24" s="1">
        <v>0.45900000000000002</v>
      </c>
      <c r="J24" s="36">
        <v>6</v>
      </c>
      <c r="K24" s="1">
        <f t="shared" si="0"/>
        <v>338.19120000000004</v>
      </c>
      <c r="L24" s="7"/>
      <c r="M24" s="1">
        <f t="shared" si="1"/>
        <v>140.1</v>
      </c>
      <c r="N24" s="1">
        <f t="shared" si="2"/>
        <v>17.3</v>
      </c>
      <c r="O24" s="1">
        <f t="shared" si="3"/>
        <v>413.25</v>
      </c>
      <c r="P24" s="1">
        <f t="shared" si="4"/>
        <v>290.45</v>
      </c>
      <c r="Q24" s="67">
        <f t="shared" si="5"/>
        <v>0.45900000000000002</v>
      </c>
      <c r="R24" s="68"/>
      <c r="S24" s="69"/>
      <c r="T24" s="3">
        <f t="shared" si="6"/>
        <v>40.840681717023621</v>
      </c>
      <c r="U24" s="32">
        <v>3.4962006296166179</v>
      </c>
    </row>
    <row r="25" spans="2:28" ht="16" thickBot="1" x14ac:dyDescent="0.25">
      <c r="B25" s="137"/>
      <c r="C25" s="28"/>
      <c r="D25" s="18">
        <v>11</v>
      </c>
      <c r="E25" s="3">
        <v>115.3</v>
      </c>
      <c r="F25" s="1">
        <v>17.3</v>
      </c>
      <c r="G25" s="1">
        <v>390.45</v>
      </c>
      <c r="H25" s="1">
        <v>292.45</v>
      </c>
      <c r="I25" s="1">
        <v>0.33119999999999999</v>
      </c>
      <c r="J25" s="36">
        <v>6</v>
      </c>
      <c r="K25" s="1">
        <f t="shared" si="0"/>
        <v>194.7456</v>
      </c>
      <c r="L25" s="7"/>
      <c r="M25" s="1">
        <f t="shared" si="1"/>
        <v>115.3</v>
      </c>
      <c r="N25" s="1">
        <f t="shared" si="2"/>
        <v>17.3</v>
      </c>
      <c r="O25" s="1">
        <f t="shared" si="3"/>
        <v>388.45</v>
      </c>
      <c r="P25" s="1">
        <f t="shared" si="4"/>
        <v>290.45</v>
      </c>
      <c r="Q25" s="67">
        <f t="shared" si="5"/>
        <v>0.33119999999999999</v>
      </c>
      <c r="R25" s="68"/>
      <c r="S25" s="69"/>
      <c r="T25" s="3">
        <f t="shared" si="6"/>
        <v>20.935907936724057</v>
      </c>
      <c r="U25" s="32">
        <v>3.1243524452169371</v>
      </c>
    </row>
    <row r="26" spans="2:28" x14ac:dyDescent="0.2">
      <c r="B26" s="135" t="s">
        <v>25</v>
      </c>
      <c r="C26" s="28" t="s">
        <v>138</v>
      </c>
      <c r="D26" s="18">
        <v>12</v>
      </c>
      <c r="E26" s="64">
        <v>194</v>
      </c>
      <c r="F26" s="65">
        <v>24.2</v>
      </c>
      <c r="G26" s="65">
        <v>469.15</v>
      </c>
      <c r="H26" s="65">
        <v>299.34999999999997</v>
      </c>
      <c r="I26" s="65">
        <v>4.9000000000000002E-2</v>
      </c>
      <c r="J26" s="36">
        <v>6</v>
      </c>
      <c r="K26" s="1">
        <f t="shared" si="0"/>
        <v>49.921200000000013</v>
      </c>
      <c r="L26" s="7"/>
      <c r="M26" s="65">
        <f t="shared" si="1"/>
        <v>194</v>
      </c>
      <c r="N26" s="65">
        <f t="shared" si="2"/>
        <v>24.2</v>
      </c>
      <c r="O26" s="65">
        <f t="shared" si="3"/>
        <v>467.15</v>
      </c>
      <c r="P26" s="65">
        <f t="shared" si="4"/>
        <v>297.34999999999997</v>
      </c>
      <c r="Q26" s="70">
        <f t="shared" si="5"/>
        <v>4.9000000000000002E-2</v>
      </c>
      <c r="R26" s="68"/>
      <c r="S26" s="69"/>
      <c r="T26" s="64">
        <f t="shared" si="6"/>
        <v>7.859899132951977</v>
      </c>
      <c r="U26" s="32">
        <v>4.5103427457200347</v>
      </c>
      <c r="W26" s="133"/>
      <c r="X26" s="133"/>
      <c r="Y26" s="134"/>
      <c r="Z26" s="134"/>
    </row>
    <row r="27" spans="2:28" x14ac:dyDescent="0.2">
      <c r="B27" s="136"/>
      <c r="C27" s="28"/>
      <c r="D27" s="18">
        <v>13</v>
      </c>
      <c r="E27" s="64">
        <v>86.5</v>
      </c>
      <c r="F27" s="65">
        <v>24.2</v>
      </c>
      <c r="G27" s="65">
        <v>361.65</v>
      </c>
      <c r="H27" s="65">
        <v>299.34999999999997</v>
      </c>
      <c r="I27" s="65">
        <v>0.19089999999999999</v>
      </c>
      <c r="J27" s="36">
        <v>6</v>
      </c>
      <c r="K27" s="1">
        <f t="shared" si="0"/>
        <v>71.35842000000001</v>
      </c>
      <c r="L27" s="7"/>
      <c r="M27" s="65">
        <f t="shared" si="1"/>
        <v>86.5</v>
      </c>
      <c r="N27" s="65">
        <f t="shared" si="2"/>
        <v>24.2</v>
      </c>
      <c r="O27" s="65">
        <f t="shared" si="3"/>
        <v>359.65</v>
      </c>
      <c r="P27" s="65">
        <f t="shared" si="4"/>
        <v>297.34999999999997</v>
      </c>
      <c r="Q27" s="70">
        <f t="shared" si="5"/>
        <v>0.19089999999999999</v>
      </c>
      <c r="R27" s="68"/>
      <c r="S27" s="69"/>
      <c r="T27" s="64">
        <f t="shared" si="6"/>
        <v>6.8768631164563798</v>
      </c>
      <c r="U27" s="32">
        <v>2.809884743352979</v>
      </c>
      <c r="W27" s="133"/>
      <c r="X27" s="133"/>
      <c r="Y27" s="134"/>
      <c r="Z27" s="134"/>
    </row>
    <row r="28" spans="2:28" x14ac:dyDescent="0.2">
      <c r="B28" s="136"/>
      <c r="C28" s="28"/>
      <c r="D28" s="18">
        <v>14</v>
      </c>
      <c r="E28" s="64">
        <v>104</v>
      </c>
      <c r="F28" s="65">
        <v>24.2</v>
      </c>
      <c r="G28" s="65">
        <v>379.15</v>
      </c>
      <c r="H28" s="65">
        <v>299.34999999999997</v>
      </c>
      <c r="I28" s="65">
        <v>0.3569</v>
      </c>
      <c r="J28" s="36">
        <v>6</v>
      </c>
      <c r="K28" s="1">
        <f t="shared" si="0"/>
        <v>170.88372000000001</v>
      </c>
      <c r="L28" s="7"/>
      <c r="M28" s="65">
        <f t="shared" si="1"/>
        <v>104</v>
      </c>
      <c r="N28" s="65">
        <f t="shared" si="2"/>
        <v>24.2</v>
      </c>
      <c r="O28" s="65">
        <f t="shared" si="3"/>
        <v>377.15</v>
      </c>
      <c r="P28" s="65">
        <f t="shared" si="4"/>
        <v>297.34999999999997</v>
      </c>
      <c r="Q28" s="70">
        <f t="shared" si="5"/>
        <v>0.3569</v>
      </c>
      <c r="R28" s="68"/>
      <c r="S28" s="69"/>
      <c r="T28" s="64">
        <f t="shared" si="6"/>
        <v>17.898489501196256</v>
      </c>
      <c r="U28" s="32">
        <v>3.0464949366967962</v>
      </c>
    </row>
    <row r="29" spans="2:28" x14ac:dyDescent="0.2">
      <c r="B29" s="136"/>
      <c r="C29" s="28" t="s">
        <v>139</v>
      </c>
      <c r="D29" s="18">
        <v>15</v>
      </c>
      <c r="E29" s="64">
        <v>74.2</v>
      </c>
      <c r="F29" s="65">
        <v>23.4</v>
      </c>
      <c r="G29" s="65">
        <v>349.34999999999997</v>
      </c>
      <c r="H29" s="65">
        <v>298.54999999999995</v>
      </c>
      <c r="I29" s="65">
        <v>1.5</v>
      </c>
      <c r="J29" s="36">
        <v>6</v>
      </c>
      <c r="K29" s="1">
        <f t="shared" si="0"/>
        <v>457.2000000000001</v>
      </c>
      <c r="L29" s="7"/>
      <c r="M29" s="65">
        <f t="shared" si="1"/>
        <v>74.2</v>
      </c>
      <c r="N29" s="65">
        <f t="shared" si="2"/>
        <v>23.4</v>
      </c>
      <c r="O29" s="65">
        <f t="shared" si="3"/>
        <v>347.34999999999997</v>
      </c>
      <c r="P29" s="65">
        <f t="shared" si="4"/>
        <v>296.54999999999995</v>
      </c>
      <c r="Q29" s="70">
        <f t="shared" si="5"/>
        <v>1.5</v>
      </c>
      <c r="R29" s="68"/>
      <c r="S29" s="69"/>
      <c r="T29" s="64">
        <f t="shared" si="6"/>
        <v>41.380120007041292</v>
      </c>
      <c r="U29" s="32">
        <v>2.6434550610528484</v>
      </c>
    </row>
    <row r="30" spans="2:28" x14ac:dyDescent="0.2">
      <c r="B30" s="136"/>
      <c r="C30" s="28"/>
      <c r="D30" s="18">
        <v>16</v>
      </c>
      <c r="E30" s="64">
        <v>83.4</v>
      </c>
      <c r="F30" s="65">
        <v>23.4</v>
      </c>
      <c r="G30" s="65">
        <v>358.54999999999995</v>
      </c>
      <c r="H30" s="65">
        <v>298.54999999999995</v>
      </c>
      <c r="I30" s="65">
        <v>2.2599999999999999E-2</v>
      </c>
      <c r="J30" s="36">
        <v>6</v>
      </c>
      <c r="K30" s="1">
        <f t="shared" si="0"/>
        <v>8.1359999999999992</v>
      </c>
      <c r="L30" s="7"/>
      <c r="M30" s="65">
        <f t="shared" si="1"/>
        <v>83.4</v>
      </c>
      <c r="N30" s="65">
        <f t="shared" si="2"/>
        <v>23.4</v>
      </c>
      <c r="O30" s="65">
        <f t="shared" si="3"/>
        <v>356.54999999999995</v>
      </c>
      <c r="P30" s="65">
        <f t="shared" si="4"/>
        <v>296.54999999999995</v>
      </c>
      <c r="Q30" s="70">
        <f t="shared" si="5"/>
        <v>2.2599999999999999E-2</v>
      </c>
      <c r="R30" s="68"/>
      <c r="S30" s="69"/>
      <c r="T30" s="64">
        <f t="shared" si="6"/>
        <v>0.76985891621058711</v>
      </c>
      <c r="U30" s="32">
        <v>2.7603542869236875</v>
      </c>
    </row>
    <row r="31" spans="2:28" x14ac:dyDescent="0.2">
      <c r="B31" s="136"/>
      <c r="C31" s="28" t="s">
        <v>140</v>
      </c>
      <c r="D31" s="18">
        <v>17</v>
      </c>
      <c r="E31" s="64">
        <v>194</v>
      </c>
      <c r="F31" s="65">
        <v>21.1</v>
      </c>
      <c r="G31" s="65">
        <v>469.15</v>
      </c>
      <c r="H31" s="65">
        <v>296.25</v>
      </c>
      <c r="I31" s="65">
        <v>0.38479999999999998</v>
      </c>
      <c r="J31" s="36">
        <v>6</v>
      </c>
      <c r="K31" s="1">
        <f t="shared" si="0"/>
        <v>399.19151999999991</v>
      </c>
      <c r="L31" s="7"/>
      <c r="M31" s="65">
        <f t="shared" si="1"/>
        <v>194</v>
      </c>
      <c r="N31" s="65">
        <f t="shared" si="2"/>
        <v>21.1</v>
      </c>
      <c r="O31" s="65">
        <f t="shared" si="3"/>
        <v>467.15</v>
      </c>
      <c r="P31" s="65">
        <f t="shared" si="4"/>
        <v>294.25</v>
      </c>
      <c r="Q31" s="70">
        <f t="shared" si="5"/>
        <v>0.38479999999999998</v>
      </c>
      <c r="R31" s="68"/>
      <c r="S31" s="69"/>
      <c r="T31" s="64">
        <f t="shared" si="6"/>
        <v>62.224446080962586</v>
      </c>
      <c r="U31" s="32">
        <v>4.4673778366650252</v>
      </c>
    </row>
    <row r="32" spans="2:28" x14ac:dyDescent="0.2">
      <c r="B32" s="136"/>
      <c r="C32" s="28"/>
      <c r="D32" s="18">
        <v>18</v>
      </c>
      <c r="E32" s="64">
        <v>147.6</v>
      </c>
      <c r="F32" s="65">
        <v>21.1</v>
      </c>
      <c r="G32" s="65">
        <v>422.75</v>
      </c>
      <c r="H32" s="65">
        <v>296.25</v>
      </c>
      <c r="I32" s="65">
        <v>3.1399999999999997E-2</v>
      </c>
      <c r="J32" s="36">
        <v>6</v>
      </c>
      <c r="K32" s="1">
        <f t="shared" si="0"/>
        <v>23.832599999999999</v>
      </c>
      <c r="L32" s="7"/>
      <c r="M32" s="65">
        <f t="shared" si="1"/>
        <v>147.6</v>
      </c>
      <c r="N32" s="65">
        <f t="shared" si="2"/>
        <v>21.1</v>
      </c>
      <c r="O32" s="65">
        <f t="shared" si="3"/>
        <v>420.75</v>
      </c>
      <c r="P32" s="65">
        <f t="shared" si="4"/>
        <v>294.25</v>
      </c>
      <c r="Q32" s="70">
        <f t="shared" si="5"/>
        <v>3.1399999999999997E-2</v>
      </c>
      <c r="R32" s="68"/>
      <c r="S32" s="69"/>
      <c r="T32" s="64">
        <f t="shared" si="6"/>
        <v>3.0206293011482654</v>
      </c>
      <c r="U32" s="32">
        <v>3.6630281216441936</v>
      </c>
    </row>
    <row r="33" spans="2:21" x14ac:dyDescent="0.2">
      <c r="B33" s="136"/>
      <c r="C33" s="28" t="s">
        <v>141</v>
      </c>
      <c r="D33" s="18">
        <v>19</v>
      </c>
      <c r="E33" s="64">
        <v>148.6</v>
      </c>
      <c r="F33" s="65">
        <v>25.1</v>
      </c>
      <c r="G33" s="65">
        <v>423.75</v>
      </c>
      <c r="H33" s="65">
        <v>300.25</v>
      </c>
      <c r="I33" s="65">
        <v>4.9079999999999999E-2</v>
      </c>
      <c r="J33" s="36">
        <v>6</v>
      </c>
      <c r="K33" s="1">
        <f t="shared" si="0"/>
        <v>36.368279999999999</v>
      </c>
      <c r="L33" s="7"/>
      <c r="M33" s="65">
        <f t="shared" si="1"/>
        <v>148.6</v>
      </c>
      <c r="N33" s="65">
        <f t="shared" si="2"/>
        <v>25.1</v>
      </c>
      <c r="O33" s="65">
        <f t="shared" si="3"/>
        <v>421.75</v>
      </c>
      <c r="P33" s="65">
        <f t="shared" si="4"/>
        <v>298.25</v>
      </c>
      <c r="Q33" s="70">
        <f t="shared" si="5"/>
        <v>4.9079999999999999E-2</v>
      </c>
      <c r="R33" s="68"/>
      <c r="S33" s="69"/>
      <c r="T33" s="64">
        <f t="shared" si="6"/>
        <v>4.6978037249279163</v>
      </c>
      <c r="U33" s="32">
        <v>3.7306243108736199</v>
      </c>
    </row>
    <row r="34" spans="2:21" x14ac:dyDescent="0.2">
      <c r="B34" s="136"/>
      <c r="C34" s="28"/>
      <c r="D34" s="18">
        <v>20</v>
      </c>
      <c r="E34" s="64">
        <v>133.69999999999999</v>
      </c>
      <c r="F34" s="65">
        <v>25.1</v>
      </c>
      <c r="G34" s="65">
        <v>408.84999999999997</v>
      </c>
      <c r="H34" s="65">
        <v>300.25</v>
      </c>
      <c r="I34" s="65">
        <v>4.9079999999999999E-2</v>
      </c>
      <c r="J34" s="36">
        <v>6</v>
      </c>
      <c r="K34" s="1">
        <f t="shared" si="0"/>
        <v>31.980527999999985</v>
      </c>
      <c r="L34" s="7"/>
      <c r="M34" s="65">
        <f t="shared" si="1"/>
        <v>133.69999999999999</v>
      </c>
      <c r="N34" s="65">
        <f t="shared" si="2"/>
        <v>25.1</v>
      </c>
      <c r="O34" s="65">
        <f t="shared" si="3"/>
        <v>406.84999999999997</v>
      </c>
      <c r="P34" s="65">
        <f t="shared" si="4"/>
        <v>298.25</v>
      </c>
      <c r="Q34" s="70">
        <f t="shared" si="5"/>
        <v>4.9079999999999999E-2</v>
      </c>
      <c r="R34" s="68"/>
      <c r="S34" s="69"/>
      <c r="T34" s="64">
        <f t="shared" si="6"/>
        <v>3.859907547179168</v>
      </c>
      <c r="U34" s="32">
        <v>3.4943411890197726</v>
      </c>
    </row>
    <row r="35" spans="2:21" x14ac:dyDescent="0.2">
      <c r="B35" s="136"/>
      <c r="C35" s="28" t="s">
        <v>142</v>
      </c>
      <c r="D35" s="18">
        <v>21</v>
      </c>
      <c r="E35" s="64">
        <v>137</v>
      </c>
      <c r="F35" s="65">
        <v>25.1</v>
      </c>
      <c r="G35" s="65">
        <v>412.15</v>
      </c>
      <c r="H35" s="65">
        <v>300.25</v>
      </c>
      <c r="I35" s="65">
        <v>4.9079999999999999E-2</v>
      </c>
      <c r="J35" s="36">
        <v>6</v>
      </c>
      <c r="K35" s="1">
        <f t="shared" si="0"/>
        <v>32.952311999999992</v>
      </c>
      <c r="L35" s="7"/>
      <c r="M35" s="65">
        <f t="shared" si="1"/>
        <v>137</v>
      </c>
      <c r="N35" s="65">
        <f t="shared" si="2"/>
        <v>25.1</v>
      </c>
      <c r="O35" s="65">
        <f t="shared" si="3"/>
        <v>410.15</v>
      </c>
      <c r="P35" s="65">
        <f t="shared" si="4"/>
        <v>298.25</v>
      </c>
      <c r="Q35" s="70">
        <f t="shared" si="5"/>
        <v>4.9079999999999999E-2</v>
      </c>
      <c r="R35" s="68"/>
      <c r="S35" s="69"/>
      <c r="T35" s="64">
        <f t="shared" si="6"/>
        <v>4.0377789314998651</v>
      </c>
      <c r="U35" s="32">
        <v>3.5456803726851631</v>
      </c>
    </row>
    <row r="36" spans="2:21" x14ac:dyDescent="0.2">
      <c r="B36" s="136"/>
      <c r="C36" s="28"/>
      <c r="D36" s="18">
        <v>22</v>
      </c>
      <c r="E36" s="64">
        <v>120.8</v>
      </c>
      <c r="F36" s="65">
        <v>25.1</v>
      </c>
      <c r="G36" s="65">
        <v>395.95</v>
      </c>
      <c r="H36" s="65">
        <v>300.25</v>
      </c>
      <c r="I36" s="65">
        <v>4.9079999999999999E-2</v>
      </c>
      <c r="J36" s="36">
        <v>6</v>
      </c>
      <c r="K36" s="1">
        <f t="shared" si="0"/>
        <v>28.181735999999994</v>
      </c>
      <c r="L36" s="7"/>
      <c r="M36" s="65">
        <f t="shared" si="1"/>
        <v>120.8</v>
      </c>
      <c r="N36" s="65">
        <f t="shared" si="2"/>
        <v>25.1</v>
      </c>
      <c r="O36" s="65">
        <f t="shared" si="3"/>
        <v>393.95</v>
      </c>
      <c r="P36" s="65">
        <f t="shared" si="4"/>
        <v>298.25</v>
      </c>
      <c r="Q36" s="70">
        <f t="shared" si="5"/>
        <v>4.9079999999999999E-2</v>
      </c>
      <c r="R36" s="68"/>
      <c r="S36" s="69"/>
      <c r="T36" s="64">
        <f t="shared" si="6"/>
        <v>3.2047875793609757</v>
      </c>
      <c r="U36" s="32">
        <v>3.2990103643327804</v>
      </c>
    </row>
    <row r="37" spans="2:21" x14ac:dyDescent="0.2">
      <c r="B37" s="136"/>
      <c r="C37" s="28" t="s">
        <v>143</v>
      </c>
      <c r="D37" s="18">
        <v>23</v>
      </c>
      <c r="E37" s="64">
        <v>121.1</v>
      </c>
      <c r="F37" s="65">
        <v>21</v>
      </c>
      <c r="G37" s="65">
        <v>396.25</v>
      </c>
      <c r="H37" s="65">
        <v>296.14999999999998</v>
      </c>
      <c r="I37" s="65">
        <v>0.06</v>
      </c>
      <c r="J37" s="36">
        <v>6</v>
      </c>
      <c r="K37" s="1">
        <f t="shared" si="0"/>
        <v>36.036000000000008</v>
      </c>
      <c r="L37" s="7"/>
      <c r="M37" s="65">
        <f t="shared" si="1"/>
        <v>121.1</v>
      </c>
      <c r="N37" s="65">
        <f t="shared" si="2"/>
        <v>21</v>
      </c>
      <c r="O37" s="65">
        <f t="shared" si="3"/>
        <v>394.25</v>
      </c>
      <c r="P37" s="65">
        <f t="shared" si="4"/>
        <v>294.14999999999998</v>
      </c>
      <c r="Q37" s="70">
        <f t="shared" si="5"/>
        <v>0.06</v>
      </c>
      <c r="R37" s="68"/>
      <c r="S37" s="69"/>
      <c r="T37" s="64">
        <f t="shared" si="6"/>
        <v>4.0391592032440009</v>
      </c>
      <c r="U37" s="32">
        <v>3.2532108216293931</v>
      </c>
    </row>
    <row r="38" spans="2:21" x14ac:dyDescent="0.2">
      <c r="B38" s="136"/>
      <c r="C38" s="28" t="s">
        <v>144</v>
      </c>
      <c r="D38" s="18">
        <v>24</v>
      </c>
      <c r="E38" s="64">
        <v>120.7</v>
      </c>
      <c r="F38" s="65">
        <v>23.2</v>
      </c>
      <c r="G38" s="65">
        <v>395.84999999999997</v>
      </c>
      <c r="H38" s="65">
        <v>298.34999999999997</v>
      </c>
      <c r="I38" s="65">
        <v>0.08</v>
      </c>
      <c r="J38" s="36">
        <v>6</v>
      </c>
      <c r="K38" s="1">
        <f t="shared" si="0"/>
        <v>46.8</v>
      </c>
      <c r="L38" s="7"/>
      <c r="M38" s="65">
        <f t="shared" si="1"/>
        <v>120.7</v>
      </c>
      <c r="N38" s="65">
        <f t="shared" si="2"/>
        <v>23.2</v>
      </c>
      <c r="O38" s="65">
        <f t="shared" si="3"/>
        <v>393.84999999999997</v>
      </c>
      <c r="P38" s="65">
        <f t="shared" si="4"/>
        <v>296.34999999999997</v>
      </c>
      <c r="Q38" s="70">
        <f t="shared" si="5"/>
        <v>0.08</v>
      </c>
      <c r="R38" s="68"/>
      <c r="S38" s="69"/>
      <c r="T38" s="64">
        <f t="shared" si="6"/>
        <v>5.2805972553173648</v>
      </c>
      <c r="U38" s="32">
        <v>3.2741677208435966</v>
      </c>
    </row>
    <row r="39" spans="2:21" x14ac:dyDescent="0.2">
      <c r="B39" s="136"/>
      <c r="C39" s="28"/>
      <c r="D39" s="18">
        <v>25</v>
      </c>
      <c r="E39" s="64">
        <v>194</v>
      </c>
      <c r="F39" s="65">
        <v>23.2</v>
      </c>
      <c r="G39" s="65">
        <v>469.15</v>
      </c>
      <c r="H39" s="65">
        <v>298.34999999999997</v>
      </c>
      <c r="I39" s="65">
        <v>3.1399999999999997E-2</v>
      </c>
      <c r="J39" s="36">
        <v>6</v>
      </c>
      <c r="K39" s="1">
        <f t="shared" si="0"/>
        <v>32.178719999999998</v>
      </c>
      <c r="L39" s="7"/>
      <c r="M39" s="65">
        <f t="shared" si="1"/>
        <v>194</v>
      </c>
      <c r="N39" s="65">
        <f t="shared" si="2"/>
        <v>23.2</v>
      </c>
      <c r="O39" s="65">
        <f t="shared" si="3"/>
        <v>467.15</v>
      </c>
      <c r="P39" s="65">
        <f t="shared" si="4"/>
        <v>296.34999999999997</v>
      </c>
      <c r="Q39" s="70">
        <f t="shared" si="5"/>
        <v>3.1399999999999997E-2</v>
      </c>
      <c r="R39" s="68"/>
      <c r="S39" s="69"/>
      <c r="T39" s="64">
        <f t="shared" si="6"/>
        <v>5.0500572056759658</v>
      </c>
      <c r="U39" s="32">
        <v>4.4964355079756464</v>
      </c>
    </row>
    <row r="40" spans="2:21" x14ac:dyDescent="0.2">
      <c r="B40" s="136"/>
      <c r="C40" s="28" t="s">
        <v>145</v>
      </c>
      <c r="D40" s="18">
        <v>26</v>
      </c>
      <c r="E40" s="64">
        <v>194</v>
      </c>
      <c r="F40" s="65">
        <v>22.1</v>
      </c>
      <c r="G40" s="65">
        <v>469.15</v>
      </c>
      <c r="H40" s="65">
        <v>297.25</v>
      </c>
      <c r="I40" s="65">
        <v>3.1399999999999997E-2</v>
      </c>
      <c r="J40" s="36">
        <v>6</v>
      </c>
      <c r="K40" s="1">
        <f t="shared" si="0"/>
        <v>32.38595999999999</v>
      </c>
      <c r="L40" s="7"/>
      <c r="M40" s="65">
        <f t="shared" si="1"/>
        <v>194</v>
      </c>
      <c r="N40" s="65">
        <f t="shared" si="2"/>
        <v>22.1</v>
      </c>
      <c r="O40" s="65">
        <f t="shared" si="3"/>
        <v>467.15</v>
      </c>
      <c r="P40" s="65">
        <f t="shared" si="4"/>
        <v>295.25</v>
      </c>
      <c r="Q40" s="70">
        <f t="shared" si="5"/>
        <v>3.1399999999999997E-2</v>
      </c>
      <c r="R40" s="68"/>
      <c r="S40" s="69"/>
      <c r="T40" s="64">
        <f t="shared" si="6"/>
        <v>5.0645395538770357</v>
      </c>
      <c r="U40" s="32">
        <v>4.4811899210412935</v>
      </c>
    </row>
    <row r="41" spans="2:21" x14ac:dyDescent="0.2">
      <c r="B41" s="136"/>
      <c r="C41" s="28"/>
      <c r="D41" s="18">
        <v>27</v>
      </c>
      <c r="E41" s="64">
        <v>140.5</v>
      </c>
      <c r="F41" s="65">
        <v>22.1</v>
      </c>
      <c r="G41" s="65">
        <v>415.65</v>
      </c>
      <c r="H41" s="65">
        <v>297.25</v>
      </c>
      <c r="I41" s="65">
        <v>0.64</v>
      </c>
      <c r="J41" s="36">
        <v>6</v>
      </c>
      <c r="K41" s="1">
        <f t="shared" si="0"/>
        <v>454.65599999999989</v>
      </c>
      <c r="L41" s="7"/>
      <c r="M41" s="65">
        <f t="shared" si="1"/>
        <v>140.5</v>
      </c>
      <c r="N41" s="65">
        <f t="shared" si="2"/>
        <v>22.1</v>
      </c>
      <c r="O41" s="65">
        <f t="shared" si="3"/>
        <v>413.65</v>
      </c>
      <c r="P41" s="65">
        <f t="shared" si="4"/>
        <v>295.25</v>
      </c>
      <c r="Q41" s="70">
        <f t="shared" si="5"/>
        <v>0.64</v>
      </c>
      <c r="R41" s="68"/>
      <c r="S41" s="69"/>
      <c r="T41" s="64">
        <f t="shared" si="6"/>
        <v>55.98680187807885</v>
      </c>
      <c r="U41" s="32">
        <v>3.5626191252350967</v>
      </c>
    </row>
    <row r="42" spans="2:21" ht="15" customHeight="1" x14ac:dyDescent="0.2">
      <c r="B42" s="136"/>
      <c r="C42" s="28" t="s">
        <v>146</v>
      </c>
      <c r="D42" s="18">
        <v>28</v>
      </c>
      <c r="E42" s="64">
        <v>149.5</v>
      </c>
      <c r="F42" s="65">
        <v>22.1</v>
      </c>
      <c r="G42" s="65">
        <v>424.65</v>
      </c>
      <c r="H42" s="65">
        <v>297.25</v>
      </c>
      <c r="I42" s="65">
        <v>2.2599999999999999E-2</v>
      </c>
      <c r="J42" s="36">
        <v>6</v>
      </c>
      <c r="K42" s="1">
        <f t="shared" si="0"/>
        <v>17.275439999999996</v>
      </c>
      <c r="L42" s="7"/>
      <c r="M42" s="65">
        <f t="shared" si="1"/>
        <v>149.5</v>
      </c>
      <c r="N42" s="65">
        <f t="shared" si="2"/>
        <v>22.1</v>
      </c>
      <c r="O42" s="65">
        <f t="shared" si="3"/>
        <v>422.65</v>
      </c>
      <c r="P42" s="65">
        <f t="shared" si="4"/>
        <v>295.25</v>
      </c>
      <c r="Q42" s="70">
        <f t="shared" si="5"/>
        <v>2.2599999999999999E-2</v>
      </c>
      <c r="R42" s="68"/>
      <c r="S42" s="69"/>
      <c r="T42" s="64">
        <f t="shared" si="6"/>
        <v>2.2165612083292778</v>
      </c>
      <c r="U42" s="32">
        <v>3.7065397234144402</v>
      </c>
    </row>
    <row r="43" spans="2:21" x14ac:dyDescent="0.2">
      <c r="B43" s="136"/>
      <c r="C43" s="28"/>
      <c r="D43" s="18">
        <v>29</v>
      </c>
      <c r="E43" s="64">
        <v>194</v>
      </c>
      <c r="F43" s="65">
        <v>22.1</v>
      </c>
      <c r="G43" s="65">
        <v>469.15</v>
      </c>
      <c r="H43" s="65">
        <v>297.25</v>
      </c>
      <c r="I43" s="65">
        <v>2.2599999999999999E-2</v>
      </c>
      <c r="J43" s="36">
        <v>6</v>
      </c>
      <c r="K43" s="1">
        <f t="shared" si="0"/>
        <v>23.309639999999998</v>
      </c>
      <c r="L43" s="7"/>
      <c r="M43" s="65">
        <f t="shared" si="1"/>
        <v>194</v>
      </c>
      <c r="N43" s="65">
        <f t="shared" si="2"/>
        <v>22.1</v>
      </c>
      <c r="O43" s="65">
        <f t="shared" si="3"/>
        <v>467.15</v>
      </c>
      <c r="P43" s="65">
        <f t="shared" si="4"/>
        <v>295.25</v>
      </c>
      <c r="Q43" s="70">
        <f t="shared" si="5"/>
        <v>2.2599999999999999E-2</v>
      </c>
      <c r="R43" s="68"/>
      <c r="S43" s="69"/>
      <c r="T43" s="64">
        <f t="shared" si="6"/>
        <v>3.6451781502427067</v>
      </c>
      <c r="U43" s="32">
        <v>4.4811899210412927</v>
      </c>
    </row>
    <row r="44" spans="2:21" x14ac:dyDescent="0.2">
      <c r="B44" s="136"/>
      <c r="C44" s="28" t="s">
        <v>147</v>
      </c>
      <c r="D44" s="18">
        <v>30</v>
      </c>
      <c r="E44" s="64">
        <v>101.4</v>
      </c>
      <c r="F44" s="65">
        <v>20.3</v>
      </c>
      <c r="G44" s="65">
        <v>376.54999999999995</v>
      </c>
      <c r="H44" s="65">
        <v>295.45</v>
      </c>
      <c r="I44" s="65">
        <v>0.08</v>
      </c>
      <c r="J44" s="36">
        <v>6</v>
      </c>
      <c r="K44" s="1">
        <f t="shared" si="0"/>
        <v>38.927999999999983</v>
      </c>
      <c r="L44" s="7"/>
      <c r="M44" s="65">
        <f t="shared" si="1"/>
        <v>101.4</v>
      </c>
      <c r="N44" s="65">
        <f t="shared" si="2"/>
        <v>20.3</v>
      </c>
      <c r="O44" s="65">
        <f t="shared" si="3"/>
        <v>374.54999999999995</v>
      </c>
      <c r="P44" s="65">
        <f t="shared" si="4"/>
        <v>293.45</v>
      </c>
      <c r="Q44" s="70">
        <f t="shared" si="5"/>
        <v>0.08</v>
      </c>
      <c r="R44" s="68"/>
      <c r="S44" s="69"/>
      <c r="T44" s="64">
        <f t="shared" si="6"/>
        <v>3.9641450264892368</v>
      </c>
      <c r="U44" s="32">
        <v>2.9644197954707328</v>
      </c>
    </row>
    <row r="45" spans="2:21" x14ac:dyDescent="0.2">
      <c r="B45" s="136"/>
      <c r="C45" s="28"/>
      <c r="D45" s="18">
        <v>31</v>
      </c>
      <c r="E45" s="64">
        <v>70</v>
      </c>
      <c r="F45" s="65">
        <v>20.3</v>
      </c>
      <c r="G45" s="65">
        <v>345.15</v>
      </c>
      <c r="H45" s="65">
        <v>295.45</v>
      </c>
      <c r="I45" s="65">
        <v>0.05</v>
      </c>
      <c r="J45" s="36">
        <v>6</v>
      </c>
      <c r="K45" s="1">
        <f t="shared" si="0"/>
        <v>14.909999999999998</v>
      </c>
      <c r="L45" s="7"/>
      <c r="M45" s="65">
        <f t="shared" si="1"/>
        <v>70</v>
      </c>
      <c r="N45" s="65">
        <f t="shared" si="2"/>
        <v>20.3</v>
      </c>
      <c r="O45" s="65">
        <f t="shared" si="3"/>
        <v>343.15</v>
      </c>
      <c r="P45" s="65">
        <f t="shared" si="4"/>
        <v>293.45</v>
      </c>
      <c r="Q45" s="70">
        <f t="shared" si="5"/>
        <v>0.05</v>
      </c>
      <c r="R45" s="68"/>
      <c r="S45" s="69"/>
      <c r="T45" s="64">
        <f t="shared" si="6"/>
        <v>1.3042011219162601</v>
      </c>
      <c r="U45" s="32">
        <v>2.5570464652486273</v>
      </c>
    </row>
    <row r="46" spans="2:21" ht="16" thickBot="1" x14ac:dyDescent="0.25">
      <c r="B46" s="137"/>
      <c r="C46" s="28" t="s">
        <v>148</v>
      </c>
      <c r="D46" s="18">
        <v>32</v>
      </c>
      <c r="E46" s="64">
        <v>82.2</v>
      </c>
      <c r="F46" s="65">
        <v>20.100000000000001</v>
      </c>
      <c r="G46" s="65">
        <v>357.34999999999997</v>
      </c>
      <c r="H46" s="65">
        <v>295.25</v>
      </c>
      <c r="I46" s="65">
        <v>0.16</v>
      </c>
      <c r="J46" s="36">
        <v>6</v>
      </c>
      <c r="K46" s="1">
        <f t="shared" si="0"/>
        <v>59.615999999999964</v>
      </c>
      <c r="L46" s="7"/>
      <c r="M46" s="65">
        <f t="shared" si="1"/>
        <v>82.2</v>
      </c>
      <c r="N46" s="65">
        <f t="shared" si="2"/>
        <v>20.100000000000001</v>
      </c>
      <c r="O46" s="65">
        <f t="shared" si="3"/>
        <v>355.34999999999997</v>
      </c>
      <c r="P46" s="65">
        <f t="shared" si="4"/>
        <v>293.25</v>
      </c>
      <c r="Q46" s="70">
        <f t="shared" si="5"/>
        <v>0.16</v>
      </c>
      <c r="R46" s="68"/>
      <c r="S46" s="69"/>
      <c r="T46" s="64">
        <f t="shared" si="6"/>
        <v>5.5299186004836098</v>
      </c>
      <c r="U46" s="32">
        <v>2.7074275663728558</v>
      </c>
    </row>
    <row r="47" spans="2:21" x14ac:dyDescent="0.2">
      <c r="B47" s="138" t="s">
        <v>26</v>
      </c>
      <c r="C47" s="28" t="s">
        <v>149</v>
      </c>
      <c r="D47" s="18">
        <v>33</v>
      </c>
      <c r="E47" s="3">
        <v>119.6</v>
      </c>
      <c r="F47" s="1">
        <v>21.2</v>
      </c>
      <c r="G47" s="1">
        <v>394.75</v>
      </c>
      <c r="H47" s="1">
        <v>296.34999999999997</v>
      </c>
      <c r="I47" s="1">
        <v>0.08</v>
      </c>
      <c r="J47" s="36">
        <v>6</v>
      </c>
      <c r="K47" s="1">
        <f t="shared" si="0"/>
        <v>47.232000000000014</v>
      </c>
      <c r="L47" s="7"/>
      <c r="M47" s="1">
        <f t="shared" si="1"/>
        <v>119.6</v>
      </c>
      <c r="N47" s="1">
        <f t="shared" si="2"/>
        <v>21.2</v>
      </c>
      <c r="O47" s="1">
        <f t="shared" si="3"/>
        <v>392.75</v>
      </c>
      <c r="P47" s="1">
        <f t="shared" si="4"/>
        <v>294.34999999999997</v>
      </c>
      <c r="Q47" s="67">
        <f t="shared" si="5"/>
        <v>0.08</v>
      </c>
      <c r="R47" s="68"/>
      <c r="S47" s="69"/>
      <c r="T47" s="3">
        <f t="shared" si="6"/>
        <v>5.2610819958365829</v>
      </c>
      <c r="U47" s="32">
        <v>3.2335875897685846</v>
      </c>
    </row>
    <row r="48" spans="2:21" x14ac:dyDescent="0.2">
      <c r="B48" s="139"/>
      <c r="C48" s="28"/>
      <c r="D48" s="18">
        <v>34</v>
      </c>
      <c r="E48" s="3">
        <v>114.8</v>
      </c>
      <c r="F48" s="1">
        <v>21.2</v>
      </c>
      <c r="G48" s="1">
        <v>389.95</v>
      </c>
      <c r="H48" s="1">
        <v>296.34999999999997</v>
      </c>
      <c r="I48" s="1">
        <v>0.31</v>
      </c>
      <c r="J48" s="36">
        <v>6</v>
      </c>
      <c r="K48" s="1">
        <f t="shared" si="0"/>
        <v>174.09600000000003</v>
      </c>
      <c r="L48" s="7"/>
      <c r="M48" s="1">
        <f t="shared" si="1"/>
        <v>114.8</v>
      </c>
      <c r="N48" s="1">
        <f t="shared" si="2"/>
        <v>21.2</v>
      </c>
      <c r="O48" s="1">
        <f t="shared" si="3"/>
        <v>387.95</v>
      </c>
      <c r="P48" s="1">
        <f t="shared" si="4"/>
        <v>294.34999999999997</v>
      </c>
      <c r="Q48" s="67">
        <f t="shared" si="5"/>
        <v>0.31</v>
      </c>
      <c r="R48" s="68"/>
      <c r="S48" s="69"/>
      <c r="T48" s="3">
        <f t="shared" si="6"/>
        <v>18.959833131707668</v>
      </c>
      <c r="U48" s="32">
        <v>3.1637695920164122</v>
      </c>
    </row>
    <row r="49" spans="2:21" x14ac:dyDescent="0.2">
      <c r="B49" s="139"/>
      <c r="C49" s="28"/>
      <c r="D49" s="18">
        <v>35</v>
      </c>
      <c r="E49" s="3">
        <v>82.2</v>
      </c>
      <c r="F49" s="1">
        <v>21.2</v>
      </c>
      <c r="G49" s="1">
        <v>357.34999999999997</v>
      </c>
      <c r="H49" s="1">
        <v>296.34999999999997</v>
      </c>
      <c r="I49" s="1">
        <v>0.05</v>
      </c>
      <c r="J49" s="36">
        <v>6</v>
      </c>
      <c r="K49" s="1">
        <f t="shared" si="0"/>
        <v>18.300000000000004</v>
      </c>
      <c r="L49" s="7"/>
      <c r="M49" s="1">
        <f t="shared" si="1"/>
        <v>82.2</v>
      </c>
      <c r="N49" s="1">
        <f t="shared" si="2"/>
        <v>21.2</v>
      </c>
      <c r="O49" s="1">
        <f t="shared" si="3"/>
        <v>355.34999999999997</v>
      </c>
      <c r="P49" s="1">
        <f t="shared" si="4"/>
        <v>294.34999999999997</v>
      </c>
      <c r="Q49" s="67">
        <f t="shared" si="5"/>
        <v>0.05</v>
      </c>
      <c r="R49" s="68"/>
      <c r="S49" s="69"/>
      <c r="T49" s="3">
        <f t="shared" si="6"/>
        <v>1.7055000127258988</v>
      </c>
      <c r="U49" s="32">
        <v>2.7198571295656242</v>
      </c>
    </row>
    <row r="50" spans="2:21" x14ac:dyDescent="0.2">
      <c r="B50" s="139"/>
      <c r="C50" s="28" t="s">
        <v>150</v>
      </c>
      <c r="D50" s="18">
        <v>36</v>
      </c>
      <c r="E50" s="3">
        <v>150.1</v>
      </c>
      <c r="F50" s="1">
        <v>23.4</v>
      </c>
      <c r="G50" s="1">
        <v>425.25</v>
      </c>
      <c r="H50" s="1">
        <v>298.54999999999995</v>
      </c>
      <c r="I50" s="1">
        <v>0.70599999999999996</v>
      </c>
      <c r="J50" s="36">
        <v>6</v>
      </c>
      <c r="K50" s="1">
        <f t="shared" si="0"/>
        <v>536.7012000000002</v>
      </c>
      <c r="L50" s="7"/>
      <c r="M50" s="1">
        <f t="shared" si="1"/>
        <v>150.1</v>
      </c>
      <c r="N50" s="1">
        <f t="shared" si="2"/>
        <v>23.4</v>
      </c>
      <c r="O50" s="1">
        <f t="shared" si="3"/>
        <v>423.25</v>
      </c>
      <c r="P50" s="1">
        <f t="shared" si="4"/>
        <v>296.54999999999995</v>
      </c>
      <c r="Q50" s="67">
        <f t="shared" si="5"/>
        <v>0.70599999999999996</v>
      </c>
      <c r="R50" s="68"/>
      <c r="S50" s="69"/>
      <c r="T50" s="3">
        <f t="shared" si="6"/>
        <v>69.373876243192157</v>
      </c>
      <c r="U50" s="32">
        <v>3.7330339071532128</v>
      </c>
    </row>
    <row r="51" spans="2:21" x14ac:dyDescent="0.2">
      <c r="B51" s="139"/>
      <c r="C51" s="28" t="s">
        <v>151</v>
      </c>
      <c r="D51" s="18">
        <v>37</v>
      </c>
      <c r="E51" s="3">
        <v>114.5</v>
      </c>
      <c r="F51" s="1">
        <v>21.6</v>
      </c>
      <c r="G51" s="1">
        <v>389.65</v>
      </c>
      <c r="H51" s="1">
        <v>296.75</v>
      </c>
      <c r="I51" s="1">
        <v>0.12</v>
      </c>
      <c r="J51" s="36">
        <v>6</v>
      </c>
      <c r="K51" s="1">
        <f t="shared" si="0"/>
        <v>66.887999999999977</v>
      </c>
      <c r="L51" s="7"/>
      <c r="M51" s="1">
        <f t="shared" si="1"/>
        <v>114.5</v>
      </c>
      <c r="N51" s="1">
        <f t="shared" si="2"/>
        <v>21.6</v>
      </c>
      <c r="O51" s="1">
        <f t="shared" si="3"/>
        <v>387.65</v>
      </c>
      <c r="P51" s="1">
        <f t="shared" si="4"/>
        <v>294.75</v>
      </c>
      <c r="Q51" s="67">
        <f t="shared" si="5"/>
        <v>0.12</v>
      </c>
      <c r="R51" s="68"/>
      <c r="S51" s="69"/>
      <c r="T51" s="3">
        <f t="shared" si="6"/>
        <v>7.2855658378837358</v>
      </c>
      <c r="U51" s="32">
        <v>3.1642589125966127</v>
      </c>
    </row>
    <row r="52" spans="2:21" x14ac:dyDescent="0.2">
      <c r="B52" s="139"/>
      <c r="C52" s="28"/>
      <c r="D52" s="18">
        <v>38</v>
      </c>
      <c r="E52" s="3">
        <v>109.1</v>
      </c>
      <c r="F52" s="1">
        <v>21.6</v>
      </c>
      <c r="G52" s="1">
        <v>384.25</v>
      </c>
      <c r="H52" s="1">
        <v>296.75</v>
      </c>
      <c r="I52" s="1">
        <v>0.05</v>
      </c>
      <c r="J52" s="36">
        <v>6</v>
      </c>
      <c r="K52" s="1">
        <f t="shared" si="0"/>
        <v>26.250000000000004</v>
      </c>
      <c r="L52" s="7"/>
      <c r="M52" s="1">
        <f t="shared" si="1"/>
        <v>109.1</v>
      </c>
      <c r="N52" s="1">
        <f t="shared" si="2"/>
        <v>21.6</v>
      </c>
      <c r="O52" s="1">
        <f t="shared" si="3"/>
        <v>382.25</v>
      </c>
      <c r="P52" s="1">
        <f t="shared" si="4"/>
        <v>294.75</v>
      </c>
      <c r="Q52" s="67">
        <f t="shared" si="5"/>
        <v>0.05</v>
      </c>
      <c r="R52" s="68"/>
      <c r="S52" s="69"/>
      <c r="T52" s="3">
        <f t="shared" si="6"/>
        <v>2.7872873425146092</v>
      </c>
      <c r="U52" s="32">
        <v>3.0871315603277933</v>
      </c>
    </row>
    <row r="53" spans="2:21" x14ac:dyDescent="0.2">
      <c r="B53" s="139"/>
      <c r="C53" s="28"/>
      <c r="D53" s="18">
        <v>39</v>
      </c>
      <c r="E53" s="3">
        <v>112.3</v>
      </c>
      <c r="F53" s="1">
        <v>21.6</v>
      </c>
      <c r="G53" s="1">
        <v>387.45</v>
      </c>
      <c r="H53" s="1">
        <v>296.75</v>
      </c>
      <c r="I53" s="1">
        <v>0.05</v>
      </c>
      <c r="J53" s="36">
        <v>6</v>
      </c>
      <c r="K53" s="1">
        <f t="shared" si="0"/>
        <v>27.21</v>
      </c>
      <c r="L53" s="7"/>
      <c r="M53" s="1">
        <f t="shared" si="1"/>
        <v>112.3</v>
      </c>
      <c r="N53" s="1">
        <f t="shared" si="2"/>
        <v>21.6</v>
      </c>
      <c r="O53" s="1">
        <f t="shared" si="3"/>
        <v>385.45</v>
      </c>
      <c r="P53" s="1">
        <f t="shared" si="4"/>
        <v>294.75</v>
      </c>
      <c r="Q53" s="67">
        <f t="shared" si="5"/>
        <v>0.05</v>
      </c>
      <c r="R53" s="68"/>
      <c r="S53" s="69"/>
      <c r="T53" s="3">
        <f t="shared" si="6"/>
        <v>2.9332104448762371</v>
      </c>
      <c r="U53" s="32">
        <v>3.1326603359425311</v>
      </c>
    </row>
    <row r="54" spans="2:21" x14ac:dyDescent="0.2">
      <c r="B54" s="139"/>
      <c r="C54" s="28"/>
      <c r="D54" s="18">
        <v>40</v>
      </c>
      <c r="E54" s="3">
        <v>111.2</v>
      </c>
      <c r="F54" s="1">
        <v>21.6</v>
      </c>
      <c r="G54" s="1">
        <v>386.34999999999997</v>
      </c>
      <c r="H54" s="1">
        <v>296.75</v>
      </c>
      <c r="I54" s="1">
        <v>0.05</v>
      </c>
      <c r="J54" s="36">
        <v>6</v>
      </c>
      <c r="K54" s="1">
        <f t="shared" si="0"/>
        <v>26.879999999999995</v>
      </c>
      <c r="L54" s="7"/>
      <c r="M54" s="1">
        <f t="shared" si="1"/>
        <v>111.2</v>
      </c>
      <c r="N54" s="1">
        <f t="shared" si="2"/>
        <v>21.6</v>
      </c>
      <c r="O54" s="1">
        <f t="shared" si="3"/>
        <v>384.34999999999997</v>
      </c>
      <c r="P54" s="1">
        <f t="shared" si="4"/>
        <v>294.75</v>
      </c>
      <c r="Q54" s="67">
        <f t="shared" si="5"/>
        <v>0.05</v>
      </c>
      <c r="R54" s="68"/>
      <c r="S54" s="69"/>
      <c r="T54" s="3">
        <f t="shared" si="6"/>
        <v>2.8826395258059896</v>
      </c>
      <c r="U54" s="32">
        <v>3.1169520469856731</v>
      </c>
    </row>
    <row r="55" spans="2:21" x14ac:dyDescent="0.2">
      <c r="B55" s="139"/>
      <c r="C55" s="28" t="s">
        <v>152</v>
      </c>
      <c r="D55" s="18">
        <v>41</v>
      </c>
      <c r="E55" s="3">
        <v>103.9</v>
      </c>
      <c r="F55" s="1">
        <v>25.6</v>
      </c>
      <c r="G55" s="1">
        <v>379.04999999999995</v>
      </c>
      <c r="H55" s="1">
        <v>300.75</v>
      </c>
      <c r="I55" s="1">
        <v>0.23100000000000001</v>
      </c>
      <c r="J55" s="36">
        <v>6</v>
      </c>
      <c r="K55" s="1">
        <f t="shared" si="0"/>
        <v>108.52379999999995</v>
      </c>
      <c r="L55" s="7"/>
      <c r="M55" s="1">
        <f t="shared" si="1"/>
        <v>103.9</v>
      </c>
      <c r="N55" s="1">
        <f t="shared" si="2"/>
        <v>25.6</v>
      </c>
      <c r="O55" s="1">
        <f t="shared" si="3"/>
        <v>377.04999999999995</v>
      </c>
      <c r="P55" s="1">
        <f t="shared" si="4"/>
        <v>298.75</v>
      </c>
      <c r="Q55" s="67">
        <f t="shared" si="5"/>
        <v>0.23100000000000001</v>
      </c>
      <c r="R55" s="68"/>
      <c r="S55" s="69"/>
      <c r="T55" s="3">
        <f t="shared" si="6"/>
        <v>11.425943543408435</v>
      </c>
      <c r="U55" s="32">
        <v>3.0618442091103617</v>
      </c>
    </row>
    <row r="56" spans="2:21" x14ac:dyDescent="0.2">
      <c r="B56" s="139"/>
      <c r="C56" s="28" t="s">
        <v>153</v>
      </c>
      <c r="D56" s="18">
        <v>42</v>
      </c>
      <c r="E56" s="3">
        <v>218.6</v>
      </c>
      <c r="F56" s="1">
        <v>25.5</v>
      </c>
      <c r="G56" s="1">
        <v>493.75</v>
      </c>
      <c r="H56" s="1">
        <v>300.64999999999998</v>
      </c>
      <c r="I56" s="1">
        <v>3.1399999999999997E-2</v>
      </c>
      <c r="J56" s="36">
        <v>6</v>
      </c>
      <c r="K56" s="1">
        <f t="shared" si="0"/>
        <v>36.380040000000001</v>
      </c>
      <c r="L56" s="7"/>
      <c r="M56" s="1">
        <f t="shared" si="1"/>
        <v>218.6</v>
      </c>
      <c r="N56" s="1">
        <f t="shared" si="2"/>
        <v>25.5</v>
      </c>
      <c r="O56" s="1">
        <f t="shared" si="3"/>
        <v>491.75</v>
      </c>
      <c r="P56" s="1">
        <f t="shared" si="4"/>
        <v>298.64999999999998</v>
      </c>
      <c r="Q56" s="67">
        <f t="shared" si="5"/>
        <v>3.1399999999999997E-2</v>
      </c>
      <c r="R56" s="68"/>
      <c r="S56" s="69"/>
      <c r="T56" s="3">
        <f t="shared" si="6"/>
        <v>6.3886933302050863</v>
      </c>
      <c r="U56" s="32">
        <v>5.0046364347827339</v>
      </c>
    </row>
    <row r="57" spans="2:21" x14ac:dyDescent="0.2">
      <c r="B57" s="139"/>
      <c r="C57" s="28" t="s">
        <v>154</v>
      </c>
      <c r="D57" s="18">
        <v>43</v>
      </c>
      <c r="E57" s="3">
        <v>218.6</v>
      </c>
      <c r="F57" s="1">
        <v>25.6</v>
      </c>
      <c r="G57" s="1">
        <v>493.75</v>
      </c>
      <c r="H57" s="1">
        <v>300.75</v>
      </c>
      <c r="I57" s="1">
        <v>3.1399999999999997E-2</v>
      </c>
      <c r="J57" s="36">
        <v>6</v>
      </c>
      <c r="K57" s="1">
        <f t="shared" si="0"/>
        <v>36.361199999999997</v>
      </c>
      <c r="L57" s="7"/>
      <c r="M57" s="1">
        <f t="shared" si="1"/>
        <v>218.6</v>
      </c>
      <c r="N57" s="1">
        <f t="shared" si="2"/>
        <v>25.6</v>
      </c>
      <c r="O57" s="1">
        <f t="shared" si="3"/>
        <v>491.75</v>
      </c>
      <c r="P57" s="1">
        <f t="shared" si="4"/>
        <v>298.75</v>
      </c>
      <c r="Q57" s="67">
        <f t="shared" si="5"/>
        <v>3.1399999999999997E-2</v>
      </c>
      <c r="R57" s="68"/>
      <c r="S57" s="69"/>
      <c r="T57" s="3">
        <f t="shared" si="6"/>
        <v>6.3873379191154198</v>
      </c>
      <c r="U57" s="32">
        <v>5.0060905569973535</v>
      </c>
    </row>
    <row r="58" spans="2:21" x14ac:dyDescent="0.2">
      <c r="B58" s="139"/>
      <c r="C58" s="28"/>
      <c r="D58" s="18">
        <v>44</v>
      </c>
      <c r="E58" s="3">
        <v>69.099999999999994</v>
      </c>
      <c r="F58" s="1">
        <v>25.6</v>
      </c>
      <c r="G58" s="1">
        <v>344.25</v>
      </c>
      <c r="H58" s="1">
        <v>300.75</v>
      </c>
      <c r="I58" s="1">
        <v>2.7099999999999999E-2</v>
      </c>
      <c r="J58" s="36">
        <v>6</v>
      </c>
      <c r="K58" s="1">
        <f t="shared" si="0"/>
        <v>7.0731000000000002</v>
      </c>
      <c r="L58" s="7"/>
      <c r="M58" s="1">
        <f t="shared" si="1"/>
        <v>69.099999999999994</v>
      </c>
      <c r="N58" s="1">
        <f t="shared" si="2"/>
        <v>25.6</v>
      </c>
      <c r="O58" s="1">
        <f t="shared" si="3"/>
        <v>342.25</v>
      </c>
      <c r="P58" s="1">
        <f t="shared" si="4"/>
        <v>298.75</v>
      </c>
      <c r="Q58" s="67">
        <f t="shared" si="5"/>
        <v>2.7099999999999999E-2</v>
      </c>
      <c r="R58" s="68"/>
      <c r="S58" s="69"/>
      <c r="T58" s="3">
        <f t="shared" si="6"/>
        <v>0.63060827186237534</v>
      </c>
      <c r="U58" s="32">
        <v>2.6050003155221266</v>
      </c>
    </row>
    <row r="59" spans="2:21" x14ac:dyDescent="0.2">
      <c r="B59" s="139"/>
      <c r="C59" s="28" t="s">
        <v>155</v>
      </c>
      <c r="D59" s="18">
        <v>45</v>
      </c>
      <c r="E59" s="3">
        <v>107.6</v>
      </c>
      <c r="F59" s="1">
        <v>27.1</v>
      </c>
      <c r="G59" s="1">
        <v>382.75</v>
      </c>
      <c r="H59" s="1">
        <v>302.25</v>
      </c>
      <c r="I59" s="1">
        <v>0.12759999999999999</v>
      </c>
      <c r="J59" s="36">
        <v>6</v>
      </c>
      <c r="K59" s="1">
        <f t="shared" si="0"/>
        <v>61.630799999999994</v>
      </c>
      <c r="L59" s="7"/>
      <c r="M59" s="1">
        <f t="shared" si="1"/>
        <v>107.6</v>
      </c>
      <c r="N59" s="1">
        <f t="shared" si="2"/>
        <v>27.1</v>
      </c>
      <c r="O59" s="1">
        <f t="shared" si="3"/>
        <v>380.75</v>
      </c>
      <c r="P59" s="1">
        <f t="shared" si="4"/>
        <v>300.25</v>
      </c>
      <c r="Q59" s="67">
        <f t="shared" si="5"/>
        <v>0.12759999999999999</v>
      </c>
      <c r="R59" s="68"/>
      <c r="S59" s="69"/>
      <c r="T59" s="3">
        <f t="shared" si="6"/>
        <v>6.6424175736290572</v>
      </c>
      <c r="U59" s="32">
        <v>3.1320573067379445</v>
      </c>
    </row>
    <row r="60" spans="2:21" x14ac:dyDescent="0.2">
      <c r="B60" s="139"/>
      <c r="C60" s="28" t="s">
        <v>156</v>
      </c>
      <c r="D60" s="18">
        <v>46</v>
      </c>
      <c r="E60" s="3">
        <v>103.4</v>
      </c>
      <c r="F60" s="1">
        <v>26.5</v>
      </c>
      <c r="G60" s="1">
        <v>378.54999999999995</v>
      </c>
      <c r="H60" s="1">
        <v>301.64999999999998</v>
      </c>
      <c r="I60" s="1">
        <v>0.22500000000000001</v>
      </c>
      <c r="J60" s="36">
        <v>6</v>
      </c>
      <c r="K60" s="1">
        <f t="shared" si="0"/>
        <v>103.81499999999997</v>
      </c>
      <c r="L60" s="7"/>
      <c r="M60" s="1">
        <f t="shared" si="1"/>
        <v>103.4</v>
      </c>
      <c r="N60" s="1">
        <f t="shared" si="2"/>
        <v>26.5</v>
      </c>
      <c r="O60" s="1">
        <f t="shared" si="3"/>
        <v>376.54999999999995</v>
      </c>
      <c r="P60" s="1">
        <f t="shared" si="4"/>
        <v>299.64999999999998</v>
      </c>
      <c r="Q60" s="67">
        <f t="shared" si="5"/>
        <v>0.22500000000000001</v>
      </c>
      <c r="R60" s="68"/>
      <c r="S60" s="69"/>
      <c r="T60" s="3">
        <f t="shared" si="6"/>
        <v>10.944239119989522</v>
      </c>
      <c r="U60" s="32">
        <v>3.0656626692261697</v>
      </c>
    </row>
    <row r="61" spans="2:21" x14ac:dyDescent="0.2">
      <c r="B61" s="139"/>
      <c r="C61" s="28"/>
      <c r="D61" s="18">
        <v>47</v>
      </c>
      <c r="E61" s="3">
        <v>90.6</v>
      </c>
      <c r="F61" s="1">
        <v>26.5</v>
      </c>
      <c r="G61" s="1">
        <v>365.75</v>
      </c>
      <c r="H61" s="1">
        <v>301.64999999999998</v>
      </c>
      <c r="I61" s="1">
        <v>0.22500000000000001</v>
      </c>
      <c r="J61" s="36">
        <v>6</v>
      </c>
      <c r="K61" s="1">
        <f t="shared" si="0"/>
        <v>86.535000000000039</v>
      </c>
      <c r="L61" s="7"/>
      <c r="M61" s="1">
        <f t="shared" si="1"/>
        <v>90.6</v>
      </c>
      <c r="N61" s="1">
        <f t="shared" si="2"/>
        <v>26.5</v>
      </c>
      <c r="O61" s="1">
        <f t="shared" si="3"/>
        <v>363.75</v>
      </c>
      <c r="P61" s="1">
        <f t="shared" si="4"/>
        <v>299.64999999999998</v>
      </c>
      <c r="Q61" s="67">
        <f t="shared" si="5"/>
        <v>0.22500000000000001</v>
      </c>
      <c r="R61" s="68"/>
      <c r="S61" s="69"/>
      <c r="T61" s="3">
        <f t="shared" si="6"/>
        <v>8.5869325243991099</v>
      </c>
      <c r="U61" s="32">
        <v>2.8908635877101787</v>
      </c>
    </row>
    <row r="62" spans="2:21" x14ac:dyDescent="0.2">
      <c r="B62" s="139"/>
      <c r="C62" s="28"/>
      <c r="D62" s="18">
        <v>48</v>
      </c>
      <c r="E62" s="3">
        <v>86.3</v>
      </c>
      <c r="F62" s="1">
        <v>26.5</v>
      </c>
      <c r="G62" s="1">
        <v>361.45</v>
      </c>
      <c r="H62" s="1">
        <v>301.64999999999998</v>
      </c>
      <c r="I62" s="1">
        <v>0.51800000000000002</v>
      </c>
      <c r="J62" s="36">
        <v>6</v>
      </c>
      <c r="K62" s="1">
        <f t="shared" si="0"/>
        <v>185.85840000000005</v>
      </c>
      <c r="L62" s="7"/>
      <c r="M62" s="1">
        <f t="shared" si="1"/>
        <v>86.3</v>
      </c>
      <c r="N62" s="1">
        <f t="shared" si="2"/>
        <v>26.5</v>
      </c>
      <c r="O62" s="1">
        <f t="shared" si="3"/>
        <v>359.45</v>
      </c>
      <c r="P62" s="1">
        <f t="shared" si="4"/>
        <v>299.64999999999998</v>
      </c>
      <c r="Q62" s="67">
        <f t="shared" si="5"/>
        <v>0.51800000000000002</v>
      </c>
      <c r="R62" s="68"/>
      <c r="S62" s="69"/>
      <c r="T62" s="3">
        <f t="shared" si="6"/>
        <v>18.069116153527869</v>
      </c>
      <c r="U62" s="32">
        <v>2.8339394416547172</v>
      </c>
    </row>
    <row r="63" spans="2:21" x14ac:dyDescent="0.2">
      <c r="B63" s="139"/>
      <c r="C63" s="28" t="s">
        <v>157</v>
      </c>
      <c r="D63" s="18">
        <v>49</v>
      </c>
      <c r="E63" s="3">
        <v>118.2</v>
      </c>
      <c r="F63" s="1">
        <v>23.1</v>
      </c>
      <c r="G63" s="1">
        <v>393.34999999999997</v>
      </c>
      <c r="H63" s="1">
        <v>298.25</v>
      </c>
      <c r="I63" s="1">
        <v>0.27100000000000002</v>
      </c>
      <c r="J63" s="36">
        <v>6</v>
      </c>
      <c r="K63" s="1">
        <f t="shared" si="0"/>
        <v>154.63259999999997</v>
      </c>
      <c r="L63" s="7"/>
      <c r="M63" s="1">
        <f t="shared" si="1"/>
        <v>118.2</v>
      </c>
      <c r="N63" s="1">
        <f t="shared" si="2"/>
        <v>23.1</v>
      </c>
      <c r="O63" s="1">
        <f t="shared" si="3"/>
        <v>391.34999999999997</v>
      </c>
      <c r="P63" s="1">
        <f t="shared" si="4"/>
        <v>296.25</v>
      </c>
      <c r="Q63" s="67">
        <f t="shared" si="5"/>
        <v>0.27100000000000002</v>
      </c>
      <c r="R63" s="68"/>
      <c r="S63" s="69"/>
      <c r="T63" s="3">
        <f t="shared" si="6"/>
        <v>17.238558163290499</v>
      </c>
      <c r="U63" s="32">
        <v>3.2361906022494846</v>
      </c>
    </row>
    <row r="64" spans="2:21" x14ac:dyDescent="0.2">
      <c r="B64" s="139"/>
      <c r="C64" s="28"/>
      <c r="D64" s="18">
        <v>50</v>
      </c>
      <c r="E64" s="3">
        <v>218.6</v>
      </c>
      <c r="F64" s="1">
        <v>23.1</v>
      </c>
      <c r="G64" s="1">
        <v>493.75</v>
      </c>
      <c r="H64" s="1">
        <v>298.25</v>
      </c>
      <c r="I64" s="1">
        <v>0.62829999999999997</v>
      </c>
      <c r="J64" s="36">
        <v>6</v>
      </c>
      <c r="K64" s="1">
        <f t="shared" si="0"/>
        <v>736.99590000000001</v>
      </c>
      <c r="L64" s="7"/>
      <c r="M64" s="1">
        <f t="shared" si="1"/>
        <v>218.6</v>
      </c>
      <c r="N64" s="1">
        <f t="shared" si="2"/>
        <v>23.1</v>
      </c>
      <c r="O64" s="1">
        <f t="shared" si="3"/>
        <v>491.75</v>
      </c>
      <c r="P64" s="1">
        <f t="shared" si="4"/>
        <v>296.25</v>
      </c>
      <c r="Q64" s="67">
        <f t="shared" si="5"/>
        <v>0.62829999999999997</v>
      </c>
      <c r="R64" s="68"/>
      <c r="S64" s="69"/>
      <c r="T64" s="3">
        <f t="shared" si="6"/>
        <v>128.47773978478548</v>
      </c>
      <c r="U64" s="32">
        <v>4.969873972234045</v>
      </c>
    </row>
    <row r="65" spans="2:21" ht="15" customHeight="1" x14ac:dyDescent="0.2">
      <c r="B65" s="139"/>
      <c r="C65" s="28" t="s">
        <v>158</v>
      </c>
      <c r="D65" s="18">
        <v>51</v>
      </c>
      <c r="E65" s="3">
        <v>133.1</v>
      </c>
      <c r="F65" s="1">
        <v>25.5</v>
      </c>
      <c r="G65" s="1">
        <v>408.25</v>
      </c>
      <c r="H65" s="1">
        <v>300.64999999999998</v>
      </c>
      <c r="I65" s="1">
        <v>0.86</v>
      </c>
      <c r="J65" s="36">
        <v>6</v>
      </c>
      <c r="K65" s="1">
        <f t="shared" si="0"/>
        <v>555.21600000000012</v>
      </c>
      <c r="L65" s="7"/>
      <c r="M65" s="1">
        <f t="shared" si="1"/>
        <v>133.1</v>
      </c>
      <c r="N65" s="1">
        <f t="shared" si="2"/>
        <v>25.5</v>
      </c>
      <c r="O65" s="1">
        <f t="shared" si="3"/>
        <v>406.25</v>
      </c>
      <c r="P65" s="1">
        <f t="shared" si="4"/>
        <v>298.64999999999998</v>
      </c>
      <c r="Q65" s="67">
        <f t="shared" si="5"/>
        <v>0.86</v>
      </c>
      <c r="R65" s="68"/>
      <c r="S65" s="69"/>
      <c r="T65" s="3">
        <f t="shared" si="6"/>
        <v>66.928137810903891</v>
      </c>
      <c r="U65" s="32">
        <v>3.4901156521501315</v>
      </c>
    </row>
    <row r="66" spans="2:21" x14ac:dyDescent="0.2">
      <c r="B66" s="139"/>
      <c r="C66" s="28" t="s">
        <v>159</v>
      </c>
      <c r="D66" s="18">
        <v>52</v>
      </c>
      <c r="E66" s="3">
        <v>77.8</v>
      </c>
      <c r="F66" s="1">
        <v>23.8</v>
      </c>
      <c r="G66" s="1">
        <v>352.95</v>
      </c>
      <c r="H66" s="1">
        <v>298.95</v>
      </c>
      <c r="I66" s="1">
        <v>0.16</v>
      </c>
      <c r="J66" s="36">
        <v>6</v>
      </c>
      <c r="K66" s="1">
        <f t="shared" si="0"/>
        <v>51.839999999999996</v>
      </c>
      <c r="L66" s="7"/>
      <c r="M66" s="1">
        <f t="shared" si="1"/>
        <v>77.8</v>
      </c>
      <c r="N66" s="1">
        <f t="shared" si="2"/>
        <v>23.8</v>
      </c>
      <c r="O66" s="1">
        <f t="shared" si="3"/>
        <v>350.95</v>
      </c>
      <c r="P66" s="1">
        <f t="shared" si="4"/>
        <v>296.95</v>
      </c>
      <c r="Q66" s="67">
        <f t="shared" si="5"/>
        <v>0.16</v>
      </c>
      <c r="R66" s="68"/>
      <c r="S66" s="69"/>
      <c r="T66" s="3">
        <f t="shared" si="6"/>
        <v>4.7827487607687527</v>
      </c>
      <c r="U66" s="32">
        <v>2.693250776972627</v>
      </c>
    </row>
    <row r="67" spans="2:21" x14ac:dyDescent="0.2">
      <c r="B67" s="139"/>
      <c r="C67" s="28" t="s">
        <v>160</v>
      </c>
      <c r="D67" s="18">
        <v>53</v>
      </c>
      <c r="E67" s="3">
        <v>218.6</v>
      </c>
      <c r="F67" s="1">
        <v>23.8</v>
      </c>
      <c r="G67" s="1">
        <v>493.75</v>
      </c>
      <c r="H67" s="1">
        <v>298.95</v>
      </c>
      <c r="I67" s="1">
        <v>3.1399999999999997E-2</v>
      </c>
      <c r="J67" s="36">
        <v>6</v>
      </c>
      <c r="K67" s="1">
        <f t="shared" si="0"/>
        <v>36.700319999999998</v>
      </c>
      <c r="L67" s="7"/>
      <c r="M67" s="1">
        <f t="shared" si="1"/>
        <v>218.6</v>
      </c>
      <c r="N67" s="1">
        <f t="shared" si="2"/>
        <v>23.8</v>
      </c>
      <c r="O67" s="1">
        <f t="shared" si="3"/>
        <v>491.75</v>
      </c>
      <c r="P67" s="1">
        <f t="shared" si="4"/>
        <v>296.95</v>
      </c>
      <c r="Q67" s="67">
        <f t="shared" si="5"/>
        <v>3.1399999999999997E-2</v>
      </c>
      <c r="R67" s="68"/>
      <c r="S67" s="69"/>
      <c r="T67" s="3">
        <f t="shared" si="6"/>
        <v>6.411529225144065</v>
      </c>
      <c r="U67" s="32">
        <v>4.9799859799310031</v>
      </c>
    </row>
    <row r="68" spans="2:21" x14ac:dyDescent="0.2">
      <c r="B68" s="139"/>
      <c r="C68" s="28"/>
      <c r="D68" s="18">
        <v>54</v>
      </c>
      <c r="E68" s="3">
        <v>218.6</v>
      </c>
      <c r="F68" s="1">
        <v>23.8</v>
      </c>
      <c r="G68" s="1">
        <v>493.75</v>
      </c>
      <c r="H68" s="1">
        <v>298.95</v>
      </c>
      <c r="I68" s="1">
        <v>3.1399999999999997E-2</v>
      </c>
      <c r="J68" s="36">
        <v>6</v>
      </c>
      <c r="K68" s="1">
        <f t="shared" si="0"/>
        <v>36.700319999999998</v>
      </c>
      <c r="L68" s="7"/>
      <c r="M68" s="1">
        <f t="shared" si="1"/>
        <v>218.6</v>
      </c>
      <c r="N68" s="1">
        <f t="shared" si="2"/>
        <v>23.8</v>
      </c>
      <c r="O68" s="1">
        <f t="shared" si="3"/>
        <v>491.75</v>
      </c>
      <c r="P68" s="1">
        <f t="shared" si="4"/>
        <v>296.95</v>
      </c>
      <c r="Q68" s="67">
        <f t="shared" si="5"/>
        <v>3.1399999999999997E-2</v>
      </c>
      <c r="R68" s="68"/>
      <c r="S68" s="69"/>
      <c r="T68" s="3">
        <f t="shared" si="6"/>
        <v>6.411529225144065</v>
      </c>
      <c r="U68" s="32">
        <v>4.9799859799310031</v>
      </c>
    </row>
    <row r="69" spans="2:21" ht="16" thickBot="1" x14ac:dyDescent="0.25">
      <c r="B69" s="140"/>
      <c r="C69" s="28" t="s">
        <v>161</v>
      </c>
      <c r="D69" s="18">
        <v>55</v>
      </c>
      <c r="E69" s="3">
        <v>81.599999999999994</v>
      </c>
      <c r="F69" s="1">
        <v>25.1</v>
      </c>
      <c r="G69" s="1">
        <v>356.75</v>
      </c>
      <c r="H69" s="1">
        <v>300.25</v>
      </c>
      <c r="I69" s="1">
        <v>0.28699999999999998</v>
      </c>
      <c r="J69" s="36">
        <v>6</v>
      </c>
      <c r="K69" s="1">
        <f t="shared" ref="K69:K116" si="7">J69*I69*(G69-H69)</f>
        <v>97.292999999999992</v>
      </c>
      <c r="L69" s="7"/>
      <c r="M69" s="1">
        <f t="shared" ref="M69:M116" si="8">E69</f>
        <v>81.599999999999994</v>
      </c>
      <c r="N69" s="1">
        <f t="shared" ref="N69:N116" si="9">F69</f>
        <v>25.1</v>
      </c>
      <c r="O69" s="1">
        <f t="shared" ref="O69:O116" si="10">M69+273.15</f>
        <v>354.75</v>
      </c>
      <c r="P69" s="1">
        <f t="shared" ref="P69:P116" si="11">N69+273.15</f>
        <v>298.25</v>
      </c>
      <c r="Q69" s="67">
        <f t="shared" ref="Q69:Q116" si="12">I69</f>
        <v>0.28699999999999998</v>
      </c>
      <c r="R69" s="68"/>
      <c r="S69" s="69"/>
      <c r="T69" s="3">
        <f t="shared" ref="T69:T116" si="13">$R$4*$S$4*I69*((G69^4)-(H69^4))</f>
        <v>9.1934295599638993</v>
      </c>
      <c r="U69" s="32">
        <v>2.7566221948883807</v>
      </c>
    </row>
    <row r="70" spans="2:21" x14ac:dyDescent="0.2">
      <c r="B70" s="135" t="s">
        <v>27</v>
      </c>
      <c r="C70" s="28" t="s">
        <v>162</v>
      </c>
      <c r="D70" s="18">
        <v>56</v>
      </c>
      <c r="E70" s="64">
        <v>136.1</v>
      </c>
      <c r="F70" s="65">
        <v>26.5</v>
      </c>
      <c r="G70" s="65">
        <v>411.25</v>
      </c>
      <c r="H70" s="65">
        <v>301.64999999999998</v>
      </c>
      <c r="I70" s="65">
        <v>0.13100000000000001</v>
      </c>
      <c r="J70" s="36">
        <v>6</v>
      </c>
      <c r="K70" s="65">
        <f t="shared" si="7"/>
        <v>86.145600000000016</v>
      </c>
      <c r="L70" s="7"/>
      <c r="M70" s="65">
        <f t="shared" si="8"/>
        <v>136.1</v>
      </c>
      <c r="N70" s="65">
        <f t="shared" si="9"/>
        <v>26.5</v>
      </c>
      <c r="O70" s="65">
        <f t="shared" si="10"/>
        <v>409.25</v>
      </c>
      <c r="P70" s="65">
        <f t="shared" si="11"/>
        <v>299.64999999999998</v>
      </c>
      <c r="Q70" s="70">
        <f t="shared" si="12"/>
        <v>0.13100000000000001</v>
      </c>
      <c r="R70" s="68"/>
      <c r="S70" s="69"/>
      <c r="T70" s="64">
        <f t="shared" si="13"/>
        <v>10.567301898219986</v>
      </c>
      <c r="U70" s="32">
        <v>3.5494178008762711</v>
      </c>
    </row>
    <row r="71" spans="2:21" x14ac:dyDescent="0.2">
      <c r="B71" s="136"/>
      <c r="C71" s="28" t="s">
        <v>163</v>
      </c>
      <c r="D71" s="18">
        <v>57</v>
      </c>
      <c r="E71" s="64">
        <v>75.3</v>
      </c>
      <c r="F71" s="65">
        <v>26.4</v>
      </c>
      <c r="G71" s="65">
        <v>350.45</v>
      </c>
      <c r="H71" s="65">
        <v>301.54999999999995</v>
      </c>
      <c r="I71" s="65">
        <v>0.13100000000000001</v>
      </c>
      <c r="J71" s="36">
        <v>6</v>
      </c>
      <c r="K71" s="65">
        <f t="shared" si="7"/>
        <v>38.43540000000003</v>
      </c>
      <c r="L71" s="7"/>
      <c r="M71" s="65">
        <f t="shared" si="8"/>
        <v>75.3</v>
      </c>
      <c r="N71" s="65">
        <f t="shared" si="9"/>
        <v>26.4</v>
      </c>
      <c r="O71" s="65">
        <f t="shared" si="10"/>
        <v>348.45</v>
      </c>
      <c r="P71" s="65">
        <f t="shared" si="11"/>
        <v>299.54999999999995</v>
      </c>
      <c r="Q71" s="70">
        <f t="shared" si="12"/>
        <v>0.13100000000000001</v>
      </c>
      <c r="R71" s="68"/>
      <c r="S71" s="69"/>
      <c r="T71" s="64">
        <f t="shared" si="13"/>
        <v>3.543317805960299</v>
      </c>
      <c r="U71" s="32">
        <v>2.6912367770633767</v>
      </c>
    </row>
    <row r="72" spans="2:21" x14ac:dyDescent="0.2">
      <c r="B72" s="136"/>
      <c r="C72" s="28" t="s">
        <v>164</v>
      </c>
      <c r="D72" s="18">
        <v>58</v>
      </c>
      <c r="E72" s="64">
        <v>145.69999999999999</v>
      </c>
      <c r="F72" s="65">
        <v>26.6</v>
      </c>
      <c r="G72" s="65">
        <v>420.84999999999997</v>
      </c>
      <c r="H72" s="65">
        <v>301.75</v>
      </c>
      <c r="I72" s="65">
        <v>0.13100000000000001</v>
      </c>
      <c r="J72" s="36">
        <v>6</v>
      </c>
      <c r="K72" s="65">
        <f t="shared" si="7"/>
        <v>93.612599999999972</v>
      </c>
      <c r="L72" s="7"/>
      <c r="M72" s="65">
        <f t="shared" si="8"/>
        <v>145.69999999999999</v>
      </c>
      <c r="N72" s="65">
        <f t="shared" si="9"/>
        <v>26.6</v>
      </c>
      <c r="O72" s="65">
        <f t="shared" si="10"/>
        <v>418.84999999999997</v>
      </c>
      <c r="P72" s="65">
        <f t="shared" si="11"/>
        <v>299.75</v>
      </c>
      <c r="Q72" s="70">
        <f t="shared" si="12"/>
        <v>0.13100000000000001</v>
      </c>
      <c r="R72" s="68"/>
      <c r="S72" s="69"/>
      <c r="T72" s="64">
        <f t="shared" si="13"/>
        <v>11.999653845675134</v>
      </c>
      <c r="U72" s="32">
        <v>3.7031207881039805</v>
      </c>
    </row>
    <row r="73" spans="2:21" x14ac:dyDescent="0.2">
      <c r="B73" s="136"/>
      <c r="C73" s="28" t="s">
        <v>165</v>
      </c>
      <c r="D73" s="18">
        <v>59</v>
      </c>
      <c r="E73" s="64">
        <v>68.7</v>
      </c>
      <c r="F73" s="65">
        <v>26.5</v>
      </c>
      <c r="G73" s="65">
        <v>343.84999999999997</v>
      </c>
      <c r="H73" s="65">
        <v>301.64999999999998</v>
      </c>
      <c r="I73" s="65">
        <v>0.13100000000000001</v>
      </c>
      <c r="J73" s="36">
        <v>6</v>
      </c>
      <c r="K73" s="65">
        <f t="shared" si="7"/>
        <v>33.169199999999989</v>
      </c>
      <c r="L73" s="7"/>
      <c r="M73" s="65">
        <f t="shared" si="8"/>
        <v>68.7</v>
      </c>
      <c r="N73" s="65">
        <f t="shared" si="9"/>
        <v>26.5</v>
      </c>
      <c r="O73" s="65">
        <f t="shared" si="10"/>
        <v>341.84999999999997</v>
      </c>
      <c r="P73" s="65">
        <f t="shared" si="11"/>
        <v>299.64999999999998</v>
      </c>
      <c r="Q73" s="70">
        <f t="shared" si="12"/>
        <v>0.13100000000000001</v>
      </c>
      <c r="R73" s="68"/>
      <c r="S73" s="69"/>
      <c r="T73" s="64">
        <f t="shared" si="13"/>
        <v>2.9633012207334684</v>
      </c>
      <c r="U73" s="32">
        <v>2.6102102215676397</v>
      </c>
    </row>
    <row r="74" spans="2:21" x14ac:dyDescent="0.2">
      <c r="B74" s="136"/>
      <c r="C74" s="28"/>
      <c r="D74" s="18">
        <v>60</v>
      </c>
      <c r="E74" s="64">
        <v>92.2</v>
      </c>
      <c r="F74" s="65">
        <v>26.5</v>
      </c>
      <c r="G74" s="65">
        <v>367.34999999999997</v>
      </c>
      <c r="H74" s="65">
        <v>301.64999999999998</v>
      </c>
      <c r="I74" s="65">
        <v>0.13100000000000001</v>
      </c>
      <c r="J74" s="36">
        <v>6</v>
      </c>
      <c r="K74" s="65">
        <f t="shared" si="7"/>
        <v>51.640199999999993</v>
      </c>
      <c r="L74" s="7"/>
      <c r="M74" s="65">
        <f t="shared" si="8"/>
        <v>92.2</v>
      </c>
      <c r="N74" s="65">
        <f t="shared" si="9"/>
        <v>26.5</v>
      </c>
      <c r="O74" s="65">
        <f t="shared" si="10"/>
        <v>365.34999999999997</v>
      </c>
      <c r="P74" s="65">
        <f t="shared" si="11"/>
        <v>299.64999999999998</v>
      </c>
      <c r="Q74" s="70">
        <f t="shared" si="12"/>
        <v>0.13100000000000001</v>
      </c>
      <c r="R74" s="68"/>
      <c r="S74" s="69"/>
      <c r="T74" s="64">
        <f t="shared" si="13"/>
        <v>5.1633860131565372</v>
      </c>
      <c r="U74" s="32">
        <v>2.9122741904234184</v>
      </c>
    </row>
    <row r="75" spans="2:21" x14ac:dyDescent="0.2">
      <c r="B75" s="136"/>
      <c r="C75" s="28" t="s">
        <v>166</v>
      </c>
      <c r="D75" s="18">
        <v>61</v>
      </c>
      <c r="E75" s="64">
        <v>58.6</v>
      </c>
      <c r="F75" s="65">
        <v>26.8</v>
      </c>
      <c r="G75" s="65">
        <v>333.75</v>
      </c>
      <c r="H75" s="65">
        <v>301.95</v>
      </c>
      <c r="I75" s="65">
        <v>0.13100000000000001</v>
      </c>
      <c r="J75" s="36">
        <v>6</v>
      </c>
      <c r="K75" s="65">
        <f t="shared" si="7"/>
        <v>24.994800000000009</v>
      </c>
      <c r="L75" s="7"/>
      <c r="M75" s="65">
        <f t="shared" si="8"/>
        <v>58.6</v>
      </c>
      <c r="N75" s="65">
        <f t="shared" si="9"/>
        <v>26.8</v>
      </c>
      <c r="O75" s="65">
        <f t="shared" si="10"/>
        <v>331.75</v>
      </c>
      <c r="P75" s="65">
        <f t="shared" si="11"/>
        <v>299.95</v>
      </c>
      <c r="Q75" s="70">
        <f t="shared" si="12"/>
        <v>0.13100000000000001</v>
      </c>
      <c r="R75" s="68"/>
      <c r="S75" s="69"/>
      <c r="T75" s="64">
        <f t="shared" si="13"/>
        <v>2.1290779242864271</v>
      </c>
      <c r="U75" s="32">
        <v>2.4917502283431929</v>
      </c>
    </row>
    <row r="76" spans="2:21" ht="15" customHeight="1" x14ac:dyDescent="0.2">
      <c r="B76" s="136"/>
      <c r="C76" s="28"/>
      <c r="D76" s="18">
        <v>62</v>
      </c>
      <c r="E76" s="64">
        <v>81.900000000000006</v>
      </c>
      <c r="F76" s="65">
        <v>26.8</v>
      </c>
      <c r="G76" s="65">
        <v>357.04999999999995</v>
      </c>
      <c r="H76" s="65">
        <v>301.95</v>
      </c>
      <c r="I76" s="65">
        <v>0.13100000000000001</v>
      </c>
      <c r="J76" s="36">
        <v>6</v>
      </c>
      <c r="K76" s="65">
        <f t="shared" si="7"/>
        <v>43.308599999999977</v>
      </c>
      <c r="L76" s="7"/>
      <c r="M76" s="65">
        <f t="shared" si="8"/>
        <v>81.900000000000006</v>
      </c>
      <c r="N76" s="65">
        <f t="shared" si="9"/>
        <v>26.8</v>
      </c>
      <c r="O76" s="65">
        <f t="shared" si="10"/>
        <v>355.04999999999995</v>
      </c>
      <c r="P76" s="65">
        <f t="shared" si="11"/>
        <v>299.95</v>
      </c>
      <c r="Q76" s="70">
        <f t="shared" si="12"/>
        <v>0.13100000000000001</v>
      </c>
      <c r="R76" s="68"/>
      <c r="S76" s="69"/>
      <c r="T76" s="64">
        <f t="shared" si="13"/>
        <v>4.1281529758726752</v>
      </c>
      <c r="U76" s="32">
        <v>2.7800853411090758</v>
      </c>
    </row>
    <row r="77" spans="2:21" x14ac:dyDescent="0.2">
      <c r="B77" s="136"/>
      <c r="C77" s="28" t="s">
        <v>167</v>
      </c>
      <c r="D77" s="18">
        <v>63</v>
      </c>
      <c r="E77" s="64">
        <v>120.1</v>
      </c>
      <c r="F77" s="65">
        <v>26.7</v>
      </c>
      <c r="G77" s="65">
        <v>395.25</v>
      </c>
      <c r="H77" s="65">
        <v>301.84999999999997</v>
      </c>
      <c r="I77" s="65">
        <v>0.13100000000000001</v>
      </c>
      <c r="J77" s="36">
        <v>6</v>
      </c>
      <c r="K77" s="65">
        <f t="shared" si="7"/>
        <v>73.412400000000034</v>
      </c>
      <c r="L77" s="7"/>
      <c r="M77" s="65">
        <f t="shared" si="8"/>
        <v>120.1</v>
      </c>
      <c r="N77" s="65">
        <f t="shared" si="9"/>
        <v>26.7</v>
      </c>
      <c r="O77" s="65">
        <f t="shared" si="10"/>
        <v>393.25</v>
      </c>
      <c r="P77" s="65">
        <f t="shared" si="11"/>
        <v>299.84999999999997</v>
      </c>
      <c r="Q77" s="70">
        <f t="shared" si="12"/>
        <v>0.13100000000000001</v>
      </c>
      <c r="R77" s="68"/>
      <c r="S77" s="69"/>
      <c r="T77" s="64">
        <f t="shared" si="13"/>
        <v>8.37301096885977</v>
      </c>
      <c r="U77" s="32">
        <v>3.308431137052009</v>
      </c>
    </row>
    <row r="78" spans="2:21" x14ac:dyDescent="0.2">
      <c r="B78" s="136"/>
      <c r="C78" s="28"/>
      <c r="D78" s="18">
        <v>64</v>
      </c>
      <c r="E78" s="64">
        <v>274</v>
      </c>
      <c r="F78" s="65">
        <v>26.7</v>
      </c>
      <c r="G78" s="65">
        <v>549.15</v>
      </c>
      <c r="H78" s="65">
        <v>301.84999999999997</v>
      </c>
      <c r="I78" s="65">
        <v>0.13100000000000001</v>
      </c>
      <c r="J78" s="36">
        <v>6</v>
      </c>
      <c r="K78" s="65">
        <f t="shared" si="7"/>
        <v>194.37780000000001</v>
      </c>
      <c r="L78" s="7"/>
      <c r="M78" s="65">
        <f t="shared" si="8"/>
        <v>274</v>
      </c>
      <c r="N78" s="65">
        <f t="shared" si="9"/>
        <v>26.7</v>
      </c>
      <c r="O78" s="65">
        <f t="shared" si="10"/>
        <v>547.15</v>
      </c>
      <c r="P78" s="65">
        <f t="shared" si="11"/>
        <v>299.84999999999997</v>
      </c>
      <c r="Q78" s="70">
        <f t="shared" si="12"/>
        <v>0.13100000000000001</v>
      </c>
      <c r="R78" s="68"/>
      <c r="S78" s="69"/>
      <c r="T78" s="64">
        <f t="shared" si="13"/>
        <v>42.967878144204548</v>
      </c>
      <c r="U78" s="32">
        <v>6.2191719312406795</v>
      </c>
    </row>
    <row r="79" spans="2:21" x14ac:dyDescent="0.2">
      <c r="B79" s="136"/>
      <c r="C79" s="28"/>
      <c r="D79" s="18">
        <v>65</v>
      </c>
      <c r="E79" s="64">
        <v>84.9</v>
      </c>
      <c r="F79" s="65">
        <v>26.7</v>
      </c>
      <c r="G79" s="65">
        <v>360.04999999999995</v>
      </c>
      <c r="H79" s="65">
        <v>301.84999999999997</v>
      </c>
      <c r="I79" s="65">
        <v>0.13100000000000001</v>
      </c>
      <c r="J79" s="36">
        <v>6</v>
      </c>
      <c r="K79" s="65">
        <f t="shared" si="7"/>
        <v>45.74519999999999</v>
      </c>
      <c r="L79" s="7"/>
      <c r="M79" s="65">
        <f t="shared" si="8"/>
        <v>84.9</v>
      </c>
      <c r="N79" s="65">
        <f t="shared" si="9"/>
        <v>26.7</v>
      </c>
      <c r="O79" s="65">
        <f t="shared" si="10"/>
        <v>358.04999999999995</v>
      </c>
      <c r="P79" s="65">
        <f t="shared" si="11"/>
        <v>299.84999999999997</v>
      </c>
      <c r="Q79" s="70">
        <f t="shared" si="12"/>
        <v>0.13100000000000001</v>
      </c>
      <c r="R79" s="68"/>
      <c r="S79" s="69"/>
      <c r="T79" s="64">
        <f t="shared" si="13"/>
        <v>4.4214767058681215</v>
      </c>
      <c r="U79" s="32">
        <v>2.8179237581085421</v>
      </c>
    </row>
    <row r="80" spans="2:21" x14ac:dyDescent="0.2">
      <c r="B80" s="136"/>
      <c r="C80" s="28" t="s">
        <v>168</v>
      </c>
      <c r="D80" s="18">
        <v>66</v>
      </c>
      <c r="E80" s="64">
        <v>130</v>
      </c>
      <c r="F80" s="65">
        <v>26.6</v>
      </c>
      <c r="G80" s="65">
        <v>405.15</v>
      </c>
      <c r="H80" s="65">
        <v>301.75</v>
      </c>
      <c r="I80" s="65">
        <v>0.13100000000000001</v>
      </c>
      <c r="J80" s="36">
        <v>6</v>
      </c>
      <c r="K80" s="65">
        <f t="shared" si="7"/>
        <v>81.27239999999999</v>
      </c>
      <c r="L80" s="7"/>
      <c r="M80" s="65">
        <f t="shared" si="8"/>
        <v>130</v>
      </c>
      <c r="N80" s="65">
        <f t="shared" si="9"/>
        <v>26.6</v>
      </c>
      <c r="O80" s="65">
        <f t="shared" si="10"/>
        <v>403.15</v>
      </c>
      <c r="P80" s="65">
        <f t="shared" si="11"/>
        <v>299.75</v>
      </c>
      <c r="Q80" s="70">
        <f t="shared" si="12"/>
        <v>0.13100000000000001</v>
      </c>
      <c r="R80" s="68"/>
      <c r="S80" s="69"/>
      <c r="T80" s="64">
        <f t="shared" si="13"/>
        <v>9.6986408836111782</v>
      </c>
      <c r="U80" s="32">
        <v>3.4563119579318657</v>
      </c>
    </row>
    <row r="81" spans="2:21" x14ac:dyDescent="0.2">
      <c r="B81" s="136"/>
      <c r="C81" s="28"/>
      <c r="D81" s="18">
        <v>67</v>
      </c>
      <c r="E81" s="64">
        <v>123</v>
      </c>
      <c r="F81" s="65">
        <v>26.6</v>
      </c>
      <c r="G81" s="65">
        <v>398.15</v>
      </c>
      <c r="H81" s="65">
        <v>301.75</v>
      </c>
      <c r="I81" s="65">
        <v>0.13100000000000001</v>
      </c>
      <c r="J81" s="36">
        <v>6</v>
      </c>
      <c r="K81" s="65">
        <f t="shared" si="7"/>
        <v>75.770399999999981</v>
      </c>
      <c r="L81" s="7"/>
      <c r="M81" s="65">
        <f t="shared" si="8"/>
        <v>123</v>
      </c>
      <c r="N81" s="65">
        <f t="shared" si="9"/>
        <v>26.6</v>
      </c>
      <c r="O81" s="65">
        <f t="shared" si="10"/>
        <v>396.15</v>
      </c>
      <c r="P81" s="65">
        <f t="shared" si="11"/>
        <v>299.75</v>
      </c>
      <c r="Q81" s="70">
        <f t="shared" si="12"/>
        <v>0.13100000000000001</v>
      </c>
      <c r="R81" s="68"/>
      <c r="S81" s="69"/>
      <c r="T81" s="64">
        <f t="shared" si="13"/>
        <v>8.7552607711192696</v>
      </c>
      <c r="U81" s="32">
        <v>3.3503564685684797</v>
      </c>
    </row>
    <row r="82" spans="2:21" x14ac:dyDescent="0.2">
      <c r="B82" s="136"/>
      <c r="C82" s="28"/>
      <c r="D82" s="18">
        <v>68</v>
      </c>
      <c r="E82" s="64">
        <v>111.9</v>
      </c>
      <c r="F82" s="65">
        <v>26.6</v>
      </c>
      <c r="G82" s="65">
        <v>387.04999999999995</v>
      </c>
      <c r="H82" s="65">
        <v>301.75</v>
      </c>
      <c r="I82" s="65">
        <v>0.13100000000000001</v>
      </c>
      <c r="J82" s="36">
        <v>6</v>
      </c>
      <c r="K82" s="65">
        <f t="shared" si="7"/>
        <v>67.045799999999971</v>
      </c>
      <c r="L82" s="7"/>
      <c r="M82" s="65">
        <f t="shared" si="8"/>
        <v>111.9</v>
      </c>
      <c r="N82" s="65">
        <f t="shared" si="9"/>
        <v>26.6</v>
      </c>
      <c r="O82" s="65">
        <f t="shared" si="10"/>
        <v>385.04999999999995</v>
      </c>
      <c r="P82" s="65">
        <f t="shared" si="11"/>
        <v>299.75</v>
      </c>
      <c r="Q82" s="70">
        <f t="shared" si="12"/>
        <v>0.13100000000000001</v>
      </c>
      <c r="R82" s="68"/>
      <c r="S82" s="69"/>
      <c r="T82" s="64">
        <f t="shared" si="13"/>
        <v>7.3580142666639841</v>
      </c>
      <c r="U82" s="32">
        <v>3.1874399212986448</v>
      </c>
    </row>
    <row r="83" spans="2:21" x14ac:dyDescent="0.2">
      <c r="B83" s="136"/>
      <c r="C83" s="28"/>
      <c r="D83" s="18">
        <v>69</v>
      </c>
      <c r="E83" s="64">
        <v>142.9</v>
      </c>
      <c r="F83" s="65">
        <v>26.6</v>
      </c>
      <c r="G83" s="65">
        <v>418.04999999999995</v>
      </c>
      <c r="H83" s="65">
        <v>301.75</v>
      </c>
      <c r="I83" s="65">
        <v>0.13100000000000001</v>
      </c>
      <c r="J83" s="36">
        <v>6</v>
      </c>
      <c r="K83" s="65">
        <f t="shared" si="7"/>
        <v>91.411799999999971</v>
      </c>
      <c r="L83" s="7"/>
      <c r="M83" s="65">
        <f t="shared" si="8"/>
        <v>142.9</v>
      </c>
      <c r="N83" s="65">
        <f t="shared" si="9"/>
        <v>26.6</v>
      </c>
      <c r="O83" s="65">
        <f t="shared" si="10"/>
        <v>416.04999999999995</v>
      </c>
      <c r="P83" s="65">
        <f t="shared" si="11"/>
        <v>299.75</v>
      </c>
      <c r="Q83" s="70">
        <f t="shared" si="12"/>
        <v>0.13100000000000001</v>
      </c>
      <c r="R83" s="68"/>
      <c r="S83" s="69"/>
      <c r="T83" s="64">
        <f t="shared" si="13"/>
        <v>11.569903879119341</v>
      </c>
      <c r="U83" s="32">
        <v>3.6581679910529514</v>
      </c>
    </row>
    <row r="84" spans="2:21" x14ac:dyDescent="0.2">
      <c r="B84" s="136"/>
      <c r="C84" s="28" t="s">
        <v>169</v>
      </c>
      <c r="D84" s="18">
        <v>70</v>
      </c>
      <c r="E84" s="64">
        <v>85.3</v>
      </c>
      <c r="F84" s="65">
        <v>24.5</v>
      </c>
      <c r="G84" s="65">
        <v>360.45</v>
      </c>
      <c r="H84" s="65">
        <v>299.64999999999998</v>
      </c>
      <c r="I84" s="65">
        <v>0.13100000000000001</v>
      </c>
      <c r="J84" s="36">
        <v>6</v>
      </c>
      <c r="K84" s="65">
        <f t="shared" si="7"/>
        <v>47.788800000000009</v>
      </c>
      <c r="L84" s="7"/>
      <c r="M84" s="65">
        <f t="shared" si="8"/>
        <v>85.3</v>
      </c>
      <c r="N84" s="65">
        <f t="shared" si="9"/>
        <v>24.5</v>
      </c>
      <c r="O84" s="65">
        <f t="shared" si="10"/>
        <v>358.45</v>
      </c>
      <c r="P84" s="65">
        <f t="shared" si="11"/>
        <v>297.64999999999998</v>
      </c>
      <c r="Q84" s="70">
        <f t="shared" si="12"/>
        <v>0.13100000000000001</v>
      </c>
      <c r="R84" s="68"/>
      <c r="S84" s="69"/>
      <c r="T84" s="64">
        <f t="shared" si="13"/>
        <v>4.5848388943118206</v>
      </c>
      <c r="U84" s="32">
        <v>2.7976662343476417</v>
      </c>
    </row>
    <row r="85" spans="2:21" x14ac:dyDescent="0.2">
      <c r="B85" s="136"/>
      <c r="C85" s="28" t="s">
        <v>170</v>
      </c>
      <c r="D85" s="18">
        <v>71</v>
      </c>
      <c r="E85" s="64">
        <v>89.8</v>
      </c>
      <c r="F85" s="65">
        <v>26.5</v>
      </c>
      <c r="G85" s="65">
        <v>364.95</v>
      </c>
      <c r="H85" s="65">
        <v>301.64999999999998</v>
      </c>
      <c r="I85" s="65">
        <v>0.13100000000000001</v>
      </c>
      <c r="J85" s="36">
        <v>6</v>
      </c>
      <c r="K85" s="65">
        <f t="shared" si="7"/>
        <v>49.753800000000012</v>
      </c>
      <c r="L85" s="7"/>
      <c r="M85" s="65">
        <f t="shared" si="8"/>
        <v>89.8</v>
      </c>
      <c r="N85" s="65">
        <f t="shared" si="9"/>
        <v>26.5</v>
      </c>
      <c r="O85" s="65">
        <f t="shared" si="10"/>
        <v>362.95</v>
      </c>
      <c r="P85" s="65">
        <f t="shared" si="11"/>
        <v>299.64999999999998</v>
      </c>
      <c r="Q85" s="70">
        <f t="shared" si="12"/>
        <v>0.13100000000000001</v>
      </c>
      <c r="R85" s="68"/>
      <c r="S85" s="69"/>
      <c r="T85" s="64">
        <f t="shared" si="13"/>
        <v>4.9183638285191975</v>
      </c>
      <c r="U85" s="32">
        <v>2.880205048787694</v>
      </c>
    </row>
    <row r="86" spans="2:21" x14ac:dyDescent="0.2">
      <c r="B86" s="136"/>
      <c r="C86" s="28"/>
      <c r="D86" s="18">
        <v>72</v>
      </c>
      <c r="E86" s="64">
        <v>84.6</v>
      </c>
      <c r="F86" s="65">
        <v>26.5</v>
      </c>
      <c r="G86" s="65">
        <v>359.75</v>
      </c>
      <c r="H86" s="65">
        <v>301.64999999999998</v>
      </c>
      <c r="I86" s="65">
        <v>0.13100000000000001</v>
      </c>
      <c r="J86" s="36">
        <v>6</v>
      </c>
      <c r="K86" s="65">
        <f t="shared" si="7"/>
        <v>45.666600000000017</v>
      </c>
      <c r="L86" s="7"/>
      <c r="M86" s="65">
        <f t="shared" si="8"/>
        <v>84.6</v>
      </c>
      <c r="N86" s="65">
        <f t="shared" si="9"/>
        <v>26.5</v>
      </c>
      <c r="O86" s="65">
        <f t="shared" si="10"/>
        <v>357.75</v>
      </c>
      <c r="P86" s="65">
        <f t="shared" si="11"/>
        <v>299.64999999999998</v>
      </c>
      <c r="Q86" s="70">
        <f t="shared" si="12"/>
        <v>0.13100000000000001</v>
      </c>
      <c r="R86" s="68"/>
      <c r="S86" s="69"/>
      <c r="T86" s="64">
        <f t="shared" si="13"/>
        <v>4.4038193928629861</v>
      </c>
      <c r="U86" s="32">
        <v>2.8116816307386254</v>
      </c>
    </row>
    <row r="87" spans="2:21" x14ac:dyDescent="0.2">
      <c r="B87" s="136"/>
      <c r="C87" s="28"/>
      <c r="D87" s="18">
        <v>73</v>
      </c>
      <c r="E87" s="64">
        <v>99.9</v>
      </c>
      <c r="F87" s="65">
        <v>26.5</v>
      </c>
      <c r="G87" s="65">
        <v>375.04999999999995</v>
      </c>
      <c r="H87" s="65">
        <v>301.64999999999998</v>
      </c>
      <c r="I87" s="65">
        <v>0.13100000000000001</v>
      </c>
      <c r="J87" s="36">
        <v>6</v>
      </c>
      <c r="K87" s="65">
        <f t="shared" si="7"/>
        <v>57.692399999999985</v>
      </c>
      <c r="L87" s="7"/>
      <c r="M87" s="65">
        <f t="shared" si="8"/>
        <v>99.9</v>
      </c>
      <c r="N87" s="65">
        <f t="shared" si="9"/>
        <v>26.5</v>
      </c>
      <c r="O87" s="65">
        <f t="shared" si="10"/>
        <v>373.04999999999995</v>
      </c>
      <c r="P87" s="65">
        <f t="shared" si="11"/>
        <v>299.64999999999998</v>
      </c>
      <c r="Q87" s="70">
        <f t="shared" si="12"/>
        <v>0.13100000000000001</v>
      </c>
      <c r="R87" s="68"/>
      <c r="S87" s="69"/>
      <c r="T87" s="64">
        <f t="shared" si="13"/>
        <v>5.9825554299244992</v>
      </c>
      <c r="U87" s="32">
        <v>3.0170652439564751</v>
      </c>
    </row>
    <row r="88" spans="2:21" x14ac:dyDescent="0.2">
      <c r="B88" s="136"/>
      <c r="C88" s="28"/>
      <c r="D88" s="18">
        <v>74</v>
      </c>
      <c r="E88" s="64">
        <v>75.8</v>
      </c>
      <c r="F88" s="65">
        <v>26.5</v>
      </c>
      <c r="G88" s="65">
        <v>350.95</v>
      </c>
      <c r="H88" s="65">
        <v>301.64999999999998</v>
      </c>
      <c r="I88" s="65">
        <v>0.13100000000000001</v>
      </c>
      <c r="J88" s="36">
        <v>6</v>
      </c>
      <c r="K88" s="65">
        <f t="shared" si="7"/>
        <v>38.749800000000008</v>
      </c>
      <c r="L88" s="7"/>
      <c r="M88" s="65">
        <f t="shared" si="8"/>
        <v>75.8</v>
      </c>
      <c r="N88" s="65">
        <f t="shared" si="9"/>
        <v>26.5</v>
      </c>
      <c r="O88" s="65">
        <f t="shared" si="10"/>
        <v>348.95</v>
      </c>
      <c r="P88" s="65">
        <f t="shared" si="11"/>
        <v>299.64999999999998</v>
      </c>
      <c r="Q88" s="70">
        <f t="shared" si="12"/>
        <v>0.13100000000000001</v>
      </c>
      <c r="R88" s="68"/>
      <c r="S88" s="69"/>
      <c r="T88" s="64">
        <f t="shared" si="13"/>
        <v>3.5824649751488686</v>
      </c>
      <c r="U88" s="32">
        <v>2.698686554168082</v>
      </c>
    </row>
    <row r="89" spans="2:21" ht="16" thickBot="1" x14ac:dyDescent="0.25">
      <c r="B89" s="137"/>
      <c r="C89" s="28"/>
      <c r="D89" s="18">
        <v>75</v>
      </c>
      <c r="E89" s="64">
        <v>95.2</v>
      </c>
      <c r="F89" s="65">
        <v>26.5</v>
      </c>
      <c r="G89" s="65">
        <v>370.34999999999997</v>
      </c>
      <c r="H89" s="65">
        <v>301.64999999999998</v>
      </c>
      <c r="I89" s="65">
        <v>0.13100000000000001</v>
      </c>
      <c r="J89" s="36">
        <v>6</v>
      </c>
      <c r="K89" s="65">
        <f t="shared" si="7"/>
        <v>53.99819999999999</v>
      </c>
      <c r="L89" s="7"/>
      <c r="M89" s="65">
        <f t="shared" si="8"/>
        <v>95.2</v>
      </c>
      <c r="N89" s="65">
        <f t="shared" si="9"/>
        <v>26.5</v>
      </c>
      <c r="O89" s="65">
        <f t="shared" si="10"/>
        <v>368.34999999999997</v>
      </c>
      <c r="P89" s="65">
        <f t="shared" si="11"/>
        <v>299.64999999999998</v>
      </c>
      <c r="Q89" s="70">
        <f t="shared" si="12"/>
        <v>0.13100000000000001</v>
      </c>
      <c r="R89" s="68"/>
      <c r="S89" s="69"/>
      <c r="T89" s="64">
        <f t="shared" si="13"/>
        <v>5.4764911453345979</v>
      </c>
      <c r="U89" s="32">
        <v>2.9527560484234781</v>
      </c>
    </row>
    <row r="90" spans="2:21" x14ac:dyDescent="0.2">
      <c r="B90" s="135" t="s">
        <v>28</v>
      </c>
      <c r="C90" s="28" t="s">
        <v>171</v>
      </c>
      <c r="D90" s="18">
        <v>76</v>
      </c>
      <c r="E90" s="3">
        <v>137.30000000000001</v>
      </c>
      <c r="F90" s="1">
        <v>26.5</v>
      </c>
      <c r="G90" s="1">
        <v>412.45</v>
      </c>
      <c r="H90" s="1">
        <v>301.64999999999998</v>
      </c>
      <c r="I90" s="1">
        <v>0.2</v>
      </c>
      <c r="J90" s="36">
        <v>6</v>
      </c>
      <c r="K90" s="1">
        <f t="shared" si="7"/>
        <v>132.96000000000004</v>
      </c>
      <c r="L90" s="7"/>
      <c r="M90" s="1">
        <f t="shared" si="8"/>
        <v>137.30000000000001</v>
      </c>
      <c r="N90" s="1">
        <f t="shared" si="9"/>
        <v>26.5</v>
      </c>
      <c r="O90" s="1">
        <f t="shared" si="10"/>
        <v>410.45</v>
      </c>
      <c r="P90" s="1">
        <f t="shared" si="11"/>
        <v>299.64999999999998</v>
      </c>
      <c r="Q90" s="67">
        <f t="shared" si="12"/>
        <v>0.2</v>
      </c>
      <c r="R90" s="68"/>
      <c r="S90" s="69"/>
      <c r="T90" s="3">
        <f t="shared" si="13"/>
        <v>16.399462303219202</v>
      </c>
      <c r="U90" s="32">
        <v>3.5682074606953544</v>
      </c>
    </row>
    <row r="91" spans="2:21" x14ac:dyDescent="0.2">
      <c r="B91" s="136"/>
      <c r="C91" s="28"/>
      <c r="D91" s="18">
        <v>77</v>
      </c>
      <c r="E91" s="3">
        <v>284</v>
      </c>
      <c r="F91" s="1">
        <v>26.5</v>
      </c>
      <c r="G91" s="1">
        <v>559.15</v>
      </c>
      <c r="H91" s="1">
        <v>301.64999999999998</v>
      </c>
      <c r="I91" s="1">
        <v>0.05</v>
      </c>
      <c r="J91" s="36">
        <v>6</v>
      </c>
      <c r="K91" s="1">
        <f t="shared" si="7"/>
        <v>77.250000000000014</v>
      </c>
      <c r="L91" s="7"/>
      <c r="M91" s="1">
        <f t="shared" si="8"/>
        <v>284</v>
      </c>
      <c r="N91" s="1">
        <f t="shared" si="9"/>
        <v>26.5</v>
      </c>
      <c r="O91" s="1">
        <f t="shared" si="10"/>
        <v>557.15</v>
      </c>
      <c r="P91" s="1">
        <f t="shared" si="11"/>
        <v>299.64999999999998</v>
      </c>
      <c r="Q91" s="67">
        <f t="shared" si="12"/>
        <v>0.05</v>
      </c>
      <c r="R91" s="68"/>
      <c r="S91" s="69"/>
      <c r="T91" s="3">
        <f t="shared" si="13"/>
        <v>17.755231826977969</v>
      </c>
      <c r="U91" s="32">
        <v>6.4504611625833466</v>
      </c>
    </row>
    <row r="92" spans="2:21" x14ac:dyDescent="0.2">
      <c r="B92" s="136"/>
      <c r="C92" s="28"/>
      <c r="D92" s="18">
        <v>78</v>
      </c>
      <c r="E92" s="3">
        <v>109.4</v>
      </c>
      <c r="F92" s="1">
        <v>26.5</v>
      </c>
      <c r="G92" s="1">
        <v>384.54999999999995</v>
      </c>
      <c r="H92" s="1">
        <v>301.64999999999998</v>
      </c>
      <c r="I92" s="1">
        <v>0.05</v>
      </c>
      <c r="J92" s="36">
        <v>6</v>
      </c>
      <c r="K92" s="1">
        <f t="shared" si="7"/>
        <v>24.869999999999997</v>
      </c>
      <c r="L92" s="7"/>
      <c r="M92" s="1">
        <f t="shared" si="8"/>
        <v>109.4</v>
      </c>
      <c r="N92" s="1">
        <f t="shared" si="9"/>
        <v>26.5</v>
      </c>
      <c r="O92" s="1">
        <f t="shared" si="10"/>
        <v>382.54999999999995</v>
      </c>
      <c r="P92" s="1">
        <f t="shared" si="11"/>
        <v>299.64999999999998</v>
      </c>
      <c r="Q92" s="67">
        <f t="shared" si="12"/>
        <v>0.05</v>
      </c>
      <c r="R92" s="68"/>
      <c r="S92" s="69"/>
      <c r="T92" s="3">
        <f t="shared" si="13"/>
        <v>2.696624946611359</v>
      </c>
      <c r="U92" s="32">
        <v>3.1503870021666254</v>
      </c>
    </row>
    <row r="93" spans="2:21" x14ac:dyDescent="0.2">
      <c r="B93" s="136"/>
      <c r="C93" s="28"/>
      <c r="D93" s="18">
        <v>79</v>
      </c>
      <c r="E93" s="3">
        <v>117.8</v>
      </c>
      <c r="F93" s="1">
        <v>26.5</v>
      </c>
      <c r="G93" s="1">
        <v>392.95</v>
      </c>
      <c r="H93" s="1">
        <v>301.64999999999998</v>
      </c>
      <c r="I93" s="1">
        <v>0.05</v>
      </c>
      <c r="J93" s="36">
        <v>6</v>
      </c>
      <c r="K93" s="1">
        <f t="shared" si="7"/>
        <v>27.390000000000008</v>
      </c>
      <c r="L93" s="7"/>
      <c r="M93" s="1">
        <f t="shared" si="8"/>
        <v>117.8</v>
      </c>
      <c r="N93" s="1">
        <f t="shared" si="9"/>
        <v>26.5</v>
      </c>
      <c r="O93" s="1">
        <f t="shared" si="10"/>
        <v>390.95</v>
      </c>
      <c r="P93" s="1">
        <f t="shared" si="11"/>
        <v>299.64999999999998</v>
      </c>
      <c r="Q93" s="67">
        <f t="shared" si="12"/>
        <v>0.05</v>
      </c>
      <c r="R93" s="68"/>
      <c r="S93" s="69"/>
      <c r="T93" s="3">
        <f t="shared" si="13"/>
        <v>3.0884139805841255</v>
      </c>
      <c r="U93" s="32">
        <v>3.2720265659082033</v>
      </c>
    </row>
    <row r="94" spans="2:21" x14ac:dyDescent="0.2">
      <c r="B94" s="136"/>
      <c r="C94" s="28" t="s">
        <v>172</v>
      </c>
      <c r="D94" s="18">
        <v>80</v>
      </c>
      <c r="E94" s="3">
        <v>284</v>
      </c>
      <c r="F94" s="1">
        <v>26.5</v>
      </c>
      <c r="G94" s="1">
        <v>559.15</v>
      </c>
      <c r="H94" s="1">
        <v>301.64999999999998</v>
      </c>
      <c r="I94" s="1">
        <v>0.5</v>
      </c>
      <c r="J94" s="36">
        <v>6</v>
      </c>
      <c r="K94" s="1">
        <f t="shared" si="7"/>
        <v>772.5</v>
      </c>
      <c r="L94" s="7"/>
      <c r="M94" s="1">
        <f t="shared" si="8"/>
        <v>284</v>
      </c>
      <c r="N94" s="1">
        <f t="shared" si="9"/>
        <v>26.5</v>
      </c>
      <c r="O94" s="1">
        <f t="shared" si="10"/>
        <v>557.15</v>
      </c>
      <c r="P94" s="1">
        <f t="shared" si="11"/>
        <v>299.64999999999998</v>
      </c>
      <c r="Q94" s="67">
        <f t="shared" si="12"/>
        <v>0.5</v>
      </c>
      <c r="R94" s="68"/>
      <c r="S94" s="69"/>
      <c r="T94" s="3">
        <f t="shared" si="13"/>
        <v>177.5523182697797</v>
      </c>
      <c r="U94" s="32">
        <v>6.4504611625833475</v>
      </c>
    </row>
    <row r="95" spans="2:21" x14ac:dyDescent="0.2">
      <c r="B95" s="136"/>
      <c r="C95" s="28"/>
      <c r="D95" s="18">
        <v>81</v>
      </c>
      <c r="E95" s="3">
        <v>106.5</v>
      </c>
      <c r="F95" s="1">
        <v>26.8</v>
      </c>
      <c r="G95" s="1">
        <v>381.65</v>
      </c>
      <c r="H95" s="1">
        <v>301.95</v>
      </c>
      <c r="I95" s="1">
        <v>0.25</v>
      </c>
      <c r="J95" s="36">
        <v>6</v>
      </c>
      <c r="K95" s="1">
        <f t="shared" si="7"/>
        <v>119.54999999999998</v>
      </c>
      <c r="L95" s="7"/>
      <c r="M95" s="1">
        <f t="shared" si="8"/>
        <v>106.5</v>
      </c>
      <c r="N95" s="1">
        <f t="shared" si="9"/>
        <v>26.8</v>
      </c>
      <c r="O95" s="1">
        <f t="shared" si="10"/>
        <v>379.65</v>
      </c>
      <c r="P95" s="1">
        <f t="shared" si="11"/>
        <v>299.95</v>
      </c>
      <c r="Q95" s="67">
        <f t="shared" si="12"/>
        <v>0.25</v>
      </c>
      <c r="R95" s="68"/>
      <c r="S95" s="69"/>
      <c r="T95" s="3">
        <f t="shared" si="13"/>
        <v>12.803218603392711</v>
      </c>
      <c r="U95" s="32">
        <v>3.1128418218721672</v>
      </c>
    </row>
    <row r="96" spans="2:21" x14ac:dyDescent="0.2">
      <c r="B96" s="136"/>
      <c r="C96" s="28" t="s">
        <v>173</v>
      </c>
      <c r="D96" s="18">
        <v>82</v>
      </c>
      <c r="E96" s="3">
        <v>284</v>
      </c>
      <c r="F96" s="1">
        <v>26.8</v>
      </c>
      <c r="G96" s="1">
        <v>559.15</v>
      </c>
      <c r="H96" s="1">
        <v>301.95</v>
      </c>
      <c r="I96" s="1">
        <v>0.08</v>
      </c>
      <c r="J96" s="36">
        <v>6</v>
      </c>
      <c r="K96" s="1">
        <f t="shared" si="7"/>
        <v>123.45599999999999</v>
      </c>
      <c r="L96" s="7"/>
      <c r="M96" s="1">
        <f t="shared" si="8"/>
        <v>284</v>
      </c>
      <c r="N96" s="1">
        <f t="shared" si="9"/>
        <v>26.8</v>
      </c>
      <c r="O96" s="1">
        <f t="shared" si="10"/>
        <v>557.15</v>
      </c>
      <c r="P96" s="1">
        <f t="shared" si="11"/>
        <v>299.95</v>
      </c>
      <c r="Q96" s="67">
        <f t="shared" si="12"/>
        <v>0.08</v>
      </c>
      <c r="R96" s="68"/>
      <c r="S96" s="69"/>
      <c r="T96" s="3">
        <f t="shared" si="13"/>
        <v>28.397896981625294</v>
      </c>
      <c r="U96" s="32">
        <v>6.4552720351841995</v>
      </c>
    </row>
    <row r="97" spans="2:21" x14ac:dyDescent="0.2">
      <c r="B97" s="136"/>
      <c r="C97" s="28"/>
      <c r="D97" s="18">
        <v>83</v>
      </c>
      <c r="E97" s="3">
        <v>284</v>
      </c>
      <c r="F97" s="1">
        <v>26.7</v>
      </c>
      <c r="G97" s="1">
        <v>559.15</v>
      </c>
      <c r="H97" s="1">
        <v>301.84999999999997</v>
      </c>
      <c r="I97" s="1">
        <v>0.1963</v>
      </c>
      <c r="J97" s="36">
        <v>6</v>
      </c>
      <c r="K97" s="1">
        <f t="shared" si="7"/>
        <v>303.04793999999998</v>
      </c>
      <c r="L97" s="7"/>
      <c r="M97" s="1">
        <f t="shared" si="8"/>
        <v>284</v>
      </c>
      <c r="N97" s="1">
        <f t="shared" si="9"/>
        <v>26.7</v>
      </c>
      <c r="O97" s="1">
        <f t="shared" si="10"/>
        <v>557.15</v>
      </c>
      <c r="P97" s="1">
        <f t="shared" si="11"/>
        <v>299.84999999999997</v>
      </c>
      <c r="Q97" s="67">
        <f t="shared" si="12"/>
        <v>0.1963</v>
      </c>
      <c r="R97" s="68"/>
      <c r="S97" s="69"/>
      <c r="T97" s="3">
        <f t="shared" si="13"/>
        <v>69.689915046669768</v>
      </c>
      <c r="U97" s="32">
        <v>6.453667957272911</v>
      </c>
    </row>
    <row r="98" spans="2:21" x14ac:dyDescent="0.2">
      <c r="B98" s="136"/>
      <c r="C98" s="28" t="s">
        <v>174</v>
      </c>
      <c r="D98" s="18">
        <v>84</v>
      </c>
      <c r="E98" s="3">
        <v>284</v>
      </c>
      <c r="F98" s="1">
        <v>28.1</v>
      </c>
      <c r="G98" s="1">
        <v>559.15</v>
      </c>
      <c r="H98" s="1">
        <v>303.25</v>
      </c>
      <c r="I98" s="1">
        <v>2.92</v>
      </c>
      <c r="J98" s="36">
        <v>6</v>
      </c>
      <c r="K98" s="1">
        <f t="shared" si="7"/>
        <v>4483.3679999999995</v>
      </c>
      <c r="L98" s="7"/>
      <c r="M98" s="1">
        <f t="shared" si="8"/>
        <v>284</v>
      </c>
      <c r="N98" s="1">
        <f t="shared" si="9"/>
        <v>28.1</v>
      </c>
      <c r="O98" s="1">
        <f t="shared" si="10"/>
        <v>557.15</v>
      </c>
      <c r="P98" s="1">
        <f t="shared" si="11"/>
        <v>301.25</v>
      </c>
      <c r="Q98" s="67">
        <f t="shared" si="12"/>
        <v>2.92</v>
      </c>
      <c r="R98" s="68"/>
      <c r="S98" s="69"/>
      <c r="T98" s="3">
        <f t="shared" si="13"/>
        <v>1034.8533951814197</v>
      </c>
      <c r="U98" s="32">
        <v>6.4761663622362953</v>
      </c>
    </row>
    <row r="99" spans="2:21" x14ac:dyDescent="0.2">
      <c r="B99" s="136"/>
      <c r="C99" s="28"/>
      <c r="D99" s="18">
        <v>85</v>
      </c>
      <c r="E99" s="3">
        <v>113.1</v>
      </c>
      <c r="F99" s="1">
        <v>28.1</v>
      </c>
      <c r="G99" s="1">
        <v>388.25</v>
      </c>
      <c r="H99" s="1">
        <v>303.25</v>
      </c>
      <c r="I99" s="1">
        <v>2.92</v>
      </c>
      <c r="J99" s="36">
        <v>6</v>
      </c>
      <c r="K99" s="1">
        <f t="shared" si="7"/>
        <v>1489.2</v>
      </c>
      <c r="L99" s="7"/>
      <c r="M99" s="1">
        <f t="shared" si="8"/>
        <v>113.1</v>
      </c>
      <c r="N99" s="1">
        <f t="shared" si="9"/>
        <v>28.1</v>
      </c>
      <c r="O99" s="1">
        <f t="shared" si="10"/>
        <v>386.25</v>
      </c>
      <c r="P99" s="1">
        <f t="shared" si="11"/>
        <v>301.25</v>
      </c>
      <c r="Q99" s="67">
        <f t="shared" si="12"/>
        <v>2.92</v>
      </c>
      <c r="R99" s="68"/>
      <c r="S99" s="69"/>
      <c r="T99" s="3">
        <f t="shared" si="13"/>
        <v>165.32646370098152</v>
      </c>
      <c r="U99" s="32">
        <v>3.2231612643678935</v>
      </c>
    </row>
    <row r="100" spans="2:21" x14ac:dyDescent="0.2">
      <c r="B100" s="136"/>
      <c r="C100" s="28"/>
      <c r="D100" s="18">
        <v>86</v>
      </c>
      <c r="E100" s="3">
        <v>101</v>
      </c>
      <c r="F100" s="1">
        <v>28.1</v>
      </c>
      <c r="G100" s="1">
        <v>376.15</v>
      </c>
      <c r="H100" s="1">
        <v>303.25</v>
      </c>
      <c r="I100" s="1">
        <v>3.1</v>
      </c>
      <c r="J100" s="36">
        <v>6</v>
      </c>
      <c r="K100" s="1">
        <f t="shared" si="7"/>
        <v>1355.9399999999996</v>
      </c>
      <c r="L100" s="7"/>
      <c r="M100" s="1">
        <f t="shared" si="8"/>
        <v>101</v>
      </c>
      <c r="N100" s="1">
        <f t="shared" si="9"/>
        <v>28.1</v>
      </c>
      <c r="O100" s="1">
        <f t="shared" si="10"/>
        <v>374.15</v>
      </c>
      <c r="P100" s="1">
        <f t="shared" si="11"/>
        <v>301.25</v>
      </c>
      <c r="Q100" s="67">
        <f t="shared" si="12"/>
        <v>3.1</v>
      </c>
      <c r="R100" s="68"/>
      <c r="S100" s="69"/>
      <c r="T100" s="3">
        <f t="shared" si="13"/>
        <v>142.26189772974192</v>
      </c>
      <c r="U100" s="32">
        <v>3.0514802430876875</v>
      </c>
    </row>
    <row r="101" spans="2:21" ht="16" thickBot="1" x14ac:dyDescent="0.25">
      <c r="B101" s="136"/>
      <c r="C101" s="28" t="s">
        <v>175</v>
      </c>
      <c r="D101" s="19">
        <v>87</v>
      </c>
      <c r="E101" s="3">
        <v>284</v>
      </c>
      <c r="F101" s="1">
        <v>26.6</v>
      </c>
      <c r="G101" s="1">
        <v>559.15</v>
      </c>
      <c r="H101" s="1">
        <v>301.75</v>
      </c>
      <c r="I101" s="1">
        <v>0.11</v>
      </c>
      <c r="J101" s="36">
        <v>6</v>
      </c>
      <c r="K101" s="1">
        <f t="shared" si="7"/>
        <v>169.88399999999999</v>
      </c>
      <c r="L101" s="7"/>
      <c r="M101" s="1">
        <f t="shared" si="8"/>
        <v>284</v>
      </c>
      <c r="N101" s="1">
        <f t="shared" si="9"/>
        <v>26.6</v>
      </c>
      <c r="O101" s="1">
        <f t="shared" si="10"/>
        <v>557.15</v>
      </c>
      <c r="P101" s="1">
        <f t="shared" si="11"/>
        <v>299.75</v>
      </c>
      <c r="Q101" s="67">
        <f t="shared" si="12"/>
        <v>0.11</v>
      </c>
      <c r="R101" s="68"/>
      <c r="S101" s="69"/>
      <c r="T101" s="3">
        <f t="shared" si="13"/>
        <v>39.056714234209593</v>
      </c>
      <c r="U101" s="32">
        <v>6.4520643330908625</v>
      </c>
    </row>
    <row r="102" spans="2:21" ht="16" thickBot="1" x14ac:dyDescent="0.25">
      <c r="B102" s="136"/>
      <c r="C102" s="28" t="s">
        <v>176</v>
      </c>
      <c r="D102" s="16">
        <v>88</v>
      </c>
      <c r="E102" s="3">
        <v>284</v>
      </c>
      <c r="F102" s="1">
        <v>26.6</v>
      </c>
      <c r="G102" s="1">
        <v>559.15</v>
      </c>
      <c r="H102" s="1">
        <v>301.75</v>
      </c>
      <c r="I102" s="1">
        <v>2.91</v>
      </c>
      <c r="J102" s="36">
        <v>6</v>
      </c>
      <c r="K102" s="1">
        <f t="shared" si="7"/>
        <v>4494.2039999999997</v>
      </c>
      <c r="L102" s="7"/>
      <c r="M102" s="1">
        <f t="shared" si="8"/>
        <v>284</v>
      </c>
      <c r="N102" s="1">
        <f t="shared" si="9"/>
        <v>26.6</v>
      </c>
      <c r="O102" s="1">
        <f t="shared" si="10"/>
        <v>557.15</v>
      </c>
      <c r="P102" s="1">
        <f t="shared" si="11"/>
        <v>299.75</v>
      </c>
      <c r="Q102" s="67">
        <f t="shared" si="12"/>
        <v>2.91</v>
      </c>
      <c r="R102" s="68"/>
      <c r="S102" s="69"/>
      <c r="T102" s="3">
        <f t="shared" si="13"/>
        <v>1033.2276220140902</v>
      </c>
      <c r="U102" s="32">
        <v>6.4520643330908634</v>
      </c>
    </row>
    <row r="103" spans="2:21" x14ac:dyDescent="0.2">
      <c r="B103" s="136"/>
      <c r="C103" s="28"/>
      <c r="D103" s="40">
        <v>89</v>
      </c>
      <c r="E103" s="1">
        <v>284</v>
      </c>
      <c r="F103" s="1">
        <v>26.6</v>
      </c>
      <c r="G103" s="1">
        <v>559.15</v>
      </c>
      <c r="H103" s="1">
        <v>301.75</v>
      </c>
      <c r="I103" s="1">
        <v>1</v>
      </c>
      <c r="J103" s="36">
        <v>6</v>
      </c>
      <c r="K103" s="1">
        <f t="shared" si="7"/>
        <v>1544.3999999999999</v>
      </c>
      <c r="L103" s="7"/>
      <c r="M103" s="1">
        <f t="shared" si="8"/>
        <v>284</v>
      </c>
      <c r="N103" s="1">
        <f t="shared" si="9"/>
        <v>26.6</v>
      </c>
      <c r="O103" s="1">
        <f t="shared" si="10"/>
        <v>557.15</v>
      </c>
      <c r="P103" s="1">
        <f t="shared" si="11"/>
        <v>299.75</v>
      </c>
      <c r="Q103" s="67">
        <f t="shared" si="12"/>
        <v>1</v>
      </c>
      <c r="R103" s="68"/>
      <c r="S103" s="69"/>
      <c r="T103" s="3">
        <f t="shared" si="13"/>
        <v>355.06103849281448</v>
      </c>
      <c r="U103" s="32">
        <v>6.4520643330908625</v>
      </c>
    </row>
    <row r="104" spans="2:21" ht="16" thickBot="1" x14ac:dyDescent="0.25">
      <c r="B104" s="136"/>
      <c r="C104" s="28" t="s">
        <v>177</v>
      </c>
      <c r="D104" s="41">
        <v>90</v>
      </c>
      <c r="E104" s="1">
        <v>284</v>
      </c>
      <c r="F104" s="1">
        <v>24.5</v>
      </c>
      <c r="G104" s="1">
        <v>559.15</v>
      </c>
      <c r="H104" s="1">
        <v>299.64999999999998</v>
      </c>
      <c r="I104" s="1">
        <v>0.1</v>
      </c>
      <c r="J104" s="36">
        <v>6</v>
      </c>
      <c r="K104" s="1">
        <f t="shared" si="7"/>
        <v>155.70000000000002</v>
      </c>
      <c r="L104" s="7"/>
      <c r="M104" s="1">
        <f t="shared" si="8"/>
        <v>284</v>
      </c>
      <c r="N104" s="1">
        <f t="shared" si="9"/>
        <v>24.5</v>
      </c>
      <c r="O104" s="1">
        <f t="shared" si="10"/>
        <v>557.15</v>
      </c>
      <c r="P104" s="1">
        <f t="shared" si="11"/>
        <v>297.64999999999998</v>
      </c>
      <c r="Q104" s="67">
        <f t="shared" si="12"/>
        <v>0.1</v>
      </c>
      <c r="R104" s="68"/>
      <c r="S104" s="69"/>
      <c r="T104" s="3">
        <f t="shared" si="13"/>
        <v>35.59675346442161</v>
      </c>
      <c r="U104" s="32">
        <v>6.4184929396102586</v>
      </c>
    </row>
    <row r="105" spans="2:21" ht="16" thickBot="1" x14ac:dyDescent="0.25">
      <c r="B105" s="136"/>
      <c r="C105" s="28"/>
      <c r="D105" s="42">
        <v>91</v>
      </c>
      <c r="E105" s="1">
        <v>139.80000000000001</v>
      </c>
      <c r="F105" s="1">
        <v>26.5</v>
      </c>
      <c r="G105" s="1">
        <v>414.95</v>
      </c>
      <c r="H105" s="1">
        <v>301.64999999999998</v>
      </c>
      <c r="I105" s="1">
        <v>0.13</v>
      </c>
      <c r="J105" s="36">
        <v>6</v>
      </c>
      <c r="K105" s="1">
        <f t="shared" si="7"/>
        <v>88.374000000000009</v>
      </c>
      <c r="L105" s="7"/>
      <c r="M105" s="1">
        <f t="shared" si="8"/>
        <v>139.80000000000001</v>
      </c>
      <c r="N105" s="1">
        <f t="shared" si="9"/>
        <v>26.5</v>
      </c>
      <c r="O105" s="1">
        <f t="shared" si="10"/>
        <v>412.95</v>
      </c>
      <c r="P105" s="1">
        <f t="shared" si="11"/>
        <v>299.64999999999998</v>
      </c>
      <c r="Q105" s="67">
        <f t="shared" si="12"/>
        <v>0.13</v>
      </c>
      <c r="R105" s="68"/>
      <c r="S105" s="69"/>
      <c r="T105" s="3">
        <f t="shared" si="13"/>
        <v>11.024980195876482</v>
      </c>
      <c r="U105" s="32">
        <v>3.6075917967076512</v>
      </c>
    </row>
    <row r="106" spans="2:21" x14ac:dyDescent="0.2">
      <c r="B106" s="136"/>
      <c r="C106" s="28" t="s">
        <v>178</v>
      </c>
      <c r="D106" s="40">
        <v>92</v>
      </c>
      <c r="E106" s="1">
        <v>284</v>
      </c>
      <c r="F106" s="1">
        <v>27.9</v>
      </c>
      <c r="G106" s="1">
        <v>559.15</v>
      </c>
      <c r="H106" s="1">
        <v>303.04999999999995</v>
      </c>
      <c r="I106" s="1">
        <v>20.399999999999999</v>
      </c>
      <c r="J106" s="36">
        <v>6</v>
      </c>
      <c r="K106" s="1">
        <f t="shared" si="7"/>
        <v>31346.639999999999</v>
      </c>
      <c r="L106" s="7"/>
      <c r="M106" s="1">
        <f t="shared" si="8"/>
        <v>284</v>
      </c>
      <c r="N106" s="1">
        <f t="shared" si="9"/>
        <v>27.9</v>
      </c>
      <c r="O106" s="1">
        <f t="shared" si="10"/>
        <v>557.15</v>
      </c>
      <c r="P106" s="1">
        <f t="shared" si="11"/>
        <v>301.04999999999995</v>
      </c>
      <c r="Q106" s="67">
        <f t="shared" si="12"/>
        <v>20.399999999999999</v>
      </c>
      <c r="R106" s="68"/>
      <c r="S106" s="69"/>
      <c r="T106" s="3">
        <f t="shared" si="13"/>
        <v>7231.602263548044</v>
      </c>
      <c r="U106" s="32">
        <v>6.4729468539584367</v>
      </c>
    </row>
    <row r="107" spans="2:21" ht="16" thickBot="1" x14ac:dyDescent="0.25">
      <c r="B107" s="136"/>
      <c r="C107" s="28" t="s">
        <v>179</v>
      </c>
      <c r="D107" s="41">
        <v>93</v>
      </c>
      <c r="E107" s="1">
        <v>284</v>
      </c>
      <c r="F107" s="1">
        <v>28.1</v>
      </c>
      <c r="G107" s="1">
        <v>559.15</v>
      </c>
      <c r="H107" s="1">
        <v>303.25</v>
      </c>
      <c r="I107" s="1">
        <v>0.3</v>
      </c>
      <c r="J107" s="36">
        <v>6</v>
      </c>
      <c r="K107" s="1">
        <f t="shared" si="7"/>
        <v>460.61999999999989</v>
      </c>
      <c r="L107" s="7"/>
      <c r="M107" s="1">
        <f t="shared" si="8"/>
        <v>284</v>
      </c>
      <c r="N107" s="1">
        <f t="shared" si="9"/>
        <v>28.1</v>
      </c>
      <c r="O107" s="1">
        <f t="shared" si="10"/>
        <v>557.15</v>
      </c>
      <c r="P107" s="1">
        <f t="shared" si="11"/>
        <v>301.25</v>
      </c>
      <c r="Q107" s="67">
        <f t="shared" si="12"/>
        <v>0.3</v>
      </c>
      <c r="R107" s="68"/>
      <c r="S107" s="69"/>
      <c r="T107" s="3">
        <f t="shared" si="13"/>
        <v>106.32055429946092</v>
      </c>
      <c r="U107" s="32">
        <v>6.4761663622362953</v>
      </c>
    </row>
    <row r="108" spans="2:21" ht="16" thickBot="1" x14ac:dyDescent="0.25">
      <c r="B108" s="136"/>
      <c r="C108" s="28"/>
      <c r="D108" s="42">
        <v>94</v>
      </c>
      <c r="E108" s="1">
        <v>284</v>
      </c>
      <c r="F108" s="1">
        <v>28.1</v>
      </c>
      <c r="G108" s="1">
        <v>559.15</v>
      </c>
      <c r="H108" s="1">
        <v>303.25</v>
      </c>
      <c r="I108" s="1">
        <v>0.12</v>
      </c>
      <c r="J108" s="36">
        <v>6</v>
      </c>
      <c r="K108" s="1">
        <f t="shared" si="7"/>
        <v>184.24799999999999</v>
      </c>
      <c r="L108" s="7"/>
      <c r="M108" s="1">
        <f t="shared" si="8"/>
        <v>284</v>
      </c>
      <c r="N108" s="1">
        <f t="shared" si="9"/>
        <v>28.1</v>
      </c>
      <c r="O108" s="1">
        <f t="shared" si="10"/>
        <v>557.15</v>
      </c>
      <c r="P108" s="1">
        <f t="shared" si="11"/>
        <v>301.25</v>
      </c>
      <c r="Q108" s="67">
        <f t="shared" si="12"/>
        <v>0.12</v>
      </c>
      <c r="R108" s="68"/>
      <c r="S108" s="69"/>
      <c r="T108" s="3">
        <f t="shared" si="13"/>
        <v>42.528221719784369</v>
      </c>
      <c r="U108" s="32">
        <v>6.4761663622362944</v>
      </c>
    </row>
    <row r="109" spans="2:21" x14ac:dyDescent="0.2">
      <c r="B109" s="136"/>
      <c r="C109" s="28"/>
      <c r="D109" s="40">
        <v>95</v>
      </c>
      <c r="E109" s="1">
        <v>144.4</v>
      </c>
      <c r="F109" s="1">
        <v>28.1</v>
      </c>
      <c r="G109" s="1">
        <v>419.54999999999995</v>
      </c>
      <c r="H109" s="1">
        <v>303.25</v>
      </c>
      <c r="I109" s="1">
        <v>0.08</v>
      </c>
      <c r="J109" s="36">
        <v>6</v>
      </c>
      <c r="K109" s="1">
        <f t="shared" si="7"/>
        <v>55.823999999999977</v>
      </c>
      <c r="L109" s="7"/>
      <c r="M109" s="1">
        <f t="shared" si="8"/>
        <v>144.4</v>
      </c>
      <c r="N109" s="1">
        <f t="shared" si="9"/>
        <v>28.1</v>
      </c>
      <c r="O109" s="1">
        <f t="shared" si="10"/>
        <v>417.54999999999995</v>
      </c>
      <c r="P109" s="1">
        <f t="shared" si="11"/>
        <v>301.25</v>
      </c>
      <c r="Q109" s="67">
        <f t="shared" si="12"/>
        <v>0.08</v>
      </c>
      <c r="R109" s="68"/>
      <c r="S109" s="69"/>
      <c r="T109" s="3">
        <f t="shared" si="13"/>
        <v>7.1527954942633327</v>
      </c>
      <c r="U109" s="32">
        <v>3.7016467499564203</v>
      </c>
    </row>
    <row r="110" spans="2:21" ht="16" thickBot="1" x14ac:dyDescent="0.25">
      <c r="B110" s="136"/>
      <c r="C110" s="28"/>
      <c r="D110" s="41">
        <v>96</v>
      </c>
      <c r="E110" s="1">
        <v>137.69999999999999</v>
      </c>
      <c r="F110" s="1">
        <v>28.1</v>
      </c>
      <c r="G110" s="1">
        <v>412.84999999999997</v>
      </c>
      <c r="H110" s="1">
        <v>303.25</v>
      </c>
      <c r="I110" s="1">
        <v>0.08</v>
      </c>
      <c r="J110" s="36">
        <v>6</v>
      </c>
      <c r="K110" s="1">
        <f t="shared" si="7"/>
        <v>52.607999999999983</v>
      </c>
      <c r="L110" s="7"/>
      <c r="M110" s="1">
        <f t="shared" si="8"/>
        <v>137.69999999999999</v>
      </c>
      <c r="N110" s="1">
        <f t="shared" si="9"/>
        <v>28.1</v>
      </c>
      <c r="O110" s="1">
        <f t="shared" si="10"/>
        <v>410.84999999999997</v>
      </c>
      <c r="P110" s="1">
        <f t="shared" si="11"/>
        <v>301.25</v>
      </c>
      <c r="Q110" s="67">
        <f t="shared" si="12"/>
        <v>0.08</v>
      </c>
      <c r="R110" s="68"/>
      <c r="S110" s="69"/>
      <c r="T110" s="3">
        <f t="shared" si="13"/>
        <v>6.5392592222643149</v>
      </c>
      <c r="U110" s="32">
        <v>3.5949894739669817</v>
      </c>
    </row>
    <row r="111" spans="2:21" ht="16" thickBot="1" x14ac:dyDescent="0.25">
      <c r="B111" s="136"/>
      <c r="C111" s="28" t="s">
        <v>180</v>
      </c>
      <c r="D111" s="42">
        <v>97</v>
      </c>
      <c r="E111" s="1">
        <v>230</v>
      </c>
      <c r="F111" s="1">
        <v>28.3</v>
      </c>
      <c r="G111" s="1">
        <v>505.15</v>
      </c>
      <c r="H111" s="1">
        <v>303.45</v>
      </c>
      <c r="I111" s="1">
        <v>2.2999999999999998</v>
      </c>
      <c r="J111" s="36">
        <v>6</v>
      </c>
      <c r="K111" s="1">
        <f t="shared" si="7"/>
        <v>2783.4599999999996</v>
      </c>
      <c r="L111" s="7"/>
      <c r="M111" s="1">
        <f t="shared" si="8"/>
        <v>230</v>
      </c>
      <c r="N111" s="1">
        <f t="shared" si="9"/>
        <v>28.3</v>
      </c>
      <c r="O111" s="1">
        <f t="shared" si="10"/>
        <v>503.15</v>
      </c>
      <c r="P111" s="1">
        <f t="shared" si="11"/>
        <v>301.45</v>
      </c>
      <c r="Q111" s="67">
        <f t="shared" si="12"/>
        <v>2.2999999999999998</v>
      </c>
      <c r="R111" s="68"/>
      <c r="S111" s="69"/>
      <c r="T111" s="3">
        <f t="shared" si="13"/>
        <v>517.0128785421665</v>
      </c>
      <c r="U111" s="32">
        <v>5.2782199320523011</v>
      </c>
    </row>
    <row r="112" spans="2:21" x14ac:dyDescent="0.2">
      <c r="B112" s="136"/>
      <c r="C112" s="28"/>
      <c r="D112" s="40">
        <v>98</v>
      </c>
      <c r="E112" s="1">
        <v>230</v>
      </c>
      <c r="F112" s="1">
        <v>28.3</v>
      </c>
      <c r="G112" s="1">
        <v>505.15</v>
      </c>
      <c r="H112" s="1">
        <v>303.45</v>
      </c>
      <c r="I112" s="1">
        <v>0.47</v>
      </c>
      <c r="J112" s="36">
        <v>6</v>
      </c>
      <c r="K112" s="1">
        <f t="shared" si="7"/>
        <v>568.79399999999998</v>
      </c>
      <c r="L112" s="7"/>
      <c r="M112" s="1">
        <f t="shared" si="8"/>
        <v>230</v>
      </c>
      <c r="N112" s="1">
        <f t="shared" si="9"/>
        <v>28.3</v>
      </c>
      <c r="O112" s="1">
        <f t="shared" si="10"/>
        <v>503.15</v>
      </c>
      <c r="P112" s="1">
        <f t="shared" si="11"/>
        <v>301.45</v>
      </c>
      <c r="Q112" s="67">
        <f t="shared" si="12"/>
        <v>0.47</v>
      </c>
      <c r="R112" s="68"/>
      <c r="S112" s="69"/>
      <c r="T112" s="3">
        <f t="shared" si="13"/>
        <v>105.65045778905142</v>
      </c>
      <c r="U112" s="32">
        <v>5.2782199320523011</v>
      </c>
    </row>
    <row r="113" spans="2:21" ht="16" thickBot="1" x14ac:dyDescent="0.25">
      <c r="B113" s="136"/>
      <c r="C113" s="28" t="s">
        <v>181</v>
      </c>
      <c r="D113" s="41">
        <v>99</v>
      </c>
      <c r="E113" s="1">
        <v>105.1</v>
      </c>
      <c r="F113" s="1">
        <v>27.9</v>
      </c>
      <c r="G113" s="1">
        <v>380.25</v>
      </c>
      <c r="H113" s="1">
        <v>303.04999999999995</v>
      </c>
      <c r="I113" s="1">
        <v>13.5</v>
      </c>
      <c r="J113" s="36">
        <v>6</v>
      </c>
      <c r="K113" s="1">
        <f t="shared" si="7"/>
        <v>6253.2000000000035</v>
      </c>
      <c r="L113" s="7"/>
      <c r="M113" s="1">
        <f t="shared" si="8"/>
        <v>105.1</v>
      </c>
      <c r="N113" s="1">
        <f t="shared" si="9"/>
        <v>27.9</v>
      </c>
      <c r="O113" s="1">
        <f t="shared" si="10"/>
        <v>378.25</v>
      </c>
      <c r="P113" s="1">
        <f t="shared" si="11"/>
        <v>301.04999999999995</v>
      </c>
      <c r="Q113" s="67">
        <f t="shared" si="12"/>
        <v>13.5</v>
      </c>
      <c r="R113" s="68"/>
      <c r="S113" s="69"/>
      <c r="T113" s="3">
        <f t="shared" si="13"/>
        <v>668.2592889568466</v>
      </c>
      <c r="U113" s="32">
        <v>3.1064114651123229</v>
      </c>
    </row>
    <row r="114" spans="2:21" ht="16" thickBot="1" x14ac:dyDescent="0.25">
      <c r="B114" s="136"/>
      <c r="C114" s="28" t="s">
        <v>182</v>
      </c>
      <c r="D114" s="42">
        <v>100</v>
      </c>
      <c r="E114" s="1">
        <v>135.6</v>
      </c>
      <c r="F114" s="1">
        <v>28.4</v>
      </c>
      <c r="G114" s="1">
        <v>410.75</v>
      </c>
      <c r="H114" s="1">
        <v>303.54999999999995</v>
      </c>
      <c r="I114" s="1">
        <v>0.11</v>
      </c>
      <c r="J114" s="36">
        <v>6</v>
      </c>
      <c r="K114" s="1">
        <f t="shared" si="7"/>
        <v>70.752000000000038</v>
      </c>
      <c r="L114" s="7"/>
      <c r="M114" s="1">
        <f t="shared" si="8"/>
        <v>135.6</v>
      </c>
      <c r="N114" s="1">
        <f t="shared" si="9"/>
        <v>28.4</v>
      </c>
      <c r="O114" s="1">
        <f t="shared" si="10"/>
        <v>408.75</v>
      </c>
      <c r="P114" s="1">
        <f t="shared" si="11"/>
        <v>301.54999999999995</v>
      </c>
      <c r="Q114" s="67">
        <f t="shared" si="12"/>
        <v>0.11</v>
      </c>
      <c r="R114" s="68"/>
      <c r="S114" s="69"/>
      <c r="T114" s="3">
        <f t="shared" si="13"/>
        <v>8.7207463420014122</v>
      </c>
      <c r="U114" s="32">
        <v>3.565881472166446</v>
      </c>
    </row>
    <row r="115" spans="2:21" x14ac:dyDescent="0.2">
      <c r="B115" s="136"/>
      <c r="C115" s="28"/>
      <c r="D115" s="40">
        <v>101</v>
      </c>
      <c r="E115" s="1">
        <v>149.80000000000001</v>
      </c>
      <c r="F115" s="1">
        <v>28.4</v>
      </c>
      <c r="G115" s="1">
        <v>424.95</v>
      </c>
      <c r="H115" s="1">
        <v>303.54999999999995</v>
      </c>
      <c r="I115" s="1">
        <v>0.11</v>
      </c>
      <c r="J115" s="36">
        <v>6</v>
      </c>
      <c r="K115" s="1">
        <f t="shared" si="7"/>
        <v>80.124000000000024</v>
      </c>
      <c r="L115" s="7"/>
      <c r="M115" s="1">
        <f t="shared" si="8"/>
        <v>149.80000000000001</v>
      </c>
      <c r="N115" s="1">
        <f t="shared" si="9"/>
        <v>28.4</v>
      </c>
      <c r="O115" s="1">
        <f t="shared" si="10"/>
        <v>422.95</v>
      </c>
      <c r="P115" s="1">
        <f t="shared" si="11"/>
        <v>301.54999999999995</v>
      </c>
      <c r="Q115" s="67">
        <f t="shared" si="12"/>
        <v>0.11</v>
      </c>
      <c r="R115" s="68"/>
      <c r="S115" s="69"/>
      <c r="T115" s="3">
        <f t="shared" si="13"/>
        <v>10.5304551927667</v>
      </c>
      <c r="U115" s="32">
        <v>3.7932487756826658</v>
      </c>
    </row>
    <row r="116" spans="2:21" ht="16" thickBot="1" x14ac:dyDescent="0.25">
      <c r="B116" s="137"/>
      <c r="C116" s="28"/>
      <c r="D116" s="41">
        <v>102</v>
      </c>
      <c r="E116" s="1">
        <v>230</v>
      </c>
      <c r="F116" s="1">
        <v>28.4</v>
      </c>
      <c r="G116" s="1">
        <v>505.15</v>
      </c>
      <c r="H116" s="1">
        <v>303.54999999999995</v>
      </c>
      <c r="I116" s="1">
        <v>3.95</v>
      </c>
      <c r="J116" s="36">
        <v>6</v>
      </c>
      <c r="K116" s="1">
        <f t="shared" si="7"/>
        <v>4777.920000000001</v>
      </c>
      <c r="L116" s="7"/>
      <c r="M116" s="1">
        <f t="shared" si="8"/>
        <v>230</v>
      </c>
      <c r="N116" s="1">
        <f t="shared" si="9"/>
        <v>28.4</v>
      </c>
      <c r="O116" s="1">
        <f t="shared" si="10"/>
        <v>503.15</v>
      </c>
      <c r="P116" s="1">
        <f t="shared" si="11"/>
        <v>301.54999999999995</v>
      </c>
      <c r="Q116" s="67">
        <f t="shared" si="12"/>
        <v>3.95</v>
      </c>
      <c r="R116" s="71"/>
      <c r="S116" s="72"/>
      <c r="T116" s="3">
        <f t="shared" si="13"/>
        <v>887.73810877863195</v>
      </c>
      <c r="U116" s="32">
        <v>5.2797122459410843</v>
      </c>
    </row>
    <row r="117" spans="2:21" x14ac:dyDescent="0.2">
      <c r="E117" s="7"/>
      <c r="F117" s="7"/>
      <c r="G117" s="7"/>
      <c r="H117" s="7"/>
      <c r="I117" s="7"/>
      <c r="J117" s="7" t="s">
        <v>30</v>
      </c>
      <c r="K117" s="73">
        <f>SUM(K4:K116)</f>
        <v>70443.282036000004</v>
      </c>
      <c r="L117" s="7"/>
      <c r="M117" s="7"/>
      <c r="N117" s="7"/>
      <c r="O117" s="7"/>
      <c r="P117" s="7"/>
      <c r="Q117" s="7"/>
      <c r="R117" s="7"/>
      <c r="S117" s="7" t="s">
        <v>31</v>
      </c>
      <c r="T117" s="73">
        <f>SUM(T4:T116)</f>
        <v>13778.045811567614</v>
      </c>
      <c r="U117" s="7"/>
    </row>
    <row r="118" spans="2:21" x14ac:dyDescent="0.2">
      <c r="J118" s="74" t="s">
        <v>57</v>
      </c>
      <c r="K118">
        <f>K117-(SUM(K70:K89))</f>
        <v>69149.290236000001</v>
      </c>
      <c r="R118" s="121" t="s">
        <v>58</v>
      </c>
      <c r="S118" s="121"/>
      <c r="T118">
        <f>T117-(SUM(T70:T89))</f>
        <v>13615.458900598162</v>
      </c>
    </row>
  </sheetData>
  <mergeCells count="18">
    <mergeCell ref="Y8:Z9"/>
    <mergeCell ref="W13:X14"/>
    <mergeCell ref="Y13:Z14"/>
    <mergeCell ref="C2:C3"/>
    <mergeCell ref="D2:D3"/>
    <mergeCell ref="E2:K2"/>
    <mergeCell ref="M2:U2"/>
    <mergeCell ref="W8:X9"/>
    <mergeCell ref="B4:B25"/>
    <mergeCell ref="B26:B46"/>
    <mergeCell ref="B47:B69"/>
    <mergeCell ref="B70:B89"/>
    <mergeCell ref="B90:B116"/>
    <mergeCell ref="R118:S118"/>
    <mergeCell ref="W21:X22"/>
    <mergeCell ref="Y21:Z22"/>
    <mergeCell ref="W26:X27"/>
    <mergeCell ref="Y26:Z2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57EB2-0865-406B-9279-35AE630C47CE}">
  <dimension ref="B1:AB102"/>
  <sheetViews>
    <sheetView topLeftCell="G1" workbookViewId="0">
      <selection activeCell="X25" sqref="X25"/>
    </sheetView>
  </sheetViews>
  <sheetFormatPr baseColWidth="10" defaultRowHeight="15" x14ac:dyDescent="0.2"/>
  <cols>
    <col min="5" max="5" width="15.5" bestFit="1" customWidth="1"/>
    <col min="6" max="6" width="16.6640625" bestFit="1" customWidth="1"/>
    <col min="7" max="7" width="15.5" bestFit="1" customWidth="1"/>
    <col min="8" max="8" width="14.83203125" bestFit="1" customWidth="1"/>
    <col min="9" max="9" width="17.83203125" bestFit="1" customWidth="1"/>
    <col min="10" max="10" width="16.5" bestFit="1" customWidth="1"/>
    <col min="11" max="13" width="16.5" customWidth="1"/>
    <col min="14" max="15" width="25.83203125" bestFit="1" customWidth="1"/>
    <col min="20" max="20" width="22.33203125" customWidth="1"/>
    <col min="24" max="24" width="19" bestFit="1" customWidth="1"/>
  </cols>
  <sheetData>
    <row r="1" spans="2:28" ht="16" thickBot="1" x14ac:dyDescent="0.25"/>
    <row r="2" spans="2:28" ht="33" thickBot="1" x14ac:dyDescent="0.25">
      <c r="B2" s="10"/>
      <c r="C2" s="163" t="s">
        <v>0</v>
      </c>
      <c r="D2" s="163" t="s">
        <v>1</v>
      </c>
      <c r="E2" s="160" t="s">
        <v>20</v>
      </c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2"/>
      <c r="T2" s="34" t="s">
        <v>15</v>
      </c>
      <c r="U2" s="8">
        <v>0.05</v>
      </c>
      <c r="X2" s="92"/>
      <c r="Y2" s="7"/>
    </row>
    <row r="3" spans="2:28" ht="49" thickBot="1" x14ac:dyDescent="0.25">
      <c r="B3" s="10"/>
      <c r="C3" s="164"/>
      <c r="D3" s="164"/>
      <c r="E3" s="59" t="s">
        <v>3</v>
      </c>
      <c r="F3" s="60" t="s">
        <v>4</v>
      </c>
      <c r="G3" s="60" t="s">
        <v>5</v>
      </c>
      <c r="H3" s="60" t="s">
        <v>6</v>
      </c>
      <c r="I3" s="60" t="s">
        <v>7</v>
      </c>
      <c r="J3" s="61" t="s">
        <v>17</v>
      </c>
      <c r="K3" s="61" t="s">
        <v>75</v>
      </c>
      <c r="L3" s="61" t="s">
        <v>77</v>
      </c>
      <c r="M3" s="61" t="s">
        <v>78</v>
      </c>
      <c r="N3" s="61" t="s">
        <v>19</v>
      </c>
      <c r="O3" s="62" t="s">
        <v>18</v>
      </c>
      <c r="P3" s="63" t="s">
        <v>8</v>
      </c>
      <c r="T3" s="34" t="s">
        <v>76</v>
      </c>
      <c r="U3" s="8">
        <v>6.3499999999999997E-3</v>
      </c>
      <c r="X3" s="92"/>
      <c r="Y3" s="7"/>
    </row>
    <row r="4" spans="2:28" x14ac:dyDescent="0.2">
      <c r="B4" s="108" t="s">
        <v>24</v>
      </c>
      <c r="C4" s="30" t="s">
        <v>9</v>
      </c>
      <c r="D4" s="29">
        <v>1</v>
      </c>
      <c r="E4" s="56">
        <v>95.3</v>
      </c>
      <c r="F4" s="57">
        <v>21.9</v>
      </c>
      <c r="G4" s="57">
        <v>370.45</v>
      </c>
      <c r="H4" s="57">
        <v>297.04999999999995</v>
      </c>
      <c r="I4" s="57">
        <v>0.06</v>
      </c>
      <c r="J4" s="58">
        <v>6</v>
      </c>
      <c r="K4" s="90">
        <f>$U$2/(I4*$U$5)</f>
        <v>19.379844961240313</v>
      </c>
      <c r="L4" s="58">
        <f>$U$3/($U$4*I4)</f>
        <v>4.4655414908579465E-4</v>
      </c>
      <c r="M4" s="90">
        <f>L4+K4</f>
        <v>19.380291515389398</v>
      </c>
      <c r="N4" s="58">
        <f>(((E4/M4)+(J4*I4*F4))/((J4*I4)+(1/M4)))</f>
        <v>31.10156382721312</v>
      </c>
      <c r="O4" s="57">
        <f>N4+273.15</f>
        <v>304.25156382721309</v>
      </c>
      <c r="P4" s="58">
        <f t="shared" ref="P4:P35" si="0">J4*I4*(N4-F4)</f>
        <v>3.3125629777967234</v>
      </c>
      <c r="T4" s="87" t="s">
        <v>74</v>
      </c>
      <c r="U4" s="8">
        <v>237</v>
      </c>
      <c r="V4" t="s">
        <v>183</v>
      </c>
      <c r="X4" s="92"/>
      <c r="Y4" s="7"/>
      <c r="AB4">
        <f>100-((N4*100)/E4)</f>
        <v>67.364571010269543</v>
      </c>
    </row>
    <row r="5" spans="2:28" x14ac:dyDescent="0.2">
      <c r="B5" s="108"/>
      <c r="C5" s="27"/>
      <c r="D5" s="17">
        <v>2</v>
      </c>
      <c r="E5" s="3">
        <v>100.5</v>
      </c>
      <c r="F5" s="1">
        <v>21.9</v>
      </c>
      <c r="G5" s="1">
        <v>375.65</v>
      </c>
      <c r="H5" s="1">
        <v>297.04999999999995</v>
      </c>
      <c r="I5" s="1">
        <v>7.1999999999999995E-2</v>
      </c>
      <c r="J5" s="36">
        <v>6</v>
      </c>
      <c r="K5" s="90">
        <f>$U$2/(I5*$U$5)</f>
        <v>16.149870801033597</v>
      </c>
      <c r="L5" s="58">
        <f t="shared" ref="L5:L68" si="1">$U$3/($U$4*I5)</f>
        <v>3.721284575714955E-4</v>
      </c>
      <c r="M5" s="90">
        <f t="shared" ref="M5:M68" si="2">L5+K5</f>
        <v>16.150242929491167</v>
      </c>
      <c r="N5" s="58">
        <f t="shared" ref="N5:N68" si="3">(((E5/M5)+(J5*I5*F5))/((J5*I5)+(1/M5)))</f>
        <v>31.753445733228215</v>
      </c>
      <c r="O5" s="1">
        <f t="shared" ref="O5:O68" si="4">N5+273.15</f>
        <v>304.90344573322818</v>
      </c>
      <c r="P5" s="36">
        <f t="shared" si="0"/>
        <v>4.2566885567545887</v>
      </c>
      <c r="T5" s="35" t="s">
        <v>16</v>
      </c>
      <c r="U5" s="8">
        <v>4.2999999999999997E-2</v>
      </c>
      <c r="V5" t="s">
        <v>183</v>
      </c>
      <c r="AB5">
        <f t="shared" ref="AB5:AB68" si="5">100-((N5*100)/E5)</f>
        <v>68.404531608728149</v>
      </c>
    </row>
    <row r="6" spans="2:28" x14ac:dyDescent="0.2">
      <c r="B6" s="108"/>
      <c r="C6" s="27"/>
      <c r="D6" s="17">
        <v>3</v>
      </c>
      <c r="E6" s="3">
        <v>97.9</v>
      </c>
      <c r="F6" s="1">
        <v>21.9</v>
      </c>
      <c r="G6" s="1">
        <v>373.04999999999995</v>
      </c>
      <c r="H6" s="1">
        <v>297.04999999999995</v>
      </c>
      <c r="I6" s="1">
        <v>0.28899999999999998</v>
      </c>
      <c r="J6" s="36">
        <v>6</v>
      </c>
      <c r="K6" s="90">
        <f t="shared" ref="K6:K69" si="6">$U$2/(I6*$U$5)</f>
        <v>4.023497223786916</v>
      </c>
      <c r="L6" s="58">
        <f t="shared" si="1"/>
        <v>9.2710203962448722E-5</v>
      </c>
      <c r="M6" s="90">
        <f t="shared" si="2"/>
        <v>4.0235899339908787</v>
      </c>
      <c r="N6" s="58">
        <f t="shared" si="3"/>
        <v>31.427504780220669</v>
      </c>
      <c r="O6" s="1">
        <f t="shared" si="4"/>
        <v>304.57750478022064</v>
      </c>
      <c r="P6" s="36">
        <f t="shared" si="0"/>
        <v>16.520693288902642</v>
      </c>
      <c r="AB6">
        <f t="shared" si="5"/>
        <v>67.898360796505955</v>
      </c>
    </row>
    <row r="7" spans="2:28" x14ac:dyDescent="0.2">
      <c r="B7" s="108"/>
      <c r="C7" s="27"/>
      <c r="D7" s="17">
        <v>4</v>
      </c>
      <c r="E7" s="3">
        <v>93.5</v>
      </c>
      <c r="F7" s="1">
        <v>21.9</v>
      </c>
      <c r="G7" s="1">
        <v>368.65</v>
      </c>
      <c r="H7" s="1">
        <v>297.04999999999995</v>
      </c>
      <c r="I7" s="1">
        <v>0.14399999999999999</v>
      </c>
      <c r="J7" s="36">
        <v>6</v>
      </c>
      <c r="K7" s="90">
        <f t="shared" si="6"/>
        <v>8.0749354005167984</v>
      </c>
      <c r="L7" s="58">
        <f t="shared" si="1"/>
        <v>1.8606422878574775E-4</v>
      </c>
      <c r="M7" s="90">
        <f t="shared" si="2"/>
        <v>8.0751214647455836</v>
      </c>
      <c r="N7" s="58">
        <f t="shared" si="3"/>
        <v>30.875912398207891</v>
      </c>
      <c r="O7" s="1">
        <f t="shared" si="4"/>
        <v>304.02591239820788</v>
      </c>
      <c r="P7" s="36">
        <f t="shared" si="0"/>
        <v>7.7551883120516178</v>
      </c>
      <c r="AB7">
        <f t="shared" si="5"/>
        <v>66.977633798708126</v>
      </c>
    </row>
    <row r="8" spans="2:28" ht="16" thickBot="1" x14ac:dyDescent="0.25">
      <c r="B8" s="108"/>
      <c r="C8" s="27"/>
      <c r="D8" s="17">
        <v>5</v>
      </c>
      <c r="E8" s="3">
        <v>90.2</v>
      </c>
      <c r="F8" s="1">
        <v>21.9</v>
      </c>
      <c r="G8" s="1">
        <v>365.34999999999997</v>
      </c>
      <c r="H8" s="1">
        <v>297.04999999999995</v>
      </c>
      <c r="I8" s="1">
        <v>0.125</v>
      </c>
      <c r="J8" s="36">
        <v>6</v>
      </c>
      <c r="K8" s="90">
        <f t="shared" si="6"/>
        <v>9.3023255813953494</v>
      </c>
      <c r="L8" s="58">
        <f t="shared" si="1"/>
        <v>2.1434599156118142E-4</v>
      </c>
      <c r="M8" s="90">
        <f t="shared" si="2"/>
        <v>9.3025399273869098</v>
      </c>
      <c r="N8" s="58">
        <f t="shared" si="3"/>
        <v>30.462218111698313</v>
      </c>
      <c r="O8" s="1">
        <f t="shared" si="4"/>
        <v>303.61221811169827</v>
      </c>
      <c r="P8" s="36">
        <f t="shared" si="0"/>
        <v>6.4216635837737357</v>
      </c>
      <c r="AB8">
        <f t="shared" si="5"/>
        <v>66.228139565744669</v>
      </c>
    </row>
    <row r="9" spans="2:28" x14ac:dyDescent="0.2">
      <c r="B9" s="108"/>
      <c r="C9" s="27" t="s">
        <v>10</v>
      </c>
      <c r="D9" s="17">
        <v>6</v>
      </c>
      <c r="E9" s="3">
        <v>100.83999999999999</v>
      </c>
      <c r="F9" s="1">
        <v>19.100000000000001</v>
      </c>
      <c r="G9" s="1">
        <v>375.98999999999995</v>
      </c>
      <c r="H9" s="1">
        <v>294.25</v>
      </c>
      <c r="I9" s="1">
        <v>9.8000000000000004E-2</v>
      </c>
      <c r="J9" s="36">
        <v>6</v>
      </c>
      <c r="K9" s="90">
        <f t="shared" si="6"/>
        <v>11.865211200759374</v>
      </c>
      <c r="L9" s="58">
        <f t="shared" si="1"/>
        <v>2.734004994402824E-4</v>
      </c>
      <c r="M9" s="90">
        <f t="shared" si="2"/>
        <v>11.865484601258814</v>
      </c>
      <c r="N9" s="58">
        <f t="shared" si="3"/>
        <v>29.347082114937336</v>
      </c>
      <c r="O9" s="1">
        <f t="shared" si="4"/>
        <v>302.49708211493731</v>
      </c>
      <c r="P9" s="36">
        <f t="shared" si="0"/>
        <v>6.0252842835831535</v>
      </c>
      <c r="T9" s="153" t="s">
        <v>53</v>
      </c>
      <c r="U9" s="155">
        <f>SUM(P4:P102)</f>
        <v>9466.8725772168691</v>
      </c>
      <c r="V9" s="156"/>
      <c r="AB9">
        <f t="shared" si="5"/>
        <v>70.897379893953456</v>
      </c>
    </row>
    <row r="10" spans="2:28" ht="16" thickBot="1" x14ac:dyDescent="0.25">
      <c r="B10" s="108"/>
      <c r="C10" s="27"/>
      <c r="D10" s="17">
        <v>7</v>
      </c>
      <c r="E10" s="3">
        <v>117.60000000000001</v>
      </c>
      <c r="F10" s="1">
        <v>19.100000000000001</v>
      </c>
      <c r="G10" s="1">
        <v>392.75</v>
      </c>
      <c r="H10" s="1">
        <v>294.25</v>
      </c>
      <c r="I10" s="1">
        <v>1.4999999999999999E-2</v>
      </c>
      <c r="J10" s="36">
        <v>6</v>
      </c>
      <c r="K10" s="90">
        <f t="shared" si="6"/>
        <v>77.51937984496125</v>
      </c>
      <c r="L10" s="58">
        <f t="shared" si="1"/>
        <v>1.7862165963431786E-3</v>
      </c>
      <c r="M10" s="90">
        <f t="shared" si="2"/>
        <v>77.521166061557594</v>
      </c>
      <c r="N10" s="58">
        <f t="shared" si="3"/>
        <v>31.448147642786004</v>
      </c>
      <c r="O10" s="1">
        <f t="shared" si="4"/>
        <v>304.59814764278599</v>
      </c>
      <c r="P10" s="36">
        <f t="shared" si="0"/>
        <v>1.1113332878507403</v>
      </c>
      <c r="T10" s="154"/>
      <c r="U10" s="157"/>
      <c r="V10" s="158"/>
      <c r="AB10">
        <f t="shared" si="5"/>
        <v>73.258377854773812</v>
      </c>
    </row>
    <row r="11" spans="2:28" ht="16" thickBot="1" x14ac:dyDescent="0.25">
      <c r="B11" s="108"/>
      <c r="C11" s="27"/>
      <c r="D11" s="17">
        <v>8</v>
      </c>
      <c r="E11" s="3">
        <v>125.53999999999999</v>
      </c>
      <c r="F11" s="1">
        <v>19.100000000000001</v>
      </c>
      <c r="G11" s="1">
        <v>400.68999999999994</v>
      </c>
      <c r="H11" s="1">
        <v>294.25</v>
      </c>
      <c r="I11" s="1">
        <v>0.04</v>
      </c>
      <c r="J11" s="36">
        <v>6</v>
      </c>
      <c r="K11" s="90">
        <f t="shared" si="6"/>
        <v>29.069767441860467</v>
      </c>
      <c r="L11" s="58">
        <f t="shared" si="1"/>
        <v>6.6983122362869192E-4</v>
      </c>
      <c r="M11" s="90">
        <f>L11+K11</f>
        <v>29.070437273084096</v>
      </c>
      <c r="N11" s="58">
        <f t="shared" si="3"/>
        <v>32.443521168509058</v>
      </c>
      <c r="O11" s="1">
        <f t="shared" si="4"/>
        <v>305.59352116850903</v>
      </c>
      <c r="P11" s="36">
        <f t="shared" si="0"/>
        <v>3.2024450804421734</v>
      </c>
      <c r="AB11">
        <f t="shared" si="5"/>
        <v>74.156825578692803</v>
      </c>
    </row>
    <row r="12" spans="2:28" ht="33" thickBot="1" x14ac:dyDescent="0.25">
      <c r="B12" s="108"/>
      <c r="C12" s="27" t="s">
        <v>11</v>
      </c>
      <c r="D12" s="17">
        <v>9</v>
      </c>
      <c r="E12" s="3">
        <v>119.52000000000001</v>
      </c>
      <c r="F12" s="1">
        <v>24.4</v>
      </c>
      <c r="G12" s="1">
        <v>394.66999999999996</v>
      </c>
      <c r="H12" s="1">
        <v>299.54999999999995</v>
      </c>
      <c r="I12" s="1">
        <v>0.1</v>
      </c>
      <c r="J12" s="36">
        <v>6</v>
      </c>
      <c r="K12" s="90">
        <f t="shared" si="6"/>
        <v>11.627906976744187</v>
      </c>
      <c r="L12" s="58">
        <f t="shared" si="1"/>
        <v>2.6793248945147677E-4</v>
      </c>
      <c r="M12" s="90">
        <f t="shared" si="2"/>
        <v>11.628174909233639</v>
      </c>
      <c r="N12" s="58">
        <f t="shared" si="3"/>
        <v>36.324424403876186</v>
      </c>
      <c r="O12" s="1">
        <f t="shared" si="4"/>
        <v>309.47442440387618</v>
      </c>
      <c r="P12" s="36">
        <f t="shared" si="0"/>
        <v>7.1546546423257134</v>
      </c>
      <c r="T12" s="173" t="s">
        <v>34</v>
      </c>
      <c r="U12" s="155">
        <f>U9*0.000002891016576</f>
        <v>2.7368885543613809E-2</v>
      </c>
      <c r="V12" s="156"/>
      <c r="X12" s="33" t="s">
        <v>36</v>
      </c>
      <c r="Y12" s="171">
        <f>U17-U9</f>
        <v>78584.708719061862</v>
      </c>
      <c r="Z12" s="172"/>
      <c r="AB12">
        <f t="shared" si="5"/>
        <v>69.60807864468191</v>
      </c>
    </row>
    <row r="13" spans="2:28" ht="16" thickBot="1" x14ac:dyDescent="0.25">
      <c r="B13" s="108"/>
      <c r="C13" s="27"/>
      <c r="D13" s="17">
        <v>10</v>
      </c>
      <c r="E13" s="37">
        <v>118.73333333333333</v>
      </c>
      <c r="F13" s="1">
        <v>24.4</v>
      </c>
      <c r="G13" s="2">
        <v>393.88333333333333</v>
      </c>
      <c r="H13" s="1">
        <v>299.54999999999995</v>
      </c>
      <c r="I13" s="1">
        <v>3.7999999999999999E-2</v>
      </c>
      <c r="J13" s="36">
        <v>6</v>
      </c>
      <c r="K13" s="90">
        <f t="shared" si="6"/>
        <v>30.599755201958388</v>
      </c>
      <c r="L13" s="58">
        <f t="shared" si="1"/>
        <v>7.0508549855651784E-4</v>
      </c>
      <c r="M13" s="90">
        <f t="shared" si="2"/>
        <v>30.600460287456944</v>
      </c>
      <c r="N13" s="58">
        <f t="shared" si="3"/>
        <v>36.225806371940564</v>
      </c>
      <c r="O13" s="1">
        <f t="shared" si="4"/>
        <v>309.37580637194054</v>
      </c>
      <c r="P13" s="36">
        <f t="shared" si="0"/>
        <v>2.6962838528024489</v>
      </c>
      <c r="T13" s="174"/>
      <c r="U13" s="157"/>
      <c r="V13" s="158"/>
      <c r="X13" s="9"/>
      <c r="Y13" s="9"/>
      <c r="Z13" s="9"/>
      <c r="AB13">
        <f t="shared" si="5"/>
        <v>69.489775655299923</v>
      </c>
    </row>
    <row r="14" spans="2:28" ht="16" thickBot="1" x14ac:dyDescent="0.25">
      <c r="B14" s="108"/>
      <c r="C14" s="27"/>
      <c r="D14" s="17">
        <v>11</v>
      </c>
      <c r="E14" s="37">
        <v>85.166666666666671</v>
      </c>
      <c r="F14" s="1">
        <v>24.4</v>
      </c>
      <c r="G14" s="2">
        <v>360.31666666666666</v>
      </c>
      <c r="H14" s="1">
        <v>299.54999999999995</v>
      </c>
      <c r="I14" s="1">
        <v>3.1E-2</v>
      </c>
      <c r="J14" s="36">
        <v>6</v>
      </c>
      <c r="K14" s="90">
        <f t="shared" si="6"/>
        <v>37.509377344336087</v>
      </c>
      <c r="L14" s="58">
        <f t="shared" si="1"/>
        <v>8.6429835306927997E-4</v>
      </c>
      <c r="M14" s="90">
        <f t="shared" si="2"/>
        <v>37.510241642689159</v>
      </c>
      <c r="N14" s="58">
        <f t="shared" si="3"/>
        <v>32.017825094009773</v>
      </c>
      <c r="O14" s="1">
        <f t="shared" si="4"/>
        <v>305.16782509400974</v>
      </c>
      <c r="P14" s="36">
        <f t="shared" si="0"/>
        <v>1.416915467485818</v>
      </c>
      <c r="AB14">
        <f t="shared" si="5"/>
        <v>62.405684821123558</v>
      </c>
    </row>
    <row r="15" spans="2:28" ht="15" customHeight="1" x14ac:dyDescent="0.2">
      <c r="B15" s="108"/>
      <c r="C15" s="27"/>
      <c r="D15" s="17">
        <v>12</v>
      </c>
      <c r="E15" s="3">
        <v>146.19999999999999</v>
      </c>
      <c r="F15" s="1">
        <v>24.4</v>
      </c>
      <c r="G15" s="2">
        <v>421.34999999999997</v>
      </c>
      <c r="H15" s="1">
        <v>299.54999999999995</v>
      </c>
      <c r="I15" s="1">
        <v>0.17199999999999999</v>
      </c>
      <c r="J15" s="36">
        <v>6</v>
      </c>
      <c r="K15" s="90">
        <f t="shared" si="6"/>
        <v>6.7604110329908069</v>
      </c>
      <c r="L15" s="58">
        <f t="shared" si="1"/>
        <v>1.5577470316946327E-4</v>
      </c>
      <c r="M15" s="90">
        <f t="shared" si="2"/>
        <v>6.7605668076939764</v>
      </c>
      <c r="N15" s="58">
        <f t="shared" si="3"/>
        <v>39.669080029353644</v>
      </c>
      <c r="O15" s="1">
        <f t="shared" si="4"/>
        <v>312.81908002935364</v>
      </c>
      <c r="P15" s="36">
        <f t="shared" si="0"/>
        <v>15.757690590292963</v>
      </c>
      <c r="X15" s="165" t="s">
        <v>37</v>
      </c>
      <c r="Y15" s="167">
        <f>U20-U12</f>
        <v>0.22718969552693954</v>
      </c>
      <c r="Z15" s="168"/>
      <c r="AB15">
        <f t="shared" si="5"/>
        <v>72.866566327391482</v>
      </c>
    </row>
    <row r="16" spans="2:28" ht="16" thickBot="1" x14ac:dyDescent="0.25">
      <c r="B16" s="108"/>
      <c r="C16" s="27" t="s">
        <v>12</v>
      </c>
      <c r="D16" s="17">
        <v>13</v>
      </c>
      <c r="E16" s="3">
        <v>122.7</v>
      </c>
      <c r="F16" s="1">
        <v>28.3</v>
      </c>
      <c r="G16" s="2">
        <v>397.84999999999997</v>
      </c>
      <c r="H16" s="1">
        <v>303.45</v>
      </c>
      <c r="I16" s="1">
        <v>0.155</v>
      </c>
      <c r="J16" s="36">
        <v>6</v>
      </c>
      <c r="K16" s="90">
        <f t="shared" si="6"/>
        <v>7.501875468867218</v>
      </c>
      <c r="L16" s="58">
        <f t="shared" si="1"/>
        <v>1.7285967061385598E-4</v>
      </c>
      <c r="M16" s="90">
        <f t="shared" si="2"/>
        <v>7.5020483285378319</v>
      </c>
      <c r="N16" s="58">
        <f t="shared" si="3"/>
        <v>40.134163832274098</v>
      </c>
      <c r="O16" s="1">
        <f t="shared" si="4"/>
        <v>313.28416383227409</v>
      </c>
      <c r="P16" s="36">
        <f t="shared" si="0"/>
        <v>11.005772364014909</v>
      </c>
      <c r="X16" s="166"/>
      <c r="Y16" s="169"/>
      <c r="Z16" s="170"/>
      <c r="AB16">
        <f t="shared" si="5"/>
        <v>67.290820022596506</v>
      </c>
    </row>
    <row r="17" spans="2:28" x14ac:dyDescent="0.2">
      <c r="B17" s="108"/>
      <c r="C17" s="27"/>
      <c r="D17" s="17">
        <v>14</v>
      </c>
      <c r="E17" s="37">
        <v>118.86666666666667</v>
      </c>
      <c r="F17" s="1">
        <v>28.3</v>
      </c>
      <c r="G17" s="2">
        <v>394.01666666666665</v>
      </c>
      <c r="H17" s="1">
        <v>303.45</v>
      </c>
      <c r="I17" s="1">
        <v>0.17760000000000001</v>
      </c>
      <c r="J17" s="36">
        <v>6</v>
      </c>
      <c r="K17" s="90">
        <f t="shared" si="6"/>
        <v>6.5472449193379427</v>
      </c>
      <c r="L17" s="58">
        <f t="shared" si="1"/>
        <v>1.5086288820466035E-4</v>
      </c>
      <c r="M17" s="90">
        <f t="shared" si="2"/>
        <v>6.5473957822261477</v>
      </c>
      <c r="N17" s="58">
        <f t="shared" si="3"/>
        <v>39.6536098630963</v>
      </c>
      <c r="O17" s="1">
        <f t="shared" si="4"/>
        <v>312.80360986309626</v>
      </c>
      <c r="P17" s="36">
        <f t="shared" si="0"/>
        <v>12.098406670115418</v>
      </c>
      <c r="T17" s="145" t="s">
        <v>52</v>
      </c>
      <c r="U17" s="114">
        <v>88051.581296278731</v>
      </c>
      <c r="V17" s="115"/>
      <c r="AB17">
        <f t="shared" si="5"/>
        <v>66.640260911584718</v>
      </c>
    </row>
    <row r="18" spans="2:28" ht="16" thickBot="1" x14ac:dyDescent="0.25">
      <c r="B18" s="108"/>
      <c r="C18" s="27"/>
      <c r="D18" s="17">
        <v>15</v>
      </c>
      <c r="E18" s="3">
        <v>73.56</v>
      </c>
      <c r="F18" s="1">
        <v>28.3</v>
      </c>
      <c r="G18" s="2">
        <v>348.71</v>
      </c>
      <c r="H18" s="1">
        <v>303.45</v>
      </c>
      <c r="I18" s="1">
        <v>3.7499999999999999E-2</v>
      </c>
      <c r="J18" s="36">
        <v>6</v>
      </c>
      <c r="K18" s="90">
        <f t="shared" si="6"/>
        <v>31.007751937984501</v>
      </c>
      <c r="L18" s="58">
        <f t="shared" si="1"/>
        <v>7.1448663853727152E-4</v>
      </c>
      <c r="M18" s="90">
        <f t="shared" si="2"/>
        <v>31.008466424623037</v>
      </c>
      <c r="N18" s="58">
        <f t="shared" si="3"/>
        <v>33.973879820431421</v>
      </c>
      <c r="O18" s="1">
        <f t="shared" si="4"/>
        <v>307.1238798204314</v>
      </c>
      <c r="P18" s="36">
        <f t="shared" si="0"/>
        <v>1.2766229595970693</v>
      </c>
      <c r="T18" s="146"/>
      <c r="U18" s="116"/>
      <c r="V18" s="117"/>
      <c r="AB18">
        <f t="shared" si="5"/>
        <v>53.814736513823519</v>
      </c>
    </row>
    <row r="19" spans="2:28" ht="16" thickBot="1" x14ac:dyDescent="0.25">
      <c r="B19" s="108"/>
      <c r="C19" s="27" t="s">
        <v>13</v>
      </c>
      <c r="D19" s="17">
        <v>16</v>
      </c>
      <c r="E19" s="3">
        <v>149.1</v>
      </c>
      <c r="F19" s="1">
        <v>19.399999999999999</v>
      </c>
      <c r="G19" s="2">
        <v>424.25</v>
      </c>
      <c r="H19" s="1">
        <v>294.54999999999995</v>
      </c>
      <c r="I19" s="1">
        <v>0.29399999999999998</v>
      </c>
      <c r="J19" s="36">
        <v>6</v>
      </c>
      <c r="K19" s="90">
        <f t="shared" si="6"/>
        <v>3.955070400253125</v>
      </c>
      <c r="L19" s="58">
        <f t="shared" si="1"/>
        <v>9.1133499813427486E-5</v>
      </c>
      <c r="M19" s="90">
        <f t="shared" si="2"/>
        <v>3.9551615337529382</v>
      </c>
      <c r="N19" s="58">
        <f t="shared" si="3"/>
        <v>35.659439078876595</v>
      </c>
      <c r="O19" s="1">
        <f t="shared" si="4"/>
        <v>308.80943907887655</v>
      </c>
      <c r="P19" s="36">
        <f t="shared" si="0"/>
        <v>28.681650535138314</v>
      </c>
      <c r="AB19">
        <f t="shared" si="5"/>
        <v>76.083541865273915</v>
      </c>
    </row>
    <row r="20" spans="2:28" x14ac:dyDescent="0.2">
      <c r="B20" s="108"/>
      <c r="C20" s="27"/>
      <c r="D20" s="17">
        <v>17</v>
      </c>
      <c r="E20" s="3">
        <v>104.05000000000001</v>
      </c>
      <c r="F20" s="1">
        <v>19.399999999999999</v>
      </c>
      <c r="G20" s="2">
        <v>379.2</v>
      </c>
      <c r="H20" s="1">
        <v>294.54999999999995</v>
      </c>
      <c r="I20" s="1">
        <v>0.09</v>
      </c>
      <c r="J20" s="36">
        <v>6</v>
      </c>
      <c r="K20" s="90">
        <f t="shared" si="6"/>
        <v>12.919896640826876</v>
      </c>
      <c r="L20" s="58">
        <f t="shared" si="1"/>
        <v>2.9770276605719647E-4</v>
      </c>
      <c r="M20" s="90">
        <f t="shared" si="2"/>
        <v>12.920194343592932</v>
      </c>
      <c r="N20" s="58">
        <f t="shared" si="3"/>
        <v>30.011885258495784</v>
      </c>
      <c r="O20" s="1">
        <f t="shared" si="4"/>
        <v>303.16188525849577</v>
      </c>
      <c r="P20" s="36">
        <f t="shared" si="0"/>
        <v>5.7304180395877244</v>
      </c>
      <c r="T20" s="147" t="s">
        <v>33</v>
      </c>
      <c r="U20" s="149">
        <v>0.25455858107055335</v>
      </c>
      <c r="V20" s="150"/>
      <c r="AB20">
        <f t="shared" si="5"/>
        <v>71.156285191258263</v>
      </c>
    </row>
    <row r="21" spans="2:28" ht="16" thickBot="1" x14ac:dyDescent="0.25">
      <c r="B21" s="108"/>
      <c r="C21" s="27" t="s">
        <v>14</v>
      </c>
      <c r="D21" s="17">
        <v>18</v>
      </c>
      <c r="E21" s="3">
        <v>86.300000000000011</v>
      </c>
      <c r="F21" s="1">
        <v>24.7</v>
      </c>
      <c r="G21" s="2">
        <v>361.45</v>
      </c>
      <c r="H21" s="1">
        <v>299.84999999999997</v>
      </c>
      <c r="I21" s="1">
        <v>0.1694</v>
      </c>
      <c r="J21" s="36">
        <v>6</v>
      </c>
      <c r="K21" s="90">
        <f t="shared" si="6"/>
        <v>6.8641717690343489</v>
      </c>
      <c r="L21" s="58">
        <f t="shared" si="1"/>
        <v>1.5816557818859316E-4</v>
      </c>
      <c r="M21" s="90">
        <f t="shared" si="2"/>
        <v>6.8643299346125373</v>
      </c>
      <c r="N21" s="58">
        <f t="shared" si="3"/>
        <v>32.422293348178854</v>
      </c>
      <c r="O21" s="1">
        <f t="shared" si="4"/>
        <v>305.57229334817885</v>
      </c>
      <c r="P21" s="36">
        <f t="shared" si="0"/>
        <v>7.8489389590889882</v>
      </c>
      <c r="T21" s="148"/>
      <c r="U21" s="151"/>
      <c r="V21" s="152"/>
      <c r="AB21">
        <f t="shared" si="5"/>
        <v>62.430714544404573</v>
      </c>
    </row>
    <row r="22" spans="2:28" x14ac:dyDescent="0.2">
      <c r="B22" s="108"/>
      <c r="C22" s="27"/>
      <c r="D22" s="17">
        <v>19</v>
      </c>
      <c r="E22" s="3">
        <v>152.78</v>
      </c>
      <c r="F22" s="1">
        <v>24.7</v>
      </c>
      <c r="G22" s="1">
        <v>427.92999999999995</v>
      </c>
      <c r="H22" s="1">
        <v>299.84999999999997</v>
      </c>
      <c r="I22" s="1">
        <v>0.5</v>
      </c>
      <c r="J22" s="36">
        <v>6</v>
      </c>
      <c r="K22" s="90">
        <f t="shared" si="6"/>
        <v>2.3255813953488373</v>
      </c>
      <c r="L22" s="58">
        <f t="shared" si="1"/>
        <v>5.3586497890295356E-5</v>
      </c>
      <c r="M22" s="90">
        <f t="shared" si="2"/>
        <v>2.3256349818467275</v>
      </c>
      <c r="N22" s="58">
        <f t="shared" si="3"/>
        <v>40.756352792771885</v>
      </c>
      <c r="O22" s="1">
        <f t="shared" si="4"/>
        <v>313.90635279277188</v>
      </c>
      <c r="P22" s="36">
        <f t="shared" si="0"/>
        <v>48.169058378315654</v>
      </c>
      <c r="AB22">
        <f t="shared" si="5"/>
        <v>73.323502557421207</v>
      </c>
    </row>
    <row r="23" spans="2:28" x14ac:dyDescent="0.2">
      <c r="B23" s="108" t="s">
        <v>25</v>
      </c>
      <c r="C23" s="27"/>
      <c r="D23" s="17">
        <v>20</v>
      </c>
      <c r="E23" s="38">
        <v>82.7</v>
      </c>
      <c r="F23" s="39">
        <v>24.4</v>
      </c>
      <c r="G23" s="39">
        <v>357.84999999999997</v>
      </c>
      <c r="H23" s="39">
        <v>299.54999999999995</v>
      </c>
      <c r="I23" s="39">
        <v>7.0000000000000007E-2</v>
      </c>
      <c r="J23" s="36">
        <v>6</v>
      </c>
      <c r="K23" s="90">
        <f t="shared" si="6"/>
        <v>16.611295681063122</v>
      </c>
      <c r="L23" s="58">
        <f t="shared" si="1"/>
        <v>3.827606992163954E-4</v>
      </c>
      <c r="M23" s="90">
        <f t="shared" si="2"/>
        <v>16.61167844176234</v>
      </c>
      <c r="N23" s="58">
        <f t="shared" si="3"/>
        <v>31.708599061669279</v>
      </c>
      <c r="O23" s="39">
        <f t="shared" si="4"/>
        <v>304.85859906166928</v>
      </c>
      <c r="P23" s="36">
        <f t="shared" si="0"/>
        <v>3.0696116059010983</v>
      </c>
      <c r="AB23">
        <f t="shared" si="5"/>
        <v>61.658284085043192</v>
      </c>
    </row>
    <row r="24" spans="2:28" x14ac:dyDescent="0.2">
      <c r="B24" s="108"/>
      <c r="C24" s="27"/>
      <c r="D24" s="17">
        <v>21</v>
      </c>
      <c r="E24" s="38">
        <v>103.9</v>
      </c>
      <c r="F24" s="39">
        <v>24.4</v>
      </c>
      <c r="G24" s="39">
        <v>379.04999999999995</v>
      </c>
      <c r="H24" s="39">
        <v>299.54999999999995</v>
      </c>
      <c r="I24" s="39">
        <v>0.08</v>
      </c>
      <c r="J24" s="36">
        <v>6</v>
      </c>
      <c r="K24" s="90">
        <f t="shared" si="6"/>
        <v>14.534883720930234</v>
      </c>
      <c r="L24" s="58">
        <f t="shared" si="1"/>
        <v>3.3491561181434596E-4</v>
      </c>
      <c r="M24" s="90">
        <f t="shared" si="2"/>
        <v>14.535218636542048</v>
      </c>
      <c r="N24" s="58">
        <f t="shared" si="3"/>
        <v>34.366271447730838</v>
      </c>
      <c r="O24" s="39">
        <f t="shared" si="4"/>
        <v>307.51627144773079</v>
      </c>
      <c r="P24" s="36">
        <f t="shared" si="0"/>
        <v>4.7838102949108032</v>
      </c>
      <c r="AB24">
        <f t="shared" si="5"/>
        <v>66.923704092655598</v>
      </c>
    </row>
    <row r="25" spans="2:28" x14ac:dyDescent="0.2">
      <c r="B25" s="108"/>
      <c r="C25" s="27"/>
      <c r="D25" s="17">
        <v>22</v>
      </c>
      <c r="E25" s="38">
        <v>139.4</v>
      </c>
      <c r="F25" s="39">
        <v>24.4</v>
      </c>
      <c r="G25" s="39">
        <v>414.54999999999995</v>
      </c>
      <c r="H25" s="39">
        <v>299.54999999999995</v>
      </c>
      <c r="I25" s="39">
        <v>3.1399999999999997E-2</v>
      </c>
      <c r="J25" s="36">
        <v>6</v>
      </c>
      <c r="K25" s="90">
        <f t="shared" si="6"/>
        <v>37.031550881350917</v>
      </c>
      <c r="L25" s="58">
        <f t="shared" si="1"/>
        <v>8.5328818296648659E-4</v>
      </c>
      <c r="M25" s="90">
        <f t="shared" si="2"/>
        <v>37.032404169533883</v>
      </c>
      <c r="N25" s="58">
        <f t="shared" si="3"/>
        <v>38.816619075333911</v>
      </c>
      <c r="O25" s="39">
        <f t="shared" si="4"/>
        <v>311.96661907533388</v>
      </c>
      <c r="P25" s="36">
        <f t="shared" si="0"/>
        <v>2.7160910337929089</v>
      </c>
      <c r="AB25">
        <f t="shared" si="5"/>
        <v>72.154505684839378</v>
      </c>
    </row>
    <row r="26" spans="2:28" x14ac:dyDescent="0.2">
      <c r="B26" s="108"/>
      <c r="C26" s="27"/>
      <c r="D26" s="17">
        <v>23</v>
      </c>
      <c r="E26" s="38">
        <v>194</v>
      </c>
      <c r="F26" s="39">
        <v>24.4</v>
      </c>
      <c r="G26" s="39">
        <v>469.15</v>
      </c>
      <c r="H26" s="39">
        <v>299.54999999999995</v>
      </c>
      <c r="I26" s="39">
        <v>0.35</v>
      </c>
      <c r="J26" s="36">
        <v>6</v>
      </c>
      <c r="K26" s="90">
        <f t="shared" si="6"/>
        <v>3.3222591362126255</v>
      </c>
      <c r="L26" s="58">
        <f t="shared" si="1"/>
        <v>7.6552139843279096E-5</v>
      </c>
      <c r="M26" s="90">
        <f t="shared" si="2"/>
        <v>3.3223356883524686</v>
      </c>
      <c r="N26" s="58">
        <f t="shared" si="3"/>
        <v>45.661379088492446</v>
      </c>
      <c r="O26" s="39">
        <f t="shared" si="4"/>
        <v>318.8113790884924</v>
      </c>
      <c r="P26" s="36">
        <f t="shared" si="0"/>
        <v>44.648896085834131</v>
      </c>
      <c r="AB26">
        <f t="shared" si="5"/>
        <v>76.463206655416258</v>
      </c>
    </row>
    <row r="27" spans="2:28" x14ac:dyDescent="0.2">
      <c r="B27" s="108"/>
      <c r="C27" s="27"/>
      <c r="D27" s="17">
        <v>24</v>
      </c>
      <c r="E27" s="38">
        <v>194</v>
      </c>
      <c r="F27" s="39">
        <v>24.4</v>
      </c>
      <c r="G27" s="39">
        <v>469.15</v>
      </c>
      <c r="H27" s="39">
        <v>299.54999999999995</v>
      </c>
      <c r="I27" s="39">
        <v>0.35</v>
      </c>
      <c r="J27" s="36">
        <v>6</v>
      </c>
      <c r="K27" s="90">
        <f t="shared" si="6"/>
        <v>3.3222591362126255</v>
      </c>
      <c r="L27" s="58">
        <f t="shared" si="1"/>
        <v>7.6552139843279096E-5</v>
      </c>
      <c r="M27" s="90">
        <f t="shared" si="2"/>
        <v>3.3223356883524686</v>
      </c>
      <c r="N27" s="58">
        <f t="shared" si="3"/>
        <v>45.661379088492446</v>
      </c>
      <c r="O27" s="39">
        <f t="shared" si="4"/>
        <v>318.8113790884924</v>
      </c>
      <c r="P27" s="36">
        <f t="shared" si="0"/>
        <v>44.648896085834131</v>
      </c>
      <c r="AB27">
        <f t="shared" si="5"/>
        <v>76.463206655416258</v>
      </c>
    </row>
    <row r="28" spans="2:28" x14ac:dyDescent="0.2">
      <c r="B28" s="108"/>
      <c r="C28" s="27"/>
      <c r="D28" s="17">
        <v>25</v>
      </c>
      <c r="E28" s="38">
        <v>143.6</v>
      </c>
      <c r="F28" s="39">
        <v>24.4</v>
      </c>
      <c r="G28" s="39">
        <v>418.75</v>
      </c>
      <c r="H28" s="39">
        <v>299.54999999999995</v>
      </c>
      <c r="I28" s="39">
        <v>3.1399999999999997E-2</v>
      </c>
      <c r="J28" s="36">
        <v>6</v>
      </c>
      <c r="K28" s="90">
        <f t="shared" si="6"/>
        <v>37.031550881350917</v>
      </c>
      <c r="L28" s="58">
        <f t="shared" si="1"/>
        <v>8.5328818296648659E-4</v>
      </c>
      <c r="M28" s="90">
        <f t="shared" si="2"/>
        <v>37.032404169533883</v>
      </c>
      <c r="N28" s="58">
        <f t="shared" si="3"/>
        <v>39.343139076346098</v>
      </c>
      <c r="O28" s="39">
        <f t="shared" si="4"/>
        <v>312.4931390763461</v>
      </c>
      <c r="P28" s="36">
        <f t="shared" si="0"/>
        <v>2.8152874019836047</v>
      </c>
      <c r="T28" s="159"/>
      <c r="U28" s="142"/>
      <c r="V28" s="142"/>
      <c r="AB28">
        <f t="shared" si="5"/>
        <v>72.602270838199104</v>
      </c>
    </row>
    <row r="29" spans="2:28" x14ac:dyDescent="0.2">
      <c r="B29" s="108"/>
      <c r="C29" s="27"/>
      <c r="D29" s="17">
        <v>26</v>
      </c>
      <c r="E29" s="38">
        <v>194</v>
      </c>
      <c r="F29" s="39">
        <v>24.4</v>
      </c>
      <c r="G29" s="39">
        <v>469.15</v>
      </c>
      <c r="H29" s="39">
        <v>299.54999999999995</v>
      </c>
      <c r="I29" s="39">
        <v>0.64</v>
      </c>
      <c r="J29" s="36">
        <v>6</v>
      </c>
      <c r="K29" s="90">
        <f t="shared" si="6"/>
        <v>1.8168604651162792</v>
      </c>
      <c r="L29" s="58">
        <f t="shared" si="1"/>
        <v>4.1864451476793245E-5</v>
      </c>
      <c r="M29" s="90">
        <f t="shared" si="2"/>
        <v>1.816902329567756</v>
      </c>
      <c r="N29" s="58">
        <f t="shared" si="3"/>
        <v>45.661379088492446</v>
      </c>
      <c r="O29" s="39">
        <f t="shared" si="4"/>
        <v>318.8113790884924</v>
      </c>
      <c r="P29" s="36">
        <f t="shared" si="0"/>
        <v>81.643695699810991</v>
      </c>
      <c r="T29" s="159"/>
      <c r="U29" s="142"/>
      <c r="V29" s="142"/>
      <c r="AB29">
        <f t="shared" si="5"/>
        <v>76.463206655416258</v>
      </c>
    </row>
    <row r="30" spans="2:28" x14ac:dyDescent="0.2">
      <c r="B30" s="108"/>
      <c r="C30" s="27"/>
      <c r="D30" s="17">
        <v>27</v>
      </c>
      <c r="E30" s="38">
        <v>194</v>
      </c>
      <c r="F30" s="39">
        <v>24.4</v>
      </c>
      <c r="G30" s="39">
        <v>469.15</v>
      </c>
      <c r="H30" s="39">
        <v>299.54999999999995</v>
      </c>
      <c r="I30" s="39">
        <v>0.38479999999999998</v>
      </c>
      <c r="J30" s="36">
        <v>6</v>
      </c>
      <c r="K30" s="90">
        <f t="shared" si="6"/>
        <v>3.021805347386743</v>
      </c>
      <c r="L30" s="58">
        <f t="shared" si="1"/>
        <v>6.9629025325227857E-5</v>
      </c>
      <c r="M30" s="90">
        <f t="shared" si="2"/>
        <v>3.021874976412068</v>
      </c>
      <c r="N30" s="58">
        <f t="shared" si="3"/>
        <v>45.661379088492446</v>
      </c>
      <c r="O30" s="39">
        <f t="shared" si="4"/>
        <v>318.8113790884924</v>
      </c>
      <c r="P30" s="36">
        <f t="shared" si="0"/>
        <v>49.088272039511359</v>
      </c>
      <c r="AB30">
        <f t="shared" si="5"/>
        <v>76.463206655416258</v>
      </c>
    </row>
    <row r="31" spans="2:28" ht="19" x14ac:dyDescent="0.2">
      <c r="B31" s="108"/>
      <c r="C31" s="27"/>
      <c r="D31" s="17">
        <v>28</v>
      </c>
      <c r="E31" s="38">
        <v>75.8</v>
      </c>
      <c r="F31" s="39">
        <v>22</v>
      </c>
      <c r="G31" s="39">
        <v>350.95</v>
      </c>
      <c r="H31" s="39">
        <v>297.14999999999998</v>
      </c>
      <c r="I31" s="39">
        <v>0.25130000000000002</v>
      </c>
      <c r="J31" s="36">
        <v>6</v>
      </c>
      <c r="K31" s="90">
        <f t="shared" si="6"/>
        <v>4.6271018610203685</v>
      </c>
      <c r="L31" s="58">
        <f t="shared" si="1"/>
        <v>1.0661857916891236E-4</v>
      </c>
      <c r="M31" s="90">
        <f t="shared" si="2"/>
        <v>4.6272084795995374</v>
      </c>
      <c r="N31" s="58">
        <f t="shared" si="3"/>
        <v>28.74447048915621</v>
      </c>
      <c r="O31" s="39">
        <f t="shared" si="4"/>
        <v>301.89447048915616</v>
      </c>
      <c r="P31" s="36">
        <f t="shared" si="0"/>
        <v>10.169312603549734</v>
      </c>
      <c r="T31" s="144"/>
      <c r="U31" s="142"/>
      <c r="V31" s="142"/>
      <c r="X31" s="9"/>
      <c r="Y31" s="143"/>
      <c r="Z31" s="143"/>
      <c r="AB31">
        <f t="shared" si="5"/>
        <v>62.078534974727951</v>
      </c>
    </row>
    <row r="32" spans="2:28" x14ac:dyDescent="0.2">
      <c r="B32" s="108"/>
      <c r="C32" s="27"/>
      <c r="D32" s="17">
        <v>29</v>
      </c>
      <c r="E32" s="38">
        <v>84.8</v>
      </c>
      <c r="F32" s="39">
        <v>25.2</v>
      </c>
      <c r="G32" s="39">
        <v>359.95</v>
      </c>
      <c r="H32" s="39">
        <v>300.34999999999997</v>
      </c>
      <c r="I32" s="39">
        <v>0.69</v>
      </c>
      <c r="J32" s="36">
        <v>6</v>
      </c>
      <c r="K32" s="90">
        <f t="shared" si="6"/>
        <v>1.6852039096730709</v>
      </c>
      <c r="L32" s="58">
        <f t="shared" si="1"/>
        <v>3.8830795572677797E-5</v>
      </c>
      <c r="M32" s="90">
        <f t="shared" si="2"/>
        <v>1.6852427404686436</v>
      </c>
      <c r="N32" s="58">
        <f t="shared" si="3"/>
        <v>32.671569538173053</v>
      </c>
      <c r="O32" s="39">
        <f t="shared" si="4"/>
        <v>305.82156953817304</v>
      </c>
      <c r="P32" s="36">
        <f t="shared" si="0"/>
        <v>30.932297888036437</v>
      </c>
      <c r="T32" s="144"/>
      <c r="U32" s="142"/>
      <c r="V32" s="142"/>
      <c r="X32" s="9"/>
      <c r="Y32" s="9"/>
      <c r="Z32" s="9"/>
      <c r="AB32">
        <f t="shared" si="5"/>
        <v>61.472205733286494</v>
      </c>
    </row>
    <row r="33" spans="2:28" ht="15" customHeight="1" x14ac:dyDescent="0.2">
      <c r="B33" s="108"/>
      <c r="C33" s="27"/>
      <c r="D33" s="17">
        <v>30</v>
      </c>
      <c r="E33" s="38">
        <v>94.7</v>
      </c>
      <c r="F33" s="39">
        <v>25.2</v>
      </c>
      <c r="G33" s="39">
        <v>369.84999999999997</v>
      </c>
      <c r="H33" s="39">
        <v>300.34999999999997</v>
      </c>
      <c r="I33" s="39">
        <v>0.127</v>
      </c>
      <c r="J33" s="36">
        <v>6</v>
      </c>
      <c r="K33" s="90">
        <f t="shared" si="6"/>
        <v>9.1558322651529043</v>
      </c>
      <c r="L33" s="58">
        <f t="shared" si="1"/>
        <v>2.1097046413502107E-4</v>
      </c>
      <c r="M33" s="90">
        <f t="shared" si="2"/>
        <v>9.1560432356170391</v>
      </c>
      <c r="N33" s="58">
        <f t="shared" si="3"/>
        <v>33.912652397701798</v>
      </c>
      <c r="O33" s="39">
        <f t="shared" si="4"/>
        <v>307.06265239770175</v>
      </c>
      <c r="P33" s="36">
        <f t="shared" si="0"/>
        <v>6.6390411270487713</v>
      </c>
      <c r="AB33">
        <f t="shared" si="5"/>
        <v>64.189385007706647</v>
      </c>
    </row>
    <row r="34" spans="2:28" ht="15.75" customHeight="1" x14ac:dyDescent="0.2">
      <c r="B34" s="108"/>
      <c r="C34" s="27"/>
      <c r="D34" s="17">
        <v>31</v>
      </c>
      <c r="E34" s="38">
        <v>194</v>
      </c>
      <c r="F34" s="39">
        <v>25.5</v>
      </c>
      <c r="G34" s="39">
        <v>469.15</v>
      </c>
      <c r="H34" s="39">
        <v>300.64999999999998</v>
      </c>
      <c r="I34" s="39">
        <v>0.12759999999999999</v>
      </c>
      <c r="J34" s="36">
        <v>6</v>
      </c>
      <c r="K34" s="90">
        <f t="shared" si="6"/>
        <v>9.1127797623387057</v>
      </c>
      <c r="L34" s="58">
        <f t="shared" si="1"/>
        <v>2.0997844000899434E-4</v>
      </c>
      <c r="M34" s="90">
        <f t="shared" si="2"/>
        <v>9.1129897407787155</v>
      </c>
      <c r="N34" s="58">
        <f t="shared" si="3"/>
        <v>46.623480992989244</v>
      </c>
      <c r="O34" s="39">
        <f t="shared" si="4"/>
        <v>319.77348099298922</v>
      </c>
      <c r="P34" s="36">
        <f t="shared" si="0"/>
        <v>16.172137048232564</v>
      </c>
      <c r="X34" s="144"/>
      <c r="Y34" s="142"/>
      <c r="Z34" s="142"/>
      <c r="AB34">
        <f t="shared" si="5"/>
        <v>75.967277838665339</v>
      </c>
    </row>
    <row r="35" spans="2:28" x14ac:dyDescent="0.2">
      <c r="B35" s="108"/>
      <c r="C35" s="27"/>
      <c r="D35" s="17">
        <v>32</v>
      </c>
      <c r="E35" s="38">
        <v>92.1</v>
      </c>
      <c r="F35" s="39">
        <v>25</v>
      </c>
      <c r="G35" s="39">
        <v>367.25</v>
      </c>
      <c r="H35" s="39">
        <v>300.14999999999998</v>
      </c>
      <c r="I35" s="39">
        <v>0.35</v>
      </c>
      <c r="J35" s="36">
        <v>6</v>
      </c>
      <c r="K35" s="90">
        <f t="shared" si="6"/>
        <v>3.3222591362126255</v>
      </c>
      <c r="L35" s="58">
        <f t="shared" si="1"/>
        <v>7.6552139843279096E-5</v>
      </c>
      <c r="M35" s="90">
        <f t="shared" si="2"/>
        <v>3.3223356883524686</v>
      </c>
      <c r="N35" s="58">
        <f t="shared" si="3"/>
        <v>33.411783825694826</v>
      </c>
      <c r="O35" s="39">
        <f t="shared" si="4"/>
        <v>306.56178382569482</v>
      </c>
      <c r="P35" s="36">
        <f t="shared" si="0"/>
        <v>17.664746033959133</v>
      </c>
      <c r="U35" s="121"/>
      <c r="V35" s="121"/>
      <c r="X35" s="144"/>
      <c r="Y35" s="142"/>
      <c r="Z35" s="142"/>
      <c r="AB35">
        <f t="shared" si="5"/>
        <v>63.722275976444273</v>
      </c>
    </row>
    <row r="36" spans="2:28" ht="15" customHeight="1" x14ac:dyDescent="0.2">
      <c r="B36" s="108"/>
      <c r="C36" s="27"/>
      <c r="D36" s="17">
        <v>33</v>
      </c>
      <c r="E36" s="38">
        <v>116.9</v>
      </c>
      <c r="F36" s="39">
        <v>25</v>
      </c>
      <c r="G36" s="39">
        <v>392.04999999999995</v>
      </c>
      <c r="H36" s="39">
        <v>300.14999999999998</v>
      </c>
      <c r="I36" s="39">
        <v>0.35</v>
      </c>
      <c r="J36" s="36">
        <v>6</v>
      </c>
      <c r="K36" s="90">
        <f t="shared" si="6"/>
        <v>3.3222591362126255</v>
      </c>
      <c r="L36" s="58">
        <f t="shared" si="1"/>
        <v>7.6552139843279096E-5</v>
      </c>
      <c r="M36" s="90">
        <f t="shared" si="2"/>
        <v>3.3223356883524686</v>
      </c>
      <c r="N36" s="58">
        <f t="shared" si="3"/>
        <v>36.520759069766839</v>
      </c>
      <c r="O36" s="39">
        <f t="shared" si="4"/>
        <v>309.6707590697668</v>
      </c>
      <c r="P36" s="36">
        <f t="shared" ref="P36:P67" si="7">J36*I36*(N36-F36)</f>
        <v>24.193594046510359</v>
      </c>
      <c r="T36" s="141"/>
      <c r="U36" s="132"/>
      <c r="V36" s="132"/>
      <c r="AB36">
        <f t="shared" si="5"/>
        <v>68.758974277359414</v>
      </c>
    </row>
    <row r="37" spans="2:28" x14ac:dyDescent="0.2">
      <c r="B37" s="108"/>
      <c r="C37" s="27"/>
      <c r="D37" s="17">
        <v>34</v>
      </c>
      <c r="E37" s="38">
        <v>194</v>
      </c>
      <c r="F37" s="39">
        <v>25</v>
      </c>
      <c r="G37" s="39">
        <v>469.15</v>
      </c>
      <c r="H37" s="39">
        <v>300.14999999999998</v>
      </c>
      <c r="I37" s="39">
        <v>0.35</v>
      </c>
      <c r="J37" s="36">
        <v>6</v>
      </c>
      <c r="K37" s="90">
        <f t="shared" si="6"/>
        <v>3.3222591362126255</v>
      </c>
      <c r="L37" s="58">
        <f t="shared" si="1"/>
        <v>7.6552139843279096E-5</v>
      </c>
      <c r="M37" s="90">
        <f t="shared" si="2"/>
        <v>3.3223356883524686</v>
      </c>
      <c r="N37" s="58">
        <f t="shared" si="3"/>
        <v>46.186161945490696</v>
      </c>
      <c r="O37" s="39">
        <f t="shared" si="4"/>
        <v>319.33616194549069</v>
      </c>
      <c r="P37" s="36">
        <f t="shared" si="7"/>
        <v>44.490940085530454</v>
      </c>
      <c r="T37" s="141"/>
      <c r="U37" s="132"/>
      <c r="V37" s="132"/>
      <c r="AB37">
        <f t="shared" si="5"/>
        <v>76.192700028097576</v>
      </c>
    </row>
    <row r="38" spans="2:28" x14ac:dyDescent="0.2">
      <c r="B38" s="108"/>
      <c r="C38" s="27"/>
      <c r="D38" s="17">
        <v>35</v>
      </c>
      <c r="E38" s="38">
        <v>86.3</v>
      </c>
      <c r="F38" s="39">
        <v>19.5</v>
      </c>
      <c r="G38" s="39">
        <v>361.45</v>
      </c>
      <c r="H38" s="39">
        <v>294.64999999999998</v>
      </c>
      <c r="I38" s="39">
        <v>2.87E-2</v>
      </c>
      <c r="J38" s="36">
        <v>6</v>
      </c>
      <c r="K38" s="90">
        <f t="shared" si="6"/>
        <v>40.515355319666156</v>
      </c>
      <c r="L38" s="58">
        <f t="shared" si="1"/>
        <v>9.335626810155986E-4</v>
      </c>
      <c r="M38" s="90">
        <f t="shared" si="2"/>
        <v>40.516288882347169</v>
      </c>
      <c r="N38" s="58">
        <f t="shared" si="3"/>
        <v>27.874175254193961</v>
      </c>
      <c r="O38" s="39">
        <f t="shared" si="4"/>
        <v>301.02417525419395</v>
      </c>
      <c r="P38" s="36">
        <f t="shared" si="7"/>
        <v>1.4420329787721999</v>
      </c>
      <c r="AB38">
        <f t="shared" si="5"/>
        <v>67.700839798152998</v>
      </c>
    </row>
    <row r="39" spans="2:28" x14ac:dyDescent="0.2">
      <c r="B39" s="108"/>
      <c r="C39" s="27"/>
      <c r="D39" s="17">
        <v>36</v>
      </c>
      <c r="E39" s="38">
        <v>194</v>
      </c>
      <c r="F39" s="39">
        <v>19.5</v>
      </c>
      <c r="G39" s="39">
        <v>469.15</v>
      </c>
      <c r="H39" s="39">
        <v>294.64999999999998</v>
      </c>
      <c r="I39" s="39">
        <v>0.1225</v>
      </c>
      <c r="J39" s="36">
        <v>6</v>
      </c>
      <c r="K39" s="90">
        <f t="shared" si="6"/>
        <v>9.4921689606075006</v>
      </c>
      <c r="L39" s="58">
        <f t="shared" si="1"/>
        <v>2.1872039955222596E-4</v>
      </c>
      <c r="M39" s="90">
        <f t="shared" si="2"/>
        <v>9.4923876810070524</v>
      </c>
      <c r="N39" s="58">
        <f t="shared" si="3"/>
        <v>41.37565242300667</v>
      </c>
      <c r="O39" s="39">
        <f t="shared" si="4"/>
        <v>314.52565242300665</v>
      </c>
      <c r="P39" s="36">
        <f t="shared" si="7"/>
        <v>16.078604530909903</v>
      </c>
      <c r="T39" s="141"/>
      <c r="U39" s="142"/>
      <c r="V39" s="142"/>
      <c r="AB39">
        <f t="shared" si="5"/>
        <v>78.672344111852226</v>
      </c>
    </row>
    <row r="40" spans="2:28" x14ac:dyDescent="0.2">
      <c r="B40" s="108"/>
      <c r="C40" s="27"/>
      <c r="D40" s="17">
        <v>37</v>
      </c>
      <c r="E40" s="38">
        <v>147.80000000000001</v>
      </c>
      <c r="F40" s="39">
        <v>19.5</v>
      </c>
      <c r="G40" s="39">
        <v>422.95</v>
      </c>
      <c r="H40" s="39">
        <v>294.64999999999998</v>
      </c>
      <c r="I40" s="39">
        <v>0.32</v>
      </c>
      <c r="J40" s="36">
        <v>6</v>
      </c>
      <c r="K40" s="90">
        <f t="shared" si="6"/>
        <v>3.6337209302325584</v>
      </c>
      <c r="L40" s="58">
        <f t="shared" si="1"/>
        <v>8.372890295358649E-5</v>
      </c>
      <c r="M40" s="90">
        <f t="shared" si="2"/>
        <v>3.633804659135512</v>
      </c>
      <c r="N40" s="58">
        <f t="shared" si="3"/>
        <v>35.583932411872532</v>
      </c>
      <c r="O40" s="39">
        <f t="shared" si="4"/>
        <v>308.7339324118725</v>
      </c>
      <c r="P40" s="36">
        <f t="shared" si="7"/>
        <v>30.88115023079526</v>
      </c>
      <c r="T40" s="141"/>
      <c r="U40" s="142"/>
      <c r="V40" s="142"/>
      <c r="AB40">
        <f t="shared" si="5"/>
        <v>75.924267650965817</v>
      </c>
    </row>
    <row r="41" spans="2:28" x14ac:dyDescent="0.2">
      <c r="B41" s="108"/>
      <c r="C41" s="27"/>
      <c r="D41" s="17">
        <v>38</v>
      </c>
      <c r="E41" s="38">
        <v>88.8</v>
      </c>
      <c r="F41" s="39">
        <v>20</v>
      </c>
      <c r="G41" s="39">
        <v>363.95</v>
      </c>
      <c r="H41" s="39">
        <v>295.14999999999998</v>
      </c>
      <c r="I41" s="39">
        <v>0.6</v>
      </c>
      <c r="J41" s="36">
        <v>6</v>
      </c>
      <c r="K41" s="90">
        <f t="shared" si="6"/>
        <v>1.9379844961240313</v>
      </c>
      <c r="L41" s="58">
        <f t="shared" si="1"/>
        <v>4.465541490857947E-5</v>
      </c>
      <c r="M41" s="90">
        <f t="shared" si="2"/>
        <v>1.9380291515389398</v>
      </c>
      <c r="N41" s="58">
        <f t="shared" si="3"/>
        <v>28.62489906419977</v>
      </c>
      <c r="O41" s="39">
        <f t="shared" si="4"/>
        <v>301.77489906419976</v>
      </c>
      <c r="P41" s="36">
        <f t="shared" si="7"/>
        <v>31.049636631119171</v>
      </c>
      <c r="AB41">
        <f t="shared" si="5"/>
        <v>67.764753306081332</v>
      </c>
    </row>
    <row r="42" spans="2:28" x14ac:dyDescent="0.2">
      <c r="B42" s="108" t="s">
        <v>26</v>
      </c>
      <c r="C42" s="27"/>
      <c r="D42" s="17">
        <v>39</v>
      </c>
      <c r="E42" s="3">
        <v>128.30000000000001</v>
      </c>
      <c r="F42" s="1">
        <v>20</v>
      </c>
      <c r="G42" s="1">
        <v>403.45</v>
      </c>
      <c r="H42" s="1">
        <v>295.14999999999998</v>
      </c>
      <c r="I42" s="1">
        <v>0.31</v>
      </c>
      <c r="J42" s="36">
        <v>6</v>
      </c>
      <c r="K42" s="90">
        <f t="shared" si="6"/>
        <v>3.750937734433609</v>
      </c>
      <c r="L42" s="58">
        <f t="shared" si="1"/>
        <v>8.6429835306927992E-5</v>
      </c>
      <c r="M42" s="90">
        <f t="shared" si="2"/>
        <v>3.7510241642689159</v>
      </c>
      <c r="N42" s="58">
        <f t="shared" si="3"/>
        <v>33.576694311814457</v>
      </c>
      <c r="O42" s="1">
        <f t="shared" si="4"/>
        <v>306.72669431181441</v>
      </c>
      <c r="P42" s="36">
        <f t="shared" si="7"/>
        <v>25.252651419974889</v>
      </c>
      <c r="AB42">
        <f t="shared" si="5"/>
        <v>73.829544573800121</v>
      </c>
    </row>
    <row r="43" spans="2:28" x14ac:dyDescent="0.2">
      <c r="B43" s="108"/>
      <c r="C43" s="27"/>
      <c r="D43" s="17">
        <v>40</v>
      </c>
      <c r="E43" s="3">
        <v>109.5</v>
      </c>
      <c r="F43" s="1">
        <v>20</v>
      </c>
      <c r="G43" s="1">
        <v>384.65</v>
      </c>
      <c r="H43" s="1">
        <v>295.14999999999998</v>
      </c>
      <c r="I43" s="1">
        <v>0.05</v>
      </c>
      <c r="J43" s="36">
        <v>6</v>
      </c>
      <c r="K43" s="90">
        <f t="shared" si="6"/>
        <v>23.255813953488374</v>
      </c>
      <c r="L43" s="58">
        <f t="shared" si="1"/>
        <v>5.3586497890295353E-4</v>
      </c>
      <c r="M43" s="90">
        <f t="shared" si="2"/>
        <v>23.256349818467278</v>
      </c>
      <c r="N43" s="58">
        <f t="shared" si="3"/>
        <v>31.21989049775987</v>
      </c>
      <c r="O43" s="1">
        <f t="shared" si="4"/>
        <v>304.36989049775985</v>
      </c>
      <c r="P43" s="36">
        <f t="shared" si="7"/>
        <v>3.3659671493279615</v>
      </c>
      <c r="AB43">
        <f t="shared" si="5"/>
        <v>71.488684476931624</v>
      </c>
    </row>
    <row r="44" spans="2:28" x14ac:dyDescent="0.2">
      <c r="B44" s="108"/>
      <c r="C44" s="27"/>
      <c r="D44" s="17">
        <v>41</v>
      </c>
      <c r="E44" s="3">
        <v>95.1</v>
      </c>
      <c r="F44" s="1">
        <v>23</v>
      </c>
      <c r="G44" s="1">
        <v>370.25</v>
      </c>
      <c r="H44" s="1">
        <v>298.14999999999998</v>
      </c>
      <c r="I44" s="1">
        <v>0.112</v>
      </c>
      <c r="J44" s="36">
        <v>6</v>
      </c>
      <c r="K44" s="90">
        <f t="shared" si="6"/>
        <v>10.382059800664452</v>
      </c>
      <c r="L44" s="58">
        <f t="shared" si="1"/>
        <v>2.3922543701024711E-4</v>
      </c>
      <c r="M44" s="90">
        <f t="shared" si="2"/>
        <v>10.382299026101462</v>
      </c>
      <c r="N44" s="58">
        <f t="shared" si="3"/>
        <v>32.038593350709348</v>
      </c>
      <c r="O44" s="1">
        <f t="shared" si="4"/>
        <v>305.18859335070931</v>
      </c>
      <c r="P44" s="36">
        <f t="shared" si="7"/>
        <v>6.0739347316766823</v>
      </c>
      <c r="AB44">
        <f t="shared" si="5"/>
        <v>66.310627391472821</v>
      </c>
    </row>
    <row r="45" spans="2:28" x14ac:dyDescent="0.2">
      <c r="B45" s="108"/>
      <c r="C45" s="27"/>
      <c r="D45" s="17">
        <v>42</v>
      </c>
      <c r="E45" s="3">
        <v>74.900000000000006</v>
      </c>
      <c r="F45" s="1">
        <v>23</v>
      </c>
      <c r="G45" s="1">
        <v>350.04999999999995</v>
      </c>
      <c r="H45" s="1">
        <v>298.14999999999998</v>
      </c>
      <c r="I45" s="1">
        <v>0.04</v>
      </c>
      <c r="J45" s="36">
        <v>6</v>
      </c>
      <c r="K45" s="90">
        <f t="shared" si="6"/>
        <v>29.069767441860467</v>
      </c>
      <c r="L45" s="58">
        <f t="shared" si="1"/>
        <v>6.6983122362869192E-4</v>
      </c>
      <c r="M45" s="90">
        <f t="shared" si="2"/>
        <v>29.070437273084096</v>
      </c>
      <c r="N45" s="58">
        <f t="shared" si="3"/>
        <v>29.506282869650693</v>
      </c>
      <c r="O45" s="1">
        <f t="shared" si="4"/>
        <v>302.65628286965068</v>
      </c>
      <c r="P45" s="36">
        <f t="shared" si="7"/>
        <v>1.5615078887161664</v>
      </c>
      <c r="AB45">
        <f t="shared" si="5"/>
        <v>60.605763858944336</v>
      </c>
    </row>
    <row r="46" spans="2:28" x14ac:dyDescent="0.2">
      <c r="B46" s="108"/>
      <c r="C46" s="27"/>
      <c r="D46" s="17">
        <v>43</v>
      </c>
      <c r="E46" s="3">
        <v>120.6</v>
      </c>
      <c r="F46" s="1">
        <v>21.2</v>
      </c>
      <c r="G46" s="1">
        <v>395.75</v>
      </c>
      <c r="H46" s="1">
        <v>296.34999999999997</v>
      </c>
      <c r="I46" s="1">
        <v>0.05</v>
      </c>
      <c r="J46" s="36">
        <v>6</v>
      </c>
      <c r="K46" s="90">
        <f t="shared" si="6"/>
        <v>23.255813953488374</v>
      </c>
      <c r="L46" s="58">
        <f t="shared" si="1"/>
        <v>5.3586497890295353E-4</v>
      </c>
      <c r="M46" s="90">
        <f t="shared" si="2"/>
        <v>23.256349818467278</v>
      </c>
      <c r="N46" s="58">
        <f t="shared" si="3"/>
        <v>33.660973357288611</v>
      </c>
      <c r="O46" s="1">
        <f t="shared" si="4"/>
        <v>306.81097335728862</v>
      </c>
      <c r="P46" s="36">
        <f t="shared" si="7"/>
        <v>3.7382920071865842</v>
      </c>
      <c r="AB46">
        <f t="shared" si="5"/>
        <v>72.088745143210105</v>
      </c>
    </row>
    <row r="47" spans="2:28" x14ac:dyDescent="0.2">
      <c r="B47" s="108"/>
      <c r="C47" s="27"/>
      <c r="D47" s="17">
        <v>44</v>
      </c>
      <c r="E47" s="3">
        <v>84.8</v>
      </c>
      <c r="F47" s="1">
        <v>21.2</v>
      </c>
      <c r="G47" s="1">
        <v>359.95</v>
      </c>
      <c r="H47" s="1">
        <v>296.34999999999997</v>
      </c>
      <c r="I47" s="1">
        <v>0.05</v>
      </c>
      <c r="J47" s="36">
        <v>6</v>
      </c>
      <c r="K47" s="90">
        <f t="shared" si="6"/>
        <v>23.255813953488374</v>
      </c>
      <c r="L47" s="58">
        <f t="shared" si="1"/>
        <v>5.3586497890295353E-4</v>
      </c>
      <c r="M47" s="90">
        <f t="shared" si="2"/>
        <v>23.256349818467278</v>
      </c>
      <c r="N47" s="58">
        <f t="shared" si="3"/>
        <v>29.173017158184663</v>
      </c>
      <c r="O47" s="1">
        <f t="shared" si="4"/>
        <v>302.32301715818465</v>
      </c>
      <c r="P47" s="36">
        <f t="shared" si="7"/>
        <v>2.3919051474553994</v>
      </c>
      <c r="AB47">
        <f t="shared" si="5"/>
        <v>65.597857124782237</v>
      </c>
    </row>
    <row r="48" spans="2:28" x14ac:dyDescent="0.2">
      <c r="B48" s="108"/>
      <c r="C48" s="27"/>
      <c r="D48" s="17">
        <v>45</v>
      </c>
      <c r="E48" s="3">
        <v>118.9</v>
      </c>
      <c r="F48" s="1">
        <v>21.2</v>
      </c>
      <c r="G48" s="1">
        <v>394.04999999999995</v>
      </c>
      <c r="H48" s="1">
        <v>296.34999999999997</v>
      </c>
      <c r="I48" s="1">
        <v>0.05</v>
      </c>
      <c r="J48" s="36">
        <v>6</v>
      </c>
      <c r="K48" s="90">
        <f t="shared" si="6"/>
        <v>23.255813953488374</v>
      </c>
      <c r="L48" s="58">
        <f t="shared" si="1"/>
        <v>5.3586497890295353E-4</v>
      </c>
      <c r="M48" s="90">
        <f t="shared" si="2"/>
        <v>23.256349818467278</v>
      </c>
      <c r="N48" s="58">
        <f t="shared" si="3"/>
        <v>33.447858118783678</v>
      </c>
      <c r="O48" s="1">
        <f t="shared" si="4"/>
        <v>306.59785811878368</v>
      </c>
      <c r="P48" s="36">
        <f t="shared" si="7"/>
        <v>3.6743574356351041</v>
      </c>
      <c r="AB48">
        <f t="shared" si="5"/>
        <v>71.868916636851409</v>
      </c>
    </row>
    <row r="49" spans="2:28" x14ac:dyDescent="0.2">
      <c r="B49" s="108"/>
      <c r="C49" s="27"/>
      <c r="D49" s="17">
        <v>46</v>
      </c>
      <c r="E49" s="3">
        <v>86.6</v>
      </c>
      <c r="F49" s="1">
        <v>21.2</v>
      </c>
      <c r="G49" s="1">
        <v>361.75</v>
      </c>
      <c r="H49" s="1">
        <v>296.34999999999997</v>
      </c>
      <c r="I49" s="1">
        <v>0.05</v>
      </c>
      <c r="J49" s="36">
        <v>6</v>
      </c>
      <c r="K49" s="90">
        <f t="shared" si="6"/>
        <v>23.255813953488374</v>
      </c>
      <c r="L49" s="58">
        <f t="shared" si="1"/>
        <v>5.3586497890295353E-4</v>
      </c>
      <c r="M49" s="90">
        <f t="shared" si="2"/>
        <v>23.256349818467278</v>
      </c>
      <c r="N49" s="58">
        <f t="shared" si="3"/>
        <v>29.398668587189892</v>
      </c>
      <c r="O49" s="1">
        <f t="shared" si="4"/>
        <v>302.54866858718987</v>
      </c>
      <c r="P49" s="36">
        <f t="shared" si="7"/>
        <v>2.4596005761569684</v>
      </c>
      <c r="AB49">
        <f t="shared" si="5"/>
        <v>66.052345742274952</v>
      </c>
    </row>
    <row r="50" spans="2:28" x14ac:dyDescent="0.2">
      <c r="B50" s="108"/>
      <c r="C50" s="27"/>
      <c r="D50" s="17">
        <v>47</v>
      </c>
      <c r="E50" s="3">
        <v>150.1</v>
      </c>
      <c r="F50" s="1">
        <v>20</v>
      </c>
      <c r="G50" s="1">
        <v>425.25</v>
      </c>
      <c r="H50" s="1">
        <v>295.14999999999998</v>
      </c>
      <c r="I50" s="1">
        <v>0.70599999999999996</v>
      </c>
      <c r="J50" s="36">
        <v>6</v>
      </c>
      <c r="K50" s="90">
        <f t="shared" si="6"/>
        <v>1.6470123196521513</v>
      </c>
      <c r="L50" s="58">
        <f t="shared" si="1"/>
        <v>3.7950777542702093E-5</v>
      </c>
      <c r="M50" s="90">
        <f t="shared" si="2"/>
        <v>1.6470502704296941</v>
      </c>
      <c r="N50" s="58">
        <f t="shared" si="3"/>
        <v>36.30958384087775</v>
      </c>
      <c r="O50" s="1">
        <f t="shared" si="4"/>
        <v>309.45958384087771</v>
      </c>
      <c r="P50" s="36">
        <f t="shared" si="7"/>
        <v>69.08739714995815</v>
      </c>
      <c r="AB50">
        <f t="shared" si="5"/>
        <v>75.809737614338616</v>
      </c>
    </row>
    <row r="51" spans="2:28" x14ac:dyDescent="0.2">
      <c r="B51" s="108"/>
      <c r="C51" s="27"/>
      <c r="D51" s="17">
        <v>48</v>
      </c>
      <c r="E51" s="3">
        <v>122.4</v>
      </c>
      <c r="F51" s="1">
        <v>24</v>
      </c>
      <c r="G51" s="1">
        <v>397.54999999999995</v>
      </c>
      <c r="H51" s="1">
        <v>299.14999999999998</v>
      </c>
      <c r="I51" s="1">
        <v>9.6199999999999994E-2</v>
      </c>
      <c r="J51" s="36">
        <v>6</v>
      </c>
      <c r="K51" s="90">
        <f t="shared" si="6"/>
        <v>12.087221389546972</v>
      </c>
      <c r="L51" s="58">
        <f t="shared" si="1"/>
        <v>2.7851610130091143E-4</v>
      </c>
      <c r="M51" s="90">
        <f t="shared" si="2"/>
        <v>12.087499905648272</v>
      </c>
      <c r="N51" s="58">
        <f t="shared" si="3"/>
        <v>36.335611452285711</v>
      </c>
      <c r="O51" s="1">
        <f t="shared" si="4"/>
        <v>309.4856114522857</v>
      </c>
      <c r="P51" s="36">
        <f t="shared" si="7"/>
        <v>7.1201149302593114</v>
      </c>
      <c r="AB51">
        <f t="shared" si="5"/>
        <v>70.314042931139127</v>
      </c>
    </row>
    <row r="52" spans="2:28" x14ac:dyDescent="0.2">
      <c r="B52" s="108"/>
      <c r="C52" s="27"/>
      <c r="D52" s="17">
        <v>49</v>
      </c>
      <c r="E52" s="3">
        <v>104.9</v>
      </c>
      <c r="F52" s="1">
        <v>24.4</v>
      </c>
      <c r="G52" s="1">
        <v>380.04999999999995</v>
      </c>
      <c r="H52" s="1">
        <v>299.54999999999995</v>
      </c>
      <c r="I52" s="1">
        <v>0.12</v>
      </c>
      <c r="J52" s="36">
        <v>6</v>
      </c>
      <c r="K52" s="90">
        <f t="shared" si="6"/>
        <v>9.6899224806201563</v>
      </c>
      <c r="L52" s="58">
        <f t="shared" si="1"/>
        <v>2.2327707454289732E-4</v>
      </c>
      <c r="M52" s="90">
        <f t="shared" si="2"/>
        <v>9.6901457576946992</v>
      </c>
      <c r="N52" s="58">
        <f t="shared" si="3"/>
        <v>34.491633352733736</v>
      </c>
      <c r="O52" s="1">
        <f t="shared" si="4"/>
        <v>307.64163335273372</v>
      </c>
      <c r="P52" s="36">
        <f t="shared" si="7"/>
        <v>7.2659760139682907</v>
      </c>
      <c r="AB52">
        <f t="shared" si="5"/>
        <v>67.119510626564605</v>
      </c>
    </row>
    <row r="53" spans="2:28" x14ac:dyDescent="0.2">
      <c r="B53" s="108"/>
      <c r="C53" s="27"/>
      <c r="D53" s="17">
        <v>50</v>
      </c>
      <c r="E53" s="3">
        <v>93.8</v>
      </c>
      <c r="F53" s="1">
        <v>24.4</v>
      </c>
      <c r="G53" s="1">
        <v>368.95</v>
      </c>
      <c r="H53" s="1">
        <v>299.54999999999995</v>
      </c>
      <c r="I53" s="1">
        <v>0.1</v>
      </c>
      <c r="J53" s="36">
        <v>6</v>
      </c>
      <c r="K53" s="90">
        <f t="shared" si="6"/>
        <v>11.627906976744187</v>
      </c>
      <c r="L53" s="58">
        <f t="shared" si="1"/>
        <v>2.6793248945147677E-4</v>
      </c>
      <c r="M53" s="90">
        <f t="shared" si="2"/>
        <v>11.628174909233639</v>
      </c>
      <c r="N53" s="58">
        <f t="shared" si="3"/>
        <v>33.100116207201502</v>
      </c>
      <c r="O53" s="1">
        <f t="shared" si="4"/>
        <v>306.25011620720147</v>
      </c>
      <c r="P53" s="36">
        <f t="shared" si="7"/>
        <v>5.2200697243209024</v>
      </c>
      <c r="AB53">
        <f t="shared" si="5"/>
        <v>64.712029629849141</v>
      </c>
    </row>
    <row r="54" spans="2:28" x14ac:dyDescent="0.2">
      <c r="B54" s="108"/>
      <c r="C54" s="27"/>
      <c r="D54" s="17">
        <v>51</v>
      </c>
      <c r="E54" s="3">
        <v>89.3</v>
      </c>
      <c r="F54" s="1">
        <v>24.4</v>
      </c>
      <c r="G54" s="1">
        <v>364.45</v>
      </c>
      <c r="H54" s="1">
        <v>299.54999999999995</v>
      </c>
      <c r="I54" s="1">
        <v>0.08</v>
      </c>
      <c r="J54" s="36">
        <v>6</v>
      </c>
      <c r="K54" s="90">
        <f t="shared" si="6"/>
        <v>14.534883720930234</v>
      </c>
      <c r="L54" s="58">
        <f t="shared" si="1"/>
        <v>3.3491561181434596E-4</v>
      </c>
      <c r="M54" s="90">
        <f t="shared" si="2"/>
        <v>14.535218636542048</v>
      </c>
      <c r="N54" s="58">
        <f t="shared" si="3"/>
        <v>32.535987634688439</v>
      </c>
      <c r="O54" s="1">
        <f t="shared" si="4"/>
        <v>305.68598763468844</v>
      </c>
      <c r="P54" s="36">
        <f t="shared" si="7"/>
        <v>3.9052740646504511</v>
      </c>
      <c r="AB54">
        <f t="shared" si="5"/>
        <v>63.565523365410478</v>
      </c>
    </row>
    <row r="55" spans="2:28" x14ac:dyDescent="0.2">
      <c r="B55" s="108"/>
      <c r="C55" s="27"/>
      <c r="D55" s="17">
        <v>52</v>
      </c>
      <c r="E55" s="3">
        <v>78.599999999999994</v>
      </c>
      <c r="F55" s="1">
        <v>24.6</v>
      </c>
      <c r="G55" s="1">
        <v>353.75</v>
      </c>
      <c r="H55" s="1">
        <v>299.75</v>
      </c>
      <c r="I55" s="1">
        <v>0.04</v>
      </c>
      <c r="J55" s="36">
        <v>6</v>
      </c>
      <c r="K55" s="90">
        <f t="shared" si="6"/>
        <v>29.069767441860467</v>
      </c>
      <c r="L55" s="58">
        <f t="shared" si="1"/>
        <v>6.6983122362869192E-4</v>
      </c>
      <c r="M55" s="90">
        <f t="shared" si="2"/>
        <v>29.070437273084096</v>
      </c>
      <c r="N55" s="58">
        <f t="shared" si="3"/>
        <v>31.369542870156796</v>
      </c>
      <c r="O55" s="1">
        <f t="shared" si="4"/>
        <v>304.51954287015678</v>
      </c>
      <c r="P55" s="36">
        <f t="shared" si="7"/>
        <v>1.6246902888376304</v>
      </c>
      <c r="AB55">
        <f t="shared" si="5"/>
        <v>60.089640114304324</v>
      </c>
    </row>
    <row r="56" spans="2:28" x14ac:dyDescent="0.2">
      <c r="B56" s="108"/>
      <c r="C56" s="27"/>
      <c r="D56" s="17">
        <v>53</v>
      </c>
      <c r="E56" s="3">
        <v>92.7</v>
      </c>
      <c r="F56" s="1">
        <v>24.6</v>
      </c>
      <c r="G56" s="1">
        <v>367.84999999999997</v>
      </c>
      <c r="H56" s="1">
        <v>299.75</v>
      </c>
      <c r="I56" s="1">
        <v>7.0000000000000007E-2</v>
      </c>
      <c r="J56" s="36">
        <v>6</v>
      </c>
      <c r="K56" s="90">
        <f t="shared" si="6"/>
        <v>16.611295681063122</v>
      </c>
      <c r="L56" s="58">
        <f t="shared" si="1"/>
        <v>3.827606992163954E-4</v>
      </c>
      <c r="M56" s="90">
        <f t="shared" si="2"/>
        <v>16.61167844176234</v>
      </c>
      <c r="N56" s="58">
        <f t="shared" si="3"/>
        <v>33.137145730697732</v>
      </c>
      <c r="O56" s="1">
        <f t="shared" si="4"/>
        <v>306.28714573069772</v>
      </c>
      <c r="P56" s="36">
        <f t="shared" si="7"/>
        <v>3.5856012068930472</v>
      </c>
      <c r="AB56">
        <f t="shared" si="5"/>
        <v>64.253348726323907</v>
      </c>
    </row>
    <row r="57" spans="2:28" x14ac:dyDescent="0.2">
      <c r="B57" s="108"/>
      <c r="C57" s="27"/>
      <c r="D57" s="17">
        <v>54</v>
      </c>
      <c r="E57" s="3">
        <v>77.2</v>
      </c>
      <c r="F57" s="1">
        <v>24.4</v>
      </c>
      <c r="G57" s="1">
        <v>352.34999999999997</v>
      </c>
      <c r="H57" s="1">
        <v>299.54999999999995</v>
      </c>
      <c r="I57" s="1">
        <v>0.15</v>
      </c>
      <c r="J57" s="36">
        <v>6</v>
      </c>
      <c r="K57" s="90">
        <f t="shared" si="6"/>
        <v>7.7519379844961254</v>
      </c>
      <c r="L57" s="58">
        <f t="shared" si="1"/>
        <v>1.7862165963431788E-4</v>
      </c>
      <c r="M57" s="90">
        <f t="shared" si="2"/>
        <v>7.7521166061557594</v>
      </c>
      <c r="N57" s="58">
        <f t="shared" si="3"/>
        <v>31.019108584153312</v>
      </c>
      <c r="O57" s="1">
        <f t="shared" si="4"/>
        <v>304.16910858415326</v>
      </c>
      <c r="P57" s="36">
        <f t="shared" si="7"/>
        <v>5.9571977257379816</v>
      </c>
      <c r="AB57">
        <f t="shared" si="5"/>
        <v>59.819807533480173</v>
      </c>
    </row>
    <row r="58" spans="2:28" x14ac:dyDescent="0.2">
      <c r="B58" s="108"/>
      <c r="C58" s="27"/>
      <c r="D58" s="17">
        <v>55</v>
      </c>
      <c r="E58" s="3">
        <v>91.3</v>
      </c>
      <c r="F58" s="1">
        <v>24.4</v>
      </c>
      <c r="G58" s="1">
        <v>366.45</v>
      </c>
      <c r="H58" s="1">
        <v>299.54999999999995</v>
      </c>
      <c r="I58" s="1">
        <v>0.32</v>
      </c>
      <c r="J58" s="36">
        <v>6</v>
      </c>
      <c r="K58" s="90">
        <f t="shared" si="6"/>
        <v>3.6337209302325584</v>
      </c>
      <c r="L58" s="58">
        <f t="shared" si="1"/>
        <v>8.372890295358649E-5</v>
      </c>
      <c r="M58" s="90">
        <f t="shared" si="2"/>
        <v>3.633804659135512</v>
      </c>
      <c r="N58" s="58">
        <f t="shared" si="3"/>
        <v>32.786711444694248</v>
      </c>
      <c r="O58" s="1">
        <f t="shared" si="4"/>
        <v>305.9367114446942</v>
      </c>
      <c r="P58" s="36">
        <f t="shared" si="7"/>
        <v>16.102485973812957</v>
      </c>
      <c r="AB58">
        <f t="shared" si="5"/>
        <v>64.089034562218785</v>
      </c>
    </row>
    <row r="59" spans="2:28" x14ac:dyDescent="0.2">
      <c r="B59" s="108"/>
      <c r="C59" s="27"/>
      <c r="D59" s="17">
        <v>56</v>
      </c>
      <c r="E59" s="3">
        <v>218</v>
      </c>
      <c r="F59" s="1">
        <v>24.4</v>
      </c>
      <c r="G59" s="1">
        <v>493.15</v>
      </c>
      <c r="H59" s="1">
        <v>299.54999999999995</v>
      </c>
      <c r="I59" s="1">
        <v>7.0000000000000007E-2</v>
      </c>
      <c r="J59" s="36">
        <v>6</v>
      </c>
      <c r="K59" s="90">
        <f t="shared" si="6"/>
        <v>16.611295681063122</v>
      </c>
      <c r="L59" s="58">
        <f t="shared" si="1"/>
        <v>3.827606992163954E-4</v>
      </c>
      <c r="M59" s="90">
        <f t="shared" si="2"/>
        <v>16.61167844176234</v>
      </c>
      <c r="N59" s="58">
        <f t="shared" si="3"/>
        <v>48.670064808562131</v>
      </c>
      <c r="O59" s="1">
        <f t="shared" si="4"/>
        <v>321.82006480856211</v>
      </c>
      <c r="P59" s="36">
        <f t="shared" si="7"/>
        <v>10.193427219596096</v>
      </c>
      <c r="AB59">
        <f t="shared" si="5"/>
        <v>77.674282197907274</v>
      </c>
    </row>
    <row r="60" spans="2:28" x14ac:dyDescent="0.2">
      <c r="B60" s="108"/>
      <c r="C60" s="27"/>
      <c r="D60" s="17">
        <v>57</v>
      </c>
      <c r="E60" s="3">
        <v>136.4</v>
      </c>
      <c r="F60" s="1">
        <v>26.1</v>
      </c>
      <c r="G60" s="1">
        <v>411.54999999999995</v>
      </c>
      <c r="H60" s="1">
        <v>301.25</v>
      </c>
      <c r="I60" s="1">
        <v>0.22500000000000001</v>
      </c>
      <c r="J60" s="36">
        <v>6</v>
      </c>
      <c r="K60" s="90">
        <f t="shared" si="6"/>
        <v>5.1679586563307502</v>
      </c>
      <c r="L60" s="58">
        <f t="shared" si="1"/>
        <v>1.1908110642287856E-4</v>
      </c>
      <c r="M60" s="90">
        <f t="shared" si="2"/>
        <v>5.1680777374371729</v>
      </c>
      <c r="N60" s="58">
        <f t="shared" si="3"/>
        <v>39.92741812182026</v>
      </c>
      <c r="O60" s="1">
        <f t="shared" si="4"/>
        <v>313.07741812182024</v>
      </c>
      <c r="P60" s="36">
        <f t="shared" si="7"/>
        <v>18.667014464457349</v>
      </c>
      <c r="AB60">
        <f t="shared" si="5"/>
        <v>70.727699324178701</v>
      </c>
    </row>
    <row r="61" spans="2:28" x14ac:dyDescent="0.2">
      <c r="B61" s="108"/>
      <c r="C61" s="27"/>
      <c r="D61" s="17">
        <v>58</v>
      </c>
      <c r="E61" s="3">
        <v>98.05</v>
      </c>
      <c r="F61" s="1">
        <v>26.1</v>
      </c>
      <c r="G61" s="1">
        <v>373.2</v>
      </c>
      <c r="H61" s="1">
        <v>301.25</v>
      </c>
      <c r="I61" s="1">
        <v>7.0000000000000007E-2</v>
      </c>
      <c r="J61" s="36">
        <v>6</v>
      </c>
      <c r="K61" s="90">
        <f t="shared" si="6"/>
        <v>16.611295681063122</v>
      </c>
      <c r="L61" s="58">
        <f t="shared" si="1"/>
        <v>3.827606992163954E-4</v>
      </c>
      <c r="M61" s="90">
        <f t="shared" si="2"/>
        <v>16.61167844176234</v>
      </c>
      <c r="N61" s="58">
        <f t="shared" si="3"/>
        <v>35.119789064958908</v>
      </c>
      <c r="O61" s="1">
        <f t="shared" si="4"/>
        <v>308.2697890649589</v>
      </c>
      <c r="P61" s="36">
        <f t="shared" si="7"/>
        <v>3.7883114072827411</v>
      </c>
      <c r="AB61">
        <f t="shared" si="5"/>
        <v>64.181755160674243</v>
      </c>
    </row>
    <row r="62" spans="2:28" x14ac:dyDescent="0.2">
      <c r="B62" s="108"/>
      <c r="C62" s="27"/>
      <c r="D62" s="17">
        <v>59</v>
      </c>
      <c r="E62" s="3">
        <v>142.1</v>
      </c>
      <c r="F62" s="1">
        <v>26.1</v>
      </c>
      <c r="G62" s="1">
        <v>417.25</v>
      </c>
      <c r="H62" s="1">
        <v>301.25</v>
      </c>
      <c r="I62" s="1">
        <v>0.26500000000000001</v>
      </c>
      <c r="J62" s="36">
        <v>6</v>
      </c>
      <c r="K62" s="90">
        <f t="shared" si="6"/>
        <v>4.3878894251864864</v>
      </c>
      <c r="L62" s="58">
        <f t="shared" si="1"/>
        <v>1.011065997930101E-4</v>
      </c>
      <c r="M62" s="90">
        <f t="shared" si="2"/>
        <v>4.3879905317862793</v>
      </c>
      <c r="N62" s="58">
        <f t="shared" si="3"/>
        <v>40.641980980336811</v>
      </c>
      <c r="O62" s="1">
        <f t="shared" si="4"/>
        <v>313.7919809803368</v>
      </c>
      <c r="P62" s="36">
        <f t="shared" si="7"/>
        <v>23.121749758735529</v>
      </c>
      <c r="AB62">
        <f t="shared" si="5"/>
        <v>71.399028163028277</v>
      </c>
    </row>
    <row r="63" spans="2:28" x14ac:dyDescent="0.2">
      <c r="B63" s="108"/>
      <c r="C63" s="27"/>
      <c r="D63" s="17">
        <v>60</v>
      </c>
      <c r="E63" s="3">
        <v>76.8</v>
      </c>
      <c r="F63" s="1">
        <v>26.4</v>
      </c>
      <c r="G63" s="1">
        <v>351.95</v>
      </c>
      <c r="H63" s="1">
        <v>301.54999999999995</v>
      </c>
      <c r="I63" s="1">
        <v>0.35</v>
      </c>
      <c r="J63" s="36">
        <v>6</v>
      </c>
      <c r="K63" s="90">
        <f t="shared" si="6"/>
        <v>3.3222591362126255</v>
      </c>
      <c r="L63" s="58">
        <f t="shared" si="1"/>
        <v>7.6552139843279096E-5</v>
      </c>
      <c r="M63" s="90">
        <f t="shared" si="2"/>
        <v>3.3223356883524686</v>
      </c>
      <c r="N63" s="58">
        <f t="shared" si="3"/>
        <v>32.718240012146339</v>
      </c>
      <c r="O63" s="1">
        <f t="shared" si="4"/>
        <v>305.86824001214632</v>
      </c>
      <c r="P63" s="36">
        <f t="shared" si="7"/>
        <v>13.268304025507312</v>
      </c>
      <c r="AB63">
        <f t="shared" si="5"/>
        <v>57.398124984184456</v>
      </c>
    </row>
    <row r="64" spans="2:28" x14ac:dyDescent="0.2">
      <c r="B64" s="108"/>
      <c r="C64" s="27"/>
      <c r="D64" s="17">
        <v>61</v>
      </c>
      <c r="E64" s="3">
        <v>218</v>
      </c>
      <c r="F64" s="1">
        <v>26.5</v>
      </c>
      <c r="G64" s="1">
        <v>493.15</v>
      </c>
      <c r="H64" s="1">
        <v>301.64999999999998</v>
      </c>
      <c r="I64" s="1">
        <v>1.1000000000000001</v>
      </c>
      <c r="J64" s="36">
        <v>6</v>
      </c>
      <c r="K64" s="90">
        <f t="shared" si="6"/>
        <v>1.0570824524312896</v>
      </c>
      <c r="L64" s="58">
        <f t="shared" si="1"/>
        <v>2.435749904104334E-5</v>
      </c>
      <c r="M64" s="90">
        <f t="shared" si="2"/>
        <v>1.0571068099303307</v>
      </c>
      <c r="N64" s="58">
        <f t="shared" si="3"/>
        <v>50.506804808056032</v>
      </c>
      <c r="O64" s="1">
        <f t="shared" si="4"/>
        <v>323.65680480805599</v>
      </c>
      <c r="P64" s="36">
        <f t="shared" si="7"/>
        <v>158.44491173316982</v>
      </c>
      <c r="AB64">
        <f t="shared" si="5"/>
        <v>76.831740913735757</v>
      </c>
    </row>
    <row r="65" spans="2:28" x14ac:dyDescent="0.2">
      <c r="B65" s="109" t="s">
        <v>27</v>
      </c>
      <c r="C65" s="27"/>
      <c r="D65" s="17">
        <v>62</v>
      </c>
      <c r="E65" s="64">
        <v>89.9</v>
      </c>
      <c r="F65" s="65">
        <v>25.5</v>
      </c>
      <c r="G65" s="65">
        <v>365.04999999999995</v>
      </c>
      <c r="H65" s="65">
        <v>300.64999999999998</v>
      </c>
      <c r="I65" s="65">
        <v>0.13100000000000001</v>
      </c>
      <c r="J65" s="36">
        <v>6</v>
      </c>
      <c r="K65" s="90">
        <f t="shared" si="6"/>
        <v>8.8762648677436538</v>
      </c>
      <c r="L65" s="58">
        <f t="shared" si="1"/>
        <v>2.0452861790189067E-4</v>
      </c>
      <c r="M65" s="90">
        <f t="shared" si="2"/>
        <v>8.8764693963615553</v>
      </c>
      <c r="N65" s="58">
        <f t="shared" si="3"/>
        <v>33.573306682186988</v>
      </c>
      <c r="O65" s="65">
        <f t="shared" si="4"/>
        <v>306.72330668218694</v>
      </c>
      <c r="P65" s="36">
        <f t="shared" si="7"/>
        <v>6.3456190521989733</v>
      </c>
      <c r="AB65">
        <f t="shared" si="5"/>
        <v>62.654831276766423</v>
      </c>
    </row>
    <row r="66" spans="2:28" x14ac:dyDescent="0.2">
      <c r="B66" s="109"/>
      <c r="C66" s="27"/>
      <c r="D66" s="17">
        <v>63</v>
      </c>
      <c r="E66" s="64">
        <v>75.599999999999994</v>
      </c>
      <c r="F66" s="65">
        <v>25.5</v>
      </c>
      <c r="G66" s="65">
        <v>350.75</v>
      </c>
      <c r="H66" s="65">
        <v>300.64999999999998</v>
      </c>
      <c r="I66" s="65">
        <v>0.16</v>
      </c>
      <c r="J66" s="36">
        <v>6</v>
      </c>
      <c r="K66" s="90">
        <f t="shared" si="6"/>
        <v>7.2674418604651168</v>
      </c>
      <c r="L66" s="58">
        <f t="shared" si="1"/>
        <v>1.6745780590717298E-4</v>
      </c>
      <c r="M66" s="90">
        <f t="shared" si="2"/>
        <v>7.267609318271024</v>
      </c>
      <c r="N66" s="58">
        <f t="shared" si="3"/>
        <v>31.780631440645472</v>
      </c>
      <c r="O66" s="65">
        <f t="shared" si="4"/>
        <v>304.93063144064547</v>
      </c>
      <c r="P66" s="36">
        <f t="shared" si="7"/>
        <v>6.0294061830196526</v>
      </c>
      <c r="AB66">
        <f t="shared" si="5"/>
        <v>57.962127724013925</v>
      </c>
    </row>
    <row r="67" spans="2:28" x14ac:dyDescent="0.2">
      <c r="B67" s="109"/>
      <c r="C67" s="27"/>
      <c r="D67" s="17">
        <v>64</v>
      </c>
      <c r="E67" s="64">
        <v>275.39999999999998</v>
      </c>
      <c r="F67" s="65">
        <v>25.7</v>
      </c>
      <c r="G67" s="65">
        <v>550.54999999999995</v>
      </c>
      <c r="H67" s="65">
        <v>300.84999999999997</v>
      </c>
      <c r="I67" s="65">
        <v>0.04</v>
      </c>
      <c r="J67" s="36">
        <v>6</v>
      </c>
      <c r="K67" s="90">
        <f t="shared" si="6"/>
        <v>29.069767441860467</v>
      </c>
      <c r="L67" s="58">
        <f t="shared" si="1"/>
        <v>6.6983122362869192E-4</v>
      </c>
      <c r="M67" s="90">
        <f t="shared" si="2"/>
        <v>29.070437273084096</v>
      </c>
      <c r="N67" s="58">
        <f t="shared" si="3"/>
        <v>57.00286767922502</v>
      </c>
      <c r="O67" s="65">
        <f t="shared" si="4"/>
        <v>330.15286767922498</v>
      </c>
      <c r="P67" s="36">
        <f t="shared" si="7"/>
        <v>7.5126882430140043</v>
      </c>
      <c r="AB67">
        <f t="shared" si="5"/>
        <v>79.301790966149227</v>
      </c>
    </row>
    <row r="68" spans="2:28" x14ac:dyDescent="0.2">
      <c r="B68" s="109"/>
      <c r="C68" s="27"/>
      <c r="D68" s="17">
        <v>65</v>
      </c>
      <c r="E68" s="64">
        <v>275.39999999999998</v>
      </c>
      <c r="F68" s="65">
        <v>25.9</v>
      </c>
      <c r="G68" s="65">
        <v>550.54999999999995</v>
      </c>
      <c r="H68" s="65">
        <v>301.04999999999995</v>
      </c>
      <c r="I68" s="65">
        <v>0.16</v>
      </c>
      <c r="J68" s="36">
        <v>6</v>
      </c>
      <c r="K68" s="90">
        <f t="shared" si="6"/>
        <v>7.2674418604651168</v>
      </c>
      <c r="L68" s="58">
        <f t="shared" si="1"/>
        <v>1.6745780590717298E-4</v>
      </c>
      <c r="M68" s="90">
        <f t="shared" si="2"/>
        <v>7.267609318271024</v>
      </c>
      <c r="N68" s="58">
        <f t="shared" si="3"/>
        <v>57.177795298224439</v>
      </c>
      <c r="O68" s="65">
        <f t="shared" si="4"/>
        <v>330.32779529822443</v>
      </c>
      <c r="P68" s="36">
        <f t="shared" ref="P68:P102" si="8">J68*I68*(N68-F68)</f>
        <v>30.026683486295461</v>
      </c>
      <c r="AB68">
        <f t="shared" si="5"/>
        <v>79.238273312191552</v>
      </c>
    </row>
    <row r="69" spans="2:28" x14ac:dyDescent="0.2">
      <c r="B69" s="109"/>
      <c r="C69" s="27"/>
      <c r="D69" s="17">
        <v>66</v>
      </c>
      <c r="E69" s="64">
        <v>72.400000000000006</v>
      </c>
      <c r="F69" s="65">
        <v>25.9</v>
      </c>
      <c r="G69" s="65">
        <v>347.54999999999995</v>
      </c>
      <c r="H69" s="65">
        <v>301.04999999999995</v>
      </c>
      <c r="I69" s="65">
        <v>0.04</v>
      </c>
      <c r="J69" s="36">
        <v>6</v>
      </c>
      <c r="K69" s="90">
        <f t="shared" si="6"/>
        <v>29.069767441860467</v>
      </c>
      <c r="L69" s="58">
        <f t="shared" ref="L69:L102" si="9">$U$3/($U$4*I69)</f>
        <v>6.6983122362869192E-4</v>
      </c>
      <c r="M69" s="90">
        <f t="shared" ref="M69:M102" si="10">L69+K69</f>
        <v>29.070437273084096</v>
      </c>
      <c r="N69" s="58">
        <f t="shared" ref="N69:N102" si="11">(((E69/M69)+(J69*I69*F69))/((J69*I69)+(1/M69)))</f>
        <v>31.729328582635016</v>
      </c>
      <c r="O69" s="65">
        <f t="shared" ref="O69:O102" si="12">N69+273.15</f>
        <v>304.87932858263497</v>
      </c>
      <c r="P69" s="36">
        <f t="shared" si="8"/>
        <v>1.3990388598324042</v>
      </c>
      <c r="AB69">
        <f t="shared" ref="AB69:AB102" si="13">100-((N69*100)/E69)</f>
        <v>56.174960521222353</v>
      </c>
    </row>
    <row r="70" spans="2:28" x14ac:dyDescent="0.2">
      <c r="B70" s="109"/>
      <c r="C70" s="27"/>
      <c r="D70" s="17">
        <v>67</v>
      </c>
      <c r="E70" s="64">
        <v>114.5</v>
      </c>
      <c r="F70" s="65">
        <v>26.1</v>
      </c>
      <c r="G70" s="65">
        <v>389.65</v>
      </c>
      <c r="H70" s="65">
        <v>301.25</v>
      </c>
      <c r="I70" s="65">
        <v>0.18</v>
      </c>
      <c r="J70" s="36">
        <v>6</v>
      </c>
      <c r="K70" s="90">
        <f t="shared" ref="K70:K102" si="14">$U$2/(I70*$U$5)</f>
        <v>6.4599483204134378</v>
      </c>
      <c r="L70" s="58">
        <f t="shared" si="9"/>
        <v>1.4885138302859823E-4</v>
      </c>
      <c r="M70" s="90">
        <f t="shared" si="10"/>
        <v>6.4600971717964661</v>
      </c>
      <c r="N70" s="58">
        <f t="shared" si="11"/>
        <v>37.181992402256675</v>
      </c>
      <c r="O70" s="65">
        <f t="shared" si="12"/>
        <v>310.33199240225667</v>
      </c>
      <c r="P70" s="36">
        <f t="shared" si="8"/>
        <v>11.968551794437209</v>
      </c>
      <c r="AB70">
        <f t="shared" si="13"/>
        <v>67.526644190168838</v>
      </c>
    </row>
    <row r="71" spans="2:28" x14ac:dyDescent="0.2">
      <c r="B71" s="109"/>
      <c r="C71" s="27"/>
      <c r="D71" s="17">
        <v>68</v>
      </c>
      <c r="E71" s="64">
        <v>138</v>
      </c>
      <c r="F71" s="65">
        <v>26.3</v>
      </c>
      <c r="G71" s="65">
        <v>413.15</v>
      </c>
      <c r="H71" s="65">
        <v>301.45</v>
      </c>
      <c r="I71" s="65">
        <v>0.14000000000000001</v>
      </c>
      <c r="J71" s="36">
        <v>6</v>
      </c>
      <c r="K71" s="90">
        <f t="shared" si="14"/>
        <v>8.3056478405315612</v>
      </c>
      <c r="L71" s="58">
        <f t="shared" si="9"/>
        <v>1.913803496081977E-4</v>
      </c>
      <c r="M71" s="90">
        <f t="shared" si="10"/>
        <v>8.30583922088117</v>
      </c>
      <c r="N71" s="58">
        <f t="shared" si="11"/>
        <v>40.302924788824335</v>
      </c>
      <c r="O71" s="65">
        <f t="shared" si="12"/>
        <v>313.4529247888243</v>
      </c>
      <c r="P71" s="36">
        <f t="shared" si="8"/>
        <v>11.762456822612442</v>
      </c>
      <c r="AB71">
        <f t="shared" si="13"/>
        <v>70.794982037083813</v>
      </c>
    </row>
    <row r="72" spans="2:28" x14ac:dyDescent="0.2">
      <c r="B72" s="109"/>
      <c r="C72" s="27"/>
      <c r="D72" s="17">
        <v>69</v>
      </c>
      <c r="E72" s="64">
        <v>110.8</v>
      </c>
      <c r="F72" s="65">
        <v>25.9</v>
      </c>
      <c r="G72" s="65">
        <v>385.95</v>
      </c>
      <c r="H72" s="65">
        <v>301.04999999999995</v>
      </c>
      <c r="I72" s="65">
        <v>7.0000000000000007E-2</v>
      </c>
      <c r="J72" s="36">
        <v>6</v>
      </c>
      <c r="K72" s="90">
        <f t="shared" si="14"/>
        <v>16.611295681063122</v>
      </c>
      <c r="L72" s="58">
        <f t="shared" si="9"/>
        <v>3.827606992163954E-4</v>
      </c>
      <c r="M72" s="90">
        <f t="shared" si="10"/>
        <v>16.61167844176234</v>
      </c>
      <c r="N72" s="58">
        <f t="shared" si="11"/>
        <v>36.543225734746514</v>
      </c>
      <c r="O72" s="65">
        <f t="shared" si="12"/>
        <v>309.69322573474648</v>
      </c>
      <c r="P72" s="36">
        <f t="shared" si="8"/>
        <v>4.470154808593537</v>
      </c>
      <c r="AB72">
        <f t="shared" si="13"/>
        <v>67.018749336871366</v>
      </c>
    </row>
    <row r="73" spans="2:28" x14ac:dyDescent="0.2">
      <c r="B73" s="109"/>
      <c r="C73" s="27"/>
      <c r="D73" s="17">
        <v>70</v>
      </c>
      <c r="E73" s="64">
        <v>60.5</v>
      </c>
      <c r="F73" s="65">
        <v>26.5</v>
      </c>
      <c r="G73" s="65">
        <v>335.65</v>
      </c>
      <c r="H73" s="65">
        <v>301.64999999999998</v>
      </c>
      <c r="I73" s="65">
        <v>0.25</v>
      </c>
      <c r="J73" s="36">
        <v>6</v>
      </c>
      <c r="K73" s="90">
        <f t="shared" si="14"/>
        <v>4.6511627906976747</v>
      </c>
      <c r="L73" s="58">
        <f t="shared" si="9"/>
        <v>1.0717299578059071E-4</v>
      </c>
      <c r="M73" s="90">
        <f t="shared" si="10"/>
        <v>4.6512699636934549</v>
      </c>
      <c r="N73" s="58">
        <f t="shared" si="11"/>
        <v>30.762304770098719</v>
      </c>
      <c r="O73" s="65">
        <f t="shared" si="12"/>
        <v>303.91230477009867</v>
      </c>
      <c r="P73" s="36">
        <f t="shared" si="8"/>
        <v>6.393457155148079</v>
      </c>
      <c r="AB73">
        <f t="shared" si="13"/>
        <v>49.153215256035175</v>
      </c>
    </row>
    <row r="74" spans="2:28" x14ac:dyDescent="0.2">
      <c r="B74" s="109"/>
      <c r="C74" s="27"/>
      <c r="D74" s="17">
        <v>71</v>
      </c>
      <c r="E74" s="64">
        <v>275.39999999999998</v>
      </c>
      <c r="F74" s="65">
        <v>26.5</v>
      </c>
      <c r="G74" s="65">
        <v>550.54999999999995</v>
      </c>
      <c r="H74" s="65">
        <v>301.64999999999998</v>
      </c>
      <c r="I74" s="65">
        <v>3.1399999999999997E-2</v>
      </c>
      <c r="J74" s="36">
        <v>6</v>
      </c>
      <c r="K74" s="90">
        <f t="shared" si="14"/>
        <v>37.031550881350917</v>
      </c>
      <c r="L74" s="58">
        <f t="shared" si="9"/>
        <v>8.5328818296648659E-4</v>
      </c>
      <c r="M74" s="90">
        <f t="shared" si="10"/>
        <v>37.032404169533883</v>
      </c>
      <c r="N74" s="58">
        <f t="shared" si="11"/>
        <v>57.702578155222689</v>
      </c>
      <c r="O74" s="65">
        <f t="shared" si="12"/>
        <v>330.85257815522266</v>
      </c>
      <c r="P74" s="36">
        <f t="shared" si="8"/>
        <v>5.8785657244439538</v>
      </c>
      <c r="AB74">
        <f t="shared" si="13"/>
        <v>79.047720350318556</v>
      </c>
    </row>
    <row r="75" spans="2:28" x14ac:dyDescent="0.2">
      <c r="B75" s="109"/>
      <c r="C75" s="27"/>
      <c r="D75" s="17">
        <v>72</v>
      </c>
      <c r="E75" s="64">
        <v>275.39999999999998</v>
      </c>
      <c r="F75" s="65">
        <v>26.5</v>
      </c>
      <c r="G75" s="65">
        <v>550.54999999999995</v>
      </c>
      <c r="H75" s="65">
        <v>301.64999999999998</v>
      </c>
      <c r="I75" s="65">
        <v>3.1399999999999997E-2</v>
      </c>
      <c r="J75" s="36">
        <v>6</v>
      </c>
      <c r="K75" s="90">
        <f t="shared" si="14"/>
        <v>37.031550881350917</v>
      </c>
      <c r="L75" s="58">
        <f t="shared" si="9"/>
        <v>8.5328818296648659E-4</v>
      </c>
      <c r="M75" s="90">
        <f t="shared" si="10"/>
        <v>37.032404169533883</v>
      </c>
      <c r="N75" s="58">
        <f t="shared" si="11"/>
        <v>57.702578155222689</v>
      </c>
      <c r="O75" s="65">
        <f t="shared" si="12"/>
        <v>330.85257815522266</v>
      </c>
      <c r="P75" s="36">
        <f t="shared" si="8"/>
        <v>5.8785657244439538</v>
      </c>
      <c r="AB75">
        <f t="shared" si="13"/>
        <v>79.047720350318556</v>
      </c>
    </row>
    <row r="76" spans="2:28" x14ac:dyDescent="0.2">
      <c r="B76" s="109" t="s">
        <v>28</v>
      </c>
      <c r="C76" s="27"/>
      <c r="D76" s="17">
        <v>73</v>
      </c>
      <c r="E76" s="3">
        <v>130.6</v>
      </c>
      <c r="F76" s="1">
        <v>27.5</v>
      </c>
      <c r="G76" s="1">
        <v>405.75</v>
      </c>
      <c r="H76" s="1">
        <v>302.64999999999998</v>
      </c>
      <c r="I76" s="1">
        <v>0.2</v>
      </c>
      <c r="J76" s="36">
        <v>6</v>
      </c>
      <c r="K76" s="90">
        <f t="shared" si="14"/>
        <v>5.8139534883720936</v>
      </c>
      <c r="L76" s="58">
        <f t="shared" si="9"/>
        <v>1.3396624472573838E-4</v>
      </c>
      <c r="M76" s="90">
        <f t="shared" si="10"/>
        <v>5.8140874546168195</v>
      </c>
      <c r="N76" s="58">
        <f t="shared" si="11"/>
        <v>40.424812405799365</v>
      </c>
      <c r="O76" s="1">
        <f t="shared" si="12"/>
        <v>313.57481240579932</v>
      </c>
      <c r="P76" s="36">
        <f t="shared" si="8"/>
        <v>15.50977488695924</v>
      </c>
      <c r="AB76">
        <f t="shared" si="13"/>
        <v>69.046851144104622</v>
      </c>
    </row>
    <row r="77" spans="2:28" x14ac:dyDescent="0.2">
      <c r="B77" s="109"/>
      <c r="C77" s="27"/>
      <c r="D77" s="17">
        <v>74</v>
      </c>
      <c r="E77" s="3">
        <v>284</v>
      </c>
      <c r="F77" s="1">
        <v>27.6</v>
      </c>
      <c r="G77" s="1">
        <v>559.15</v>
      </c>
      <c r="H77" s="1">
        <v>302.75</v>
      </c>
      <c r="I77" s="1">
        <v>0.05</v>
      </c>
      <c r="J77" s="36">
        <v>6</v>
      </c>
      <c r="K77" s="90">
        <f t="shared" si="14"/>
        <v>23.255813953488374</v>
      </c>
      <c r="L77" s="58">
        <f t="shared" si="9"/>
        <v>5.3586497890295353E-4</v>
      </c>
      <c r="M77" s="90">
        <f t="shared" si="10"/>
        <v>23.256349818467278</v>
      </c>
      <c r="N77" s="58">
        <f t="shared" si="11"/>
        <v>59.742792442744474</v>
      </c>
      <c r="O77" s="1">
        <f t="shared" si="12"/>
        <v>332.89279244274445</v>
      </c>
      <c r="P77" s="36">
        <f t="shared" si="8"/>
        <v>9.6428377328233434</v>
      </c>
      <c r="AB77">
        <f t="shared" si="13"/>
        <v>78.963805477906874</v>
      </c>
    </row>
    <row r="78" spans="2:28" x14ac:dyDescent="0.2">
      <c r="B78" s="109"/>
      <c r="C78" s="27"/>
      <c r="D78" s="17">
        <v>75</v>
      </c>
      <c r="E78" s="3">
        <v>284</v>
      </c>
      <c r="F78" s="1">
        <v>28.1</v>
      </c>
      <c r="G78" s="1">
        <v>559.15</v>
      </c>
      <c r="H78" s="1">
        <v>303.25</v>
      </c>
      <c r="I78" s="1">
        <v>0.05</v>
      </c>
      <c r="J78" s="36">
        <v>6</v>
      </c>
      <c r="K78" s="90">
        <f t="shared" si="14"/>
        <v>23.255813953488374</v>
      </c>
      <c r="L78" s="58">
        <f t="shared" si="9"/>
        <v>5.3586497890295353E-4</v>
      </c>
      <c r="M78" s="90">
        <f t="shared" si="10"/>
        <v>23.256349818467278</v>
      </c>
      <c r="N78" s="58">
        <f t="shared" si="11"/>
        <v>60.180111490243029</v>
      </c>
      <c r="O78" s="1">
        <f t="shared" si="12"/>
        <v>333.33011149024298</v>
      </c>
      <c r="P78" s="36">
        <f t="shared" si="8"/>
        <v>9.6240334470729092</v>
      </c>
      <c r="AB78">
        <f t="shared" si="13"/>
        <v>78.809819897801759</v>
      </c>
    </row>
    <row r="79" spans="2:28" x14ac:dyDescent="0.2">
      <c r="B79" s="109"/>
      <c r="C79" s="27"/>
      <c r="D79" s="17">
        <v>76</v>
      </c>
      <c r="E79" s="3">
        <v>284</v>
      </c>
      <c r="F79" s="1">
        <v>28.1</v>
      </c>
      <c r="G79" s="1">
        <v>559.15</v>
      </c>
      <c r="H79" s="1">
        <v>303.25</v>
      </c>
      <c r="I79" s="1">
        <v>0.1963</v>
      </c>
      <c r="J79" s="36">
        <v>6</v>
      </c>
      <c r="K79" s="90">
        <f t="shared" si="14"/>
        <v>5.923538959115735</v>
      </c>
      <c r="L79" s="58">
        <f t="shared" si="9"/>
        <v>1.3649133441236719E-4</v>
      </c>
      <c r="M79" s="90">
        <f t="shared" si="10"/>
        <v>5.9236754504501477</v>
      </c>
      <c r="N79" s="58">
        <f t="shared" si="11"/>
        <v>60.180111490243021</v>
      </c>
      <c r="O79" s="1">
        <f t="shared" si="12"/>
        <v>333.33011149024298</v>
      </c>
      <c r="P79" s="36">
        <f t="shared" si="8"/>
        <v>37.783955313208224</v>
      </c>
      <c r="AB79">
        <f t="shared" si="13"/>
        <v>78.809819897801759</v>
      </c>
    </row>
    <row r="80" spans="2:28" x14ac:dyDescent="0.2">
      <c r="B80" s="109"/>
      <c r="C80" s="27"/>
      <c r="D80" s="17">
        <v>77</v>
      </c>
      <c r="E80" s="3">
        <v>284</v>
      </c>
      <c r="F80" s="1">
        <v>28.1</v>
      </c>
      <c r="G80" s="1">
        <v>559.15</v>
      </c>
      <c r="H80" s="1">
        <v>303.25</v>
      </c>
      <c r="I80" s="1">
        <v>1.57</v>
      </c>
      <c r="J80" s="36">
        <v>6</v>
      </c>
      <c r="K80" s="90">
        <f t="shared" si="14"/>
        <v>0.74063101762701822</v>
      </c>
      <c r="L80" s="58">
        <f t="shared" si="9"/>
        <v>1.7065763659329728E-5</v>
      </c>
      <c r="M80" s="90">
        <f t="shared" si="10"/>
        <v>0.74064808339067756</v>
      </c>
      <c r="N80" s="58">
        <f t="shared" si="11"/>
        <v>60.180111490243021</v>
      </c>
      <c r="O80" s="1">
        <f t="shared" si="12"/>
        <v>333.33011149024298</v>
      </c>
      <c r="P80" s="36">
        <f t="shared" si="8"/>
        <v>302.19465023808925</v>
      </c>
      <c r="AB80">
        <f t="shared" si="13"/>
        <v>78.809819897801759</v>
      </c>
    </row>
    <row r="81" spans="2:28" x14ac:dyDescent="0.2">
      <c r="B81" s="109"/>
      <c r="C81" s="27"/>
      <c r="D81" s="17">
        <v>78</v>
      </c>
      <c r="E81" s="3">
        <v>105.1</v>
      </c>
      <c r="F81" s="1">
        <v>28.1</v>
      </c>
      <c r="G81" s="1">
        <v>380.25</v>
      </c>
      <c r="H81" s="1">
        <v>303.25</v>
      </c>
      <c r="I81" s="1">
        <v>1.57</v>
      </c>
      <c r="J81" s="36">
        <v>6</v>
      </c>
      <c r="K81" s="90">
        <f t="shared" si="14"/>
        <v>0.74063101762701822</v>
      </c>
      <c r="L81" s="58">
        <f t="shared" si="9"/>
        <v>1.7065763659329728E-5</v>
      </c>
      <c r="M81" s="90">
        <f t="shared" si="10"/>
        <v>0.74064808339067756</v>
      </c>
      <c r="N81" s="58">
        <f t="shared" si="11"/>
        <v>37.752866685223573</v>
      </c>
      <c r="O81" s="1">
        <f t="shared" si="12"/>
        <v>310.90286668522356</v>
      </c>
      <c r="P81" s="36">
        <f t="shared" si="8"/>
        <v>90.930004174806044</v>
      </c>
      <c r="AB81">
        <f t="shared" si="13"/>
        <v>64.079099252879558</v>
      </c>
    </row>
    <row r="82" spans="2:28" x14ac:dyDescent="0.2">
      <c r="B82" s="109"/>
      <c r="C82" s="27"/>
      <c r="D82" s="17">
        <v>79</v>
      </c>
      <c r="E82" s="3">
        <v>114.8</v>
      </c>
      <c r="F82" s="1">
        <v>28.1</v>
      </c>
      <c r="G82" s="1">
        <v>389.95</v>
      </c>
      <c r="H82" s="1">
        <v>303.25</v>
      </c>
      <c r="I82" s="1">
        <v>0.94</v>
      </c>
      <c r="J82" s="36">
        <v>6</v>
      </c>
      <c r="K82" s="90">
        <f t="shared" si="14"/>
        <v>1.2370113805047007</v>
      </c>
      <c r="L82" s="58">
        <f t="shared" si="9"/>
        <v>2.8503456324625189E-5</v>
      </c>
      <c r="M82" s="90">
        <f t="shared" si="10"/>
        <v>1.2370398839610253</v>
      </c>
      <c r="N82" s="58">
        <f t="shared" si="11"/>
        <v>38.968877163751742</v>
      </c>
      <c r="O82" s="1">
        <f t="shared" si="12"/>
        <v>312.11887716375173</v>
      </c>
      <c r="P82" s="36">
        <f t="shared" si="8"/>
        <v>61.300467203559812</v>
      </c>
      <c r="AB82">
        <f t="shared" si="13"/>
        <v>66.054985048996741</v>
      </c>
    </row>
    <row r="83" spans="2:28" x14ac:dyDescent="0.2">
      <c r="B83" s="109"/>
      <c r="C83" s="27"/>
      <c r="D83" s="17">
        <v>80</v>
      </c>
      <c r="E83" s="3">
        <v>298.39999999999998</v>
      </c>
      <c r="F83" s="1">
        <v>28.1</v>
      </c>
      <c r="G83" s="1">
        <v>573.54999999999995</v>
      </c>
      <c r="H83" s="1">
        <v>303.25</v>
      </c>
      <c r="I83" s="1">
        <v>0.94</v>
      </c>
      <c r="J83" s="36">
        <v>6</v>
      </c>
      <c r="K83" s="90">
        <f t="shared" si="14"/>
        <v>1.2370113805047007</v>
      </c>
      <c r="L83" s="58">
        <f t="shared" si="9"/>
        <v>2.8503456324625189E-5</v>
      </c>
      <c r="M83" s="90">
        <f t="shared" si="10"/>
        <v>1.2370398839610253</v>
      </c>
      <c r="N83" s="58">
        <f t="shared" si="11"/>
        <v>61.98532292228483</v>
      </c>
      <c r="O83" s="1">
        <f t="shared" si="12"/>
        <v>335.13532292228479</v>
      </c>
      <c r="P83" s="36">
        <f t="shared" si="8"/>
        <v>191.11322128168644</v>
      </c>
      <c r="AB83">
        <f t="shared" si="13"/>
        <v>79.22743869896621</v>
      </c>
    </row>
    <row r="84" spans="2:28" x14ac:dyDescent="0.2">
      <c r="B84" s="109"/>
      <c r="C84" s="27"/>
      <c r="D84" s="17">
        <v>81</v>
      </c>
      <c r="E84" s="3">
        <v>284</v>
      </c>
      <c r="F84" s="1">
        <v>27.7</v>
      </c>
      <c r="G84" s="1">
        <v>559.15</v>
      </c>
      <c r="H84" s="1">
        <v>302.84999999999997</v>
      </c>
      <c r="I84" s="1">
        <v>2.19</v>
      </c>
      <c r="J84" s="36">
        <v>6</v>
      </c>
      <c r="K84" s="90">
        <f t="shared" si="14"/>
        <v>0.53095465647233731</v>
      </c>
      <c r="L84" s="58">
        <f t="shared" si="9"/>
        <v>1.2234360248925881E-5</v>
      </c>
      <c r="M84" s="90">
        <f t="shared" si="10"/>
        <v>0.53096689083258619</v>
      </c>
      <c r="N84" s="58">
        <f t="shared" si="11"/>
        <v>59.830256252244176</v>
      </c>
      <c r="O84" s="1">
        <f t="shared" si="12"/>
        <v>332.98025625224415</v>
      </c>
      <c r="P84" s="36">
        <f t="shared" si="8"/>
        <v>422.19156715448855</v>
      </c>
      <c r="AB84">
        <f t="shared" si="13"/>
        <v>78.933008361885854</v>
      </c>
    </row>
    <row r="85" spans="2:28" x14ac:dyDescent="0.2">
      <c r="B85" s="109"/>
      <c r="C85" s="27"/>
      <c r="D85" s="17">
        <v>82</v>
      </c>
      <c r="E85" s="3">
        <v>83.4</v>
      </c>
      <c r="F85" s="1">
        <v>27.5</v>
      </c>
      <c r="G85" s="1">
        <v>358.54999999999995</v>
      </c>
      <c r="H85" s="1">
        <v>302.64999999999998</v>
      </c>
      <c r="I85" s="1">
        <v>30.78</v>
      </c>
      <c r="J85" s="36">
        <v>6</v>
      </c>
      <c r="K85" s="90">
        <f t="shared" si="14"/>
        <v>3.7777475557973318E-2</v>
      </c>
      <c r="L85" s="58">
        <f t="shared" si="9"/>
        <v>8.7047592414384915E-7</v>
      </c>
      <c r="M85" s="90">
        <f t="shared" si="10"/>
        <v>3.7778346033897459E-2</v>
      </c>
      <c r="N85" s="58">
        <f t="shared" si="11"/>
        <v>34.507730489662308</v>
      </c>
      <c r="O85" s="1">
        <f t="shared" si="12"/>
        <v>307.6577304896623</v>
      </c>
      <c r="P85" s="36">
        <f t="shared" si="8"/>
        <v>1294.187666830835</v>
      </c>
      <c r="AB85">
        <f t="shared" si="13"/>
        <v>58.623824352922895</v>
      </c>
    </row>
    <row r="86" spans="2:28" x14ac:dyDescent="0.2">
      <c r="B86" s="109"/>
      <c r="C86" s="27"/>
      <c r="D86" s="17">
        <v>83</v>
      </c>
      <c r="E86" s="3">
        <v>230.5</v>
      </c>
      <c r="F86" s="1">
        <v>27.7</v>
      </c>
      <c r="G86" s="1">
        <v>505.65</v>
      </c>
      <c r="H86" s="1">
        <v>302.84999999999997</v>
      </c>
      <c r="I86" s="1">
        <v>0.15</v>
      </c>
      <c r="J86" s="36">
        <v>6</v>
      </c>
      <c r="K86" s="90">
        <f t="shared" si="14"/>
        <v>7.7519379844961254</v>
      </c>
      <c r="L86" s="58">
        <f t="shared" si="9"/>
        <v>1.7862165963431788E-4</v>
      </c>
      <c r="M86" s="90">
        <f t="shared" si="10"/>
        <v>7.7521166061557594</v>
      </c>
      <c r="N86" s="58">
        <f t="shared" si="11"/>
        <v>53.123394334588845</v>
      </c>
      <c r="O86" s="1">
        <f t="shared" si="12"/>
        <v>326.27339433458883</v>
      </c>
      <c r="P86" s="36">
        <f t="shared" si="8"/>
        <v>22.881054901129957</v>
      </c>
      <c r="AB86">
        <f t="shared" si="13"/>
        <v>76.952974258312864</v>
      </c>
    </row>
    <row r="87" spans="2:28" x14ac:dyDescent="0.2">
      <c r="B87" s="109"/>
      <c r="C87" s="27"/>
      <c r="D87" s="17">
        <v>84</v>
      </c>
      <c r="E87" s="3">
        <v>230.5</v>
      </c>
      <c r="F87" s="1">
        <v>27.7</v>
      </c>
      <c r="G87" s="1">
        <v>505.65</v>
      </c>
      <c r="H87" s="1">
        <v>302.84999999999997</v>
      </c>
      <c r="I87" s="1">
        <v>0.12</v>
      </c>
      <c r="J87" s="36">
        <v>6</v>
      </c>
      <c r="K87" s="90">
        <f t="shared" si="14"/>
        <v>9.6899224806201563</v>
      </c>
      <c r="L87" s="58">
        <f t="shared" si="9"/>
        <v>2.2327707454289732E-4</v>
      </c>
      <c r="M87" s="90">
        <f t="shared" si="10"/>
        <v>9.6901457576946992</v>
      </c>
      <c r="N87" s="58">
        <f t="shared" si="11"/>
        <v>53.123394334588845</v>
      </c>
      <c r="O87" s="1">
        <f t="shared" si="12"/>
        <v>326.27339433458883</v>
      </c>
      <c r="P87" s="36">
        <f t="shared" si="8"/>
        <v>18.304843920903966</v>
      </c>
      <c r="AB87">
        <f t="shared" si="13"/>
        <v>76.952974258312864</v>
      </c>
    </row>
    <row r="88" spans="2:28" x14ac:dyDescent="0.2">
      <c r="B88" s="109"/>
      <c r="C88" s="27"/>
      <c r="D88" s="17">
        <v>85</v>
      </c>
      <c r="E88" s="3">
        <v>146.1</v>
      </c>
      <c r="F88" s="1">
        <v>27.7</v>
      </c>
      <c r="G88" s="1">
        <v>421.25</v>
      </c>
      <c r="H88" s="1">
        <v>302.84999999999997</v>
      </c>
      <c r="I88" s="1">
        <v>0.13</v>
      </c>
      <c r="J88" s="36">
        <v>6</v>
      </c>
      <c r="K88" s="90">
        <f t="shared" si="14"/>
        <v>8.9445438282647594</v>
      </c>
      <c r="L88" s="58">
        <f t="shared" si="9"/>
        <v>2.0610191496267443E-4</v>
      </c>
      <c r="M88" s="90">
        <f t="shared" si="10"/>
        <v>8.9447499301797215</v>
      </c>
      <c r="N88" s="58">
        <f t="shared" si="11"/>
        <v>42.542849552343775</v>
      </c>
      <c r="O88" s="1">
        <f t="shared" si="12"/>
        <v>315.69284955234377</v>
      </c>
      <c r="P88" s="36">
        <f t="shared" si="8"/>
        <v>11.577422650828145</v>
      </c>
      <c r="AB88">
        <f t="shared" si="13"/>
        <v>70.881006466568252</v>
      </c>
    </row>
    <row r="89" spans="2:28" x14ac:dyDescent="0.2">
      <c r="B89" s="109"/>
      <c r="C89" s="27"/>
      <c r="D89" s="17">
        <v>86</v>
      </c>
      <c r="E89" s="3">
        <v>230.5</v>
      </c>
      <c r="F89" s="1">
        <v>27.7</v>
      </c>
      <c r="G89" s="1">
        <v>505.65</v>
      </c>
      <c r="H89" s="1">
        <v>302.84999999999997</v>
      </c>
      <c r="I89" s="1">
        <v>1.75</v>
      </c>
      <c r="J89" s="36">
        <v>6</v>
      </c>
      <c r="K89" s="90">
        <f t="shared" si="14"/>
        <v>0.66445182724252494</v>
      </c>
      <c r="L89" s="58">
        <f t="shared" si="9"/>
        <v>1.5310427968655815E-5</v>
      </c>
      <c r="M89" s="90">
        <f t="shared" si="10"/>
        <v>0.66446713767049359</v>
      </c>
      <c r="N89" s="58">
        <f t="shared" si="11"/>
        <v>53.123394334588845</v>
      </c>
      <c r="O89" s="1">
        <f t="shared" si="12"/>
        <v>326.27339433458883</v>
      </c>
      <c r="P89" s="36">
        <f t="shared" si="8"/>
        <v>266.94564051318287</v>
      </c>
      <c r="AB89">
        <f t="shared" si="13"/>
        <v>76.952974258312864</v>
      </c>
    </row>
    <row r="90" spans="2:28" x14ac:dyDescent="0.2">
      <c r="B90" s="109"/>
      <c r="C90" s="27"/>
      <c r="D90" s="17">
        <v>87</v>
      </c>
      <c r="E90" s="3">
        <v>230.5</v>
      </c>
      <c r="F90" s="1">
        <v>28.1</v>
      </c>
      <c r="G90" s="1">
        <v>505.65</v>
      </c>
      <c r="H90" s="1">
        <v>303.25</v>
      </c>
      <c r="I90" s="1">
        <v>2.92</v>
      </c>
      <c r="J90" s="36">
        <v>6</v>
      </c>
      <c r="K90" s="90">
        <f t="shared" si="14"/>
        <v>0.39821599235425303</v>
      </c>
      <c r="L90" s="58">
        <f t="shared" si="9"/>
        <v>9.1757701866944107E-6</v>
      </c>
      <c r="M90" s="90">
        <f t="shared" si="10"/>
        <v>0.39822516812443975</v>
      </c>
      <c r="N90" s="58">
        <f t="shared" si="11"/>
        <v>53.473249572587683</v>
      </c>
      <c r="O90" s="1">
        <f t="shared" si="12"/>
        <v>326.62324957258767</v>
      </c>
      <c r="P90" s="36">
        <f t="shared" si="8"/>
        <v>444.53933251173618</v>
      </c>
      <c r="AB90">
        <f t="shared" si="13"/>
        <v>76.801193243996664</v>
      </c>
    </row>
    <row r="91" spans="2:28" x14ac:dyDescent="0.2">
      <c r="B91" s="109"/>
      <c r="C91" s="27"/>
      <c r="D91" s="17">
        <v>88</v>
      </c>
      <c r="E91" s="3">
        <v>81.5</v>
      </c>
      <c r="F91" s="1">
        <v>28.1</v>
      </c>
      <c r="G91" s="1">
        <v>356.65</v>
      </c>
      <c r="H91" s="1">
        <v>303.25</v>
      </c>
      <c r="I91" s="1">
        <v>2.92</v>
      </c>
      <c r="J91" s="36">
        <v>6</v>
      </c>
      <c r="K91" s="90">
        <f t="shared" si="14"/>
        <v>0.39821599235425303</v>
      </c>
      <c r="L91" s="58">
        <f t="shared" si="9"/>
        <v>9.1757701866944107E-6</v>
      </c>
      <c r="M91" s="90">
        <f t="shared" si="10"/>
        <v>0.39822516812443975</v>
      </c>
      <c r="N91" s="58">
        <f t="shared" si="11"/>
        <v>34.794325727155048</v>
      </c>
      <c r="O91" s="1">
        <f t="shared" si="12"/>
        <v>307.94432572715505</v>
      </c>
      <c r="P91" s="36">
        <f t="shared" si="8"/>
        <v>117.28458673975641</v>
      </c>
      <c r="AB91">
        <f t="shared" si="13"/>
        <v>57.307575794901787</v>
      </c>
    </row>
    <row r="92" spans="2:28" x14ac:dyDescent="0.2">
      <c r="B92" s="109"/>
      <c r="C92" s="27"/>
      <c r="D92" s="17">
        <v>89</v>
      </c>
      <c r="E92" s="3">
        <v>103.3</v>
      </c>
      <c r="F92" s="1">
        <v>28.1</v>
      </c>
      <c r="G92" s="1">
        <v>378.45</v>
      </c>
      <c r="H92" s="1">
        <v>303.25</v>
      </c>
      <c r="I92" s="1">
        <v>3.1</v>
      </c>
      <c r="J92" s="36">
        <v>6</v>
      </c>
      <c r="K92" s="90">
        <f t="shared" si="14"/>
        <v>0.37509377344336087</v>
      </c>
      <c r="L92" s="58">
        <f t="shared" si="9"/>
        <v>8.6429835306927995E-6</v>
      </c>
      <c r="M92" s="90">
        <f t="shared" si="10"/>
        <v>0.37510241642689157</v>
      </c>
      <c r="N92" s="58">
        <f t="shared" si="11"/>
        <v>37.527215256218348</v>
      </c>
      <c r="O92" s="1">
        <f t="shared" si="12"/>
        <v>310.67721525621835</v>
      </c>
      <c r="P92" s="36">
        <f t="shared" si="8"/>
        <v>175.34620376566124</v>
      </c>
      <c r="AB92">
        <f t="shared" si="13"/>
        <v>63.671621242770236</v>
      </c>
    </row>
    <row r="93" spans="2:28" x14ac:dyDescent="0.2">
      <c r="B93" s="109"/>
      <c r="C93" s="27"/>
      <c r="D93" s="17">
        <v>90</v>
      </c>
      <c r="E93" s="3">
        <v>93.2</v>
      </c>
      <c r="F93" s="1">
        <v>28.3</v>
      </c>
      <c r="G93" s="1">
        <v>368.34999999999997</v>
      </c>
      <c r="H93" s="1">
        <v>303.45</v>
      </c>
      <c r="I93" s="1">
        <v>0.11</v>
      </c>
      <c r="J93" s="36">
        <v>6</v>
      </c>
      <c r="K93" s="90">
        <f t="shared" si="14"/>
        <v>10.570824524312897</v>
      </c>
      <c r="L93" s="58">
        <f t="shared" si="9"/>
        <v>2.4357499041043344E-4</v>
      </c>
      <c r="M93" s="90">
        <f t="shared" si="10"/>
        <v>10.571068099303307</v>
      </c>
      <c r="N93" s="58">
        <f t="shared" si="11"/>
        <v>36.435987634688445</v>
      </c>
      <c r="O93" s="1">
        <f t="shared" si="12"/>
        <v>309.58598763468842</v>
      </c>
      <c r="P93" s="36">
        <f t="shared" si="8"/>
        <v>5.3697518388943735</v>
      </c>
      <c r="AB93">
        <f t="shared" si="13"/>
        <v>60.905592666643301</v>
      </c>
    </row>
    <row r="94" spans="2:28" x14ac:dyDescent="0.2">
      <c r="B94" s="109"/>
      <c r="C94" s="27"/>
      <c r="D94" s="17">
        <v>91</v>
      </c>
      <c r="E94" s="3">
        <v>101.1</v>
      </c>
      <c r="F94" s="1">
        <v>28.2</v>
      </c>
      <c r="G94" s="1">
        <v>376.25</v>
      </c>
      <c r="H94" s="1">
        <v>303.34999999999997</v>
      </c>
      <c r="I94" s="1">
        <v>3.1415000000000002</v>
      </c>
      <c r="J94" s="36">
        <v>6</v>
      </c>
      <c r="K94" s="90">
        <f t="shared" si="14"/>
        <v>0.37013869096750557</v>
      </c>
      <c r="L94" s="58">
        <f t="shared" si="9"/>
        <v>8.5288075585381752E-6</v>
      </c>
      <c r="M94" s="90">
        <f t="shared" si="10"/>
        <v>0.3701472197750641</v>
      </c>
      <c r="N94" s="58">
        <f t="shared" si="11"/>
        <v>37.338882874711665</v>
      </c>
      <c r="O94" s="1">
        <f t="shared" si="12"/>
        <v>310.48888287471163</v>
      </c>
      <c r="P94" s="36">
        <f t="shared" si="8"/>
        <v>172.25880330544018</v>
      </c>
      <c r="AB94">
        <f t="shared" si="13"/>
        <v>63.06737598940488</v>
      </c>
    </row>
    <row r="95" spans="2:28" x14ac:dyDescent="0.2">
      <c r="B95" s="109"/>
      <c r="C95" s="27"/>
      <c r="D95" s="17">
        <v>92</v>
      </c>
      <c r="E95" s="3">
        <v>230.5</v>
      </c>
      <c r="F95" s="1">
        <v>28.3</v>
      </c>
      <c r="G95" s="1">
        <v>505.65</v>
      </c>
      <c r="H95" s="1">
        <v>303.45</v>
      </c>
      <c r="I95" s="1">
        <v>2.0099999999999998</v>
      </c>
      <c r="J95" s="36">
        <v>6</v>
      </c>
      <c r="K95" s="90">
        <f t="shared" si="14"/>
        <v>0.57850283466389008</v>
      </c>
      <c r="L95" s="58">
        <f t="shared" si="9"/>
        <v>1.3329974599575961E-5</v>
      </c>
      <c r="M95" s="90">
        <f t="shared" si="10"/>
        <v>0.57851616463848965</v>
      </c>
      <c r="N95" s="58">
        <f t="shared" si="11"/>
        <v>53.648177191587095</v>
      </c>
      <c r="O95" s="1">
        <f t="shared" si="12"/>
        <v>326.79817719158706</v>
      </c>
      <c r="P95" s="36">
        <f t="shared" si="8"/>
        <v>305.69901693054032</v>
      </c>
      <c r="AB95">
        <f t="shared" si="13"/>
        <v>76.725302736838572</v>
      </c>
    </row>
    <row r="96" spans="2:28" x14ac:dyDescent="0.2">
      <c r="B96" s="109"/>
      <c r="C96" s="27"/>
      <c r="D96" s="17">
        <v>93</v>
      </c>
      <c r="E96" s="3">
        <v>230.5</v>
      </c>
      <c r="F96" s="1">
        <v>28.3</v>
      </c>
      <c r="G96" s="1">
        <v>505.65</v>
      </c>
      <c r="H96" s="1">
        <v>303.45</v>
      </c>
      <c r="I96" s="1">
        <v>2.0099999999999998</v>
      </c>
      <c r="J96" s="36">
        <v>6</v>
      </c>
      <c r="K96" s="90">
        <f t="shared" si="14"/>
        <v>0.57850283466389008</v>
      </c>
      <c r="L96" s="58">
        <f t="shared" si="9"/>
        <v>1.3329974599575961E-5</v>
      </c>
      <c r="M96" s="90">
        <f t="shared" si="10"/>
        <v>0.57851616463848965</v>
      </c>
      <c r="N96" s="58">
        <f t="shared" si="11"/>
        <v>53.648177191587095</v>
      </c>
      <c r="O96" s="1">
        <f t="shared" si="12"/>
        <v>326.79817719158706</v>
      </c>
      <c r="P96" s="36">
        <f t="shared" si="8"/>
        <v>305.69901693054032</v>
      </c>
      <c r="AB96">
        <f t="shared" si="13"/>
        <v>76.725302736838572</v>
      </c>
    </row>
    <row r="97" spans="2:28" x14ac:dyDescent="0.2">
      <c r="B97" s="109"/>
      <c r="C97" s="27"/>
      <c r="D97" s="17">
        <v>94</v>
      </c>
      <c r="E97" s="3">
        <v>230.5</v>
      </c>
      <c r="F97" s="1">
        <v>28.1</v>
      </c>
      <c r="G97" s="1">
        <v>505.65</v>
      </c>
      <c r="H97" s="1">
        <v>303.25</v>
      </c>
      <c r="I97" s="1">
        <v>0.47</v>
      </c>
      <c r="J97" s="36">
        <v>6</v>
      </c>
      <c r="K97" s="90">
        <f t="shared" si="14"/>
        <v>2.4740227610094014</v>
      </c>
      <c r="L97" s="58">
        <f t="shared" si="9"/>
        <v>5.7006912649250379E-5</v>
      </c>
      <c r="M97" s="90">
        <f t="shared" si="10"/>
        <v>2.4740797679220505</v>
      </c>
      <c r="N97" s="58">
        <f t="shared" si="11"/>
        <v>53.473249572587683</v>
      </c>
      <c r="O97" s="1">
        <f t="shared" si="12"/>
        <v>326.62324957258767</v>
      </c>
      <c r="P97" s="36">
        <f t="shared" si="8"/>
        <v>71.552563794697264</v>
      </c>
      <c r="AB97">
        <f t="shared" si="13"/>
        <v>76.801193243996664</v>
      </c>
    </row>
    <row r="98" spans="2:28" x14ac:dyDescent="0.2">
      <c r="B98" s="109"/>
      <c r="C98" s="27"/>
      <c r="D98" s="17">
        <v>95</v>
      </c>
      <c r="E98" s="3">
        <v>145.80000000000001</v>
      </c>
      <c r="F98" s="1">
        <v>28.3</v>
      </c>
      <c r="G98" s="1">
        <v>420.95</v>
      </c>
      <c r="H98" s="1">
        <v>303.45</v>
      </c>
      <c r="I98" s="1">
        <v>2.2999999999999998</v>
      </c>
      <c r="J98" s="36">
        <v>6</v>
      </c>
      <c r="K98" s="90">
        <f t="shared" si="14"/>
        <v>0.50556117290192126</v>
      </c>
      <c r="L98" s="58">
        <f t="shared" si="9"/>
        <v>1.1649238671803341E-5</v>
      </c>
      <c r="M98" s="90">
        <f t="shared" si="10"/>
        <v>0.50557282214059307</v>
      </c>
      <c r="N98" s="58">
        <f t="shared" si="11"/>
        <v>43.030023837841171</v>
      </c>
      <c r="O98" s="1">
        <f t="shared" si="12"/>
        <v>316.18002383784113</v>
      </c>
      <c r="P98" s="36">
        <f t="shared" si="8"/>
        <v>203.27432896220813</v>
      </c>
      <c r="AB98">
        <f t="shared" si="13"/>
        <v>70.486952100246114</v>
      </c>
    </row>
    <row r="99" spans="2:28" x14ac:dyDescent="0.2">
      <c r="B99" s="109"/>
      <c r="C99" s="27"/>
      <c r="D99" s="17">
        <v>96</v>
      </c>
      <c r="E99" s="3">
        <v>230.5</v>
      </c>
      <c r="F99" s="1">
        <v>28.2</v>
      </c>
      <c r="G99" s="1">
        <v>505.65</v>
      </c>
      <c r="H99" s="1">
        <v>303.34999999999997</v>
      </c>
      <c r="I99" s="1">
        <v>3.95</v>
      </c>
      <c r="J99" s="36">
        <v>6</v>
      </c>
      <c r="K99" s="90">
        <f t="shared" si="14"/>
        <v>0.29437739181630851</v>
      </c>
      <c r="L99" s="58">
        <f t="shared" si="9"/>
        <v>6.7831009987715631E-6</v>
      </c>
      <c r="M99" s="90">
        <f t="shared" si="10"/>
        <v>0.29438417491730728</v>
      </c>
      <c r="N99" s="58">
        <f t="shared" si="11"/>
        <v>53.560713382087393</v>
      </c>
      <c r="O99" s="1">
        <f t="shared" si="12"/>
        <v>326.71071338208736</v>
      </c>
      <c r="P99" s="36">
        <f t="shared" si="8"/>
        <v>601.04890715547128</v>
      </c>
      <c r="AB99">
        <f t="shared" si="13"/>
        <v>76.763247990417611</v>
      </c>
    </row>
    <row r="100" spans="2:28" x14ac:dyDescent="0.2">
      <c r="B100" s="109"/>
      <c r="C100" s="27"/>
      <c r="D100" s="17">
        <v>97</v>
      </c>
      <c r="E100" s="3">
        <v>230.5</v>
      </c>
      <c r="F100" s="1">
        <v>28.3</v>
      </c>
      <c r="G100" s="1">
        <v>505.65</v>
      </c>
      <c r="H100" s="1">
        <v>303.45</v>
      </c>
      <c r="I100" s="1">
        <v>0.21</v>
      </c>
      <c r="J100" s="36">
        <v>6</v>
      </c>
      <c r="K100" s="90">
        <f t="shared" si="14"/>
        <v>5.5370985603543756</v>
      </c>
      <c r="L100" s="58">
        <f t="shared" si="9"/>
        <v>1.2758689973879847E-4</v>
      </c>
      <c r="M100" s="90">
        <f t="shared" si="10"/>
        <v>5.5372261472541142</v>
      </c>
      <c r="N100" s="58">
        <f t="shared" si="11"/>
        <v>53.648177191587102</v>
      </c>
      <c r="O100" s="1">
        <f t="shared" si="12"/>
        <v>326.79817719158706</v>
      </c>
      <c r="P100" s="36">
        <f t="shared" si="8"/>
        <v>31.938703261399748</v>
      </c>
      <c r="AB100">
        <f t="shared" si="13"/>
        <v>76.725302736838572</v>
      </c>
    </row>
    <row r="101" spans="2:28" x14ac:dyDescent="0.2">
      <c r="B101" s="109"/>
      <c r="C101" s="27"/>
      <c r="D101" s="17">
        <v>98</v>
      </c>
      <c r="E101" s="3">
        <v>230.5</v>
      </c>
      <c r="F101" s="1">
        <v>28.3</v>
      </c>
      <c r="G101" s="1">
        <v>505.65</v>
      </c>
      <c r="H101" s="1">
        <v>303.45</v>
      </c>
      <c r="I101" s="1">
        <v>0.15</v>
      </c>
      <c r="J101" s="36">
        <v>6</v>
      </c>
      <c r="K101" s="90">
        <f t="shared" si="14"/>
        <v>7.7519379844961254</v>
      </c>
      <c r="L101" s="58">
        <f t="shared" si="9"/>
        <v>1.7862165963431788E-4</v>
      </c>
      <c r="M101" s="90">
        <f t="shared" si="10"/>
        <v>7.7521166061557594</v>
      </c>
      <c r="N101" s="58">
        <f t="shared" si="11"/>
        <v>53.648177191587102</v>
      </c>
      <c r="O101" s="1">
        <f t="shared" si="12"/>
        <v>326.79817719158706</v>
      </c>
      <c r="P101" s="36">
        <f t="shared" si="8"/>
        <v>22.813359472428388</v>
      </c>
      <c r="AB101">
        <f t="shared" si="13"/>
        <v>76.725302736838572</v>
      </c>
    </row>
    <row r="102" spans="2:28" ht="16" thickBot="1" x14ac:dyDescent="0.25">
      <c r="B102" s="109"/>
      <c r="C102" s="27"/>
      <c r="D102" s="20">
        <v>99</v>
      </c>
      <c r="E102" s="3">
        <v>230.5</v>
      </c>
      <c r="F102" s="1">
        <v>27.9</v>
      </c>
      <c r="G102" s="1">
        <v>505.65</v>
      </c>
      <c r="H102" s="1">
        <v>303.04999999999995</v>
      </c>
      <c r="I102" s="1">
        <v>20.399999999999999</v>
      </c>
      <c r="J102" s="36">
        <v>6</v>
      </c>
      <c r="K102" s="90">
        <f t="shared" si="14"/>
        <v>5.6999544003647984E-2</v>
      </c>
      <c r="L102" s="58">
        <f t="shared" si="9"/>
        <v>1.3133945561346902E-6</v>
      </c>
      <c r="M102" s="90">
        <f t="shared" si="10"/>
        <v>5.7000857398204118E-2</v>
      </c>
      <c r="N102" s="58">
        <f t="shared" si="11"/>
        <v>53.298321953588257</v>
      </c>
      <c r="O102" s="1">
        <f t="shared" si="12"/>
        <v>326.44832195358822</v>
      </c>
      <c r="P102" s="36">
        <f t="shared" si="8"/>
        <v>3108.7546071192028</v>
      </c>
      <c r="AB102">
        <f t="shared" si="13"/>
        <v>76.877083751154771</v>
      </c>
    </row>
  </sheetData>
  <mergeCells count="31">
    <mergeCell ref="E2:P2"/>
    <mergeCell ref="C2:C3"/>
    <mergeCell ref="D2:D3"/>
    <mergeCell ref="X15:X16"/>
    <mergeCell ref="Y15:Z16"/>
    <mergeCell ref="Y12:Z12"/>
    <mergeCell ref="T12:T13"/>
    <mergeCell ref="U12:V13"/>
    <mergeCell ref="B65:B75"/>
    <mergeCell ref="B76:B102"/>
    <mergeCell ref="T17:T18"/>
    <mergeCell ref="U17:V18"/>
    <mergeCell ref="T20:T21"/>
    <mergeCell ref="U20:V21"/>
    <mergeCell ref="B4:B22"/>
    <mergeCell ref="B23:B41"/>
    <mergeCell ref="B42:B64"/>
    <mergeCell ref="T9:T10"/>
    <mergeCell ref="U9:V10"/>
    <mergeCell ref="U28:V29"/>
    <mergeCell ref="T28:T29"/>
    <mergeCell ref="T31:T32"/>
    <mergeCell ref="U31:V32"/>
    <mergeCell ref="U35:V35"/>
    <mergeCell ref="T36:T37"/>
    <mergeCell ref="T39:T40"/>
    <mergeCell ref="U36:V37"/>
    <mergeCell ref="U39:V40"/>
    <mergeCell ref="Y31:Z31"/>
    <mergeCell ref="X34:X35"/>
    <mergeCell ref="Y34:Z35"/>
  </mergeCells>
  <pageMargins left="0.7" right="0.7" top="0.75" bottom="0.75" header="0.3" footer="0.3"/>
  <pageSetup orientation="portrait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23404-130A-497E-9665-06AADBDBBDD6}">
  <dimension ref="B1:Z117"/>
  <sheetViews>
    <sheetView topLeftCell="L1" workbookViewId="0">
      <selection activeCell="V7" sqref="V7"/>
    </sheetView>
  </sheetViews>
  <sheetFormatPr baseColWidth="10" defaultRowHeight="15" x14ac:dyDescent="0.2"/>
  <cols>
    <col min="5" max="5" width="15.5" bestFit="1" customWidth="1"/>
    <col min="6" max="6" width="16.6640625" bestFit="1" customWidth="1"/>
    <col min="7" max="7" width="15.5" bestFit="1" customWidth="1"/>
    <col min="8" max="8" width="14.83203125" bestFit="1" customWidth="1"/>
    <col min="10" max="13" width="18.83203125" customWidth="1"/>
    <col min="14" max="14" width="20.33203125" customWidth="1"/>
    <col min="15" max="15" width="19.5" customWidth="1"/>
    <col min="20" max="20" width="26" bestFit="1" customWidth="1"/>
    <col min="24" max="24" width="28.5" bestFit="1" customWidth="1"/>
  </cols>
  <sheetData>
    <row r="1" spans="2:26" ht="16" thickBot="1" x14ac:dyDescent="0.25"/>
    <row r="2" spans="2:26" ht="17" thickBot="1" x14ac:dyDescent="0.25">
      <c r="B2" s="10"/>
      <c r="C2" s="122" t="s">
        <v>0</v>
      </c>
      <c r="D2" s="123" t="s">
        <v>1</v>
      </c>
      <c r="E2" s="175" t="s">
        <v>38</v>
      </c>
      <c r="F2" s="176"/>
      <c r="G2" s="176"/>
      <c r="H2" s="176"/>
      <c r="I2" s="176"/>
      <c r="J2" s="176"/>
      <c r="K2" s="176"/>
      <c r="L2" s="176"/>
      <c r="M2" s="176"/>
      <c r="N2" s="176"/>
      <c r="O2" s="176"/>
      <c r="P2" s="177"/>
      <c r="T2" s="34" t="s">
        <v>15</v>
      </c>
      <c r="U2" s="8">
        <v>0.05</v>
      </c>
    </row>
    <row r="3" spans="2:26" ht="49" thickBot="1" x14ac:dyDescent="0.25">
      <c r="B3" s="10"/>
      <c r="C3" s="122"/>
      <c r="D3" s="124"/>
      <c r="E3" s="43" t="s">
        <v>3</v>
      </c>
      <c r="F3" s="44" t="s">
        <v>4</v>
      </c>
      <c r="G3" s="44" t="s">
        <v>5</v>
      </c>
      <c r="H3" s="44" t="s">
        <v>6</v>
      </c>
      <c r="I3" s="22" t="s">
        <v>7</v>
      </c>
      <c r="J3" s="91" t="s">
        <v>17</v>
      </c>
      <c r="K3" s="61" t="s">
        <v>75</v>
      </c>
      <c r="L3" s="61" t="s">
        <v>77</v>
      </c>
      <c r="M3" s="61" t="s">
        <v>78</v>
      </c>
      <c r="N3" s="91" t="s">
        <v>19</v>
      </c>
      <c r="O3" s="26" t="s">
        <v>18</v>
      </c>
      <c r="P3" s="25" t="s">
        <v>8</v>
      </c>
      <c r="T3" s="34" t="s">
        <v>76</v>
      </c>
      <c r="U3" s="8">
        <v>6.3499999999999997E-3</v>
      </c>
    </row>
    <row r="4" spans="2:26" x14ac:dyDescent="0.2">
      <c r="B4" s="135" t="s">
        <v>24</v>
      </c>
      <c r="C4" s="28" t="s">
        <v>9</v>
      </c>
      <c r="D4" s="18">
        <v>1</v>
      </c>
      <c r="E4" s="3">
        <v>71.8</v>
      </c>
      <c r="F4" s="1">
        <v>20</v>
      </c>
      <c r="G4" s="1">
        <v>346.95</v>
      </c>
      <c r="H4" s="1">
        <v>295.14999999999998</v>
      </c>
      <c r="I4" s="1">
        <v>0.04</v>
      </c>
      <c r="J4" s="36">
        <v>6</v>
      </c>
      <c r="K4" s="36">
        <f>$U$2/($U$5*I4)</f>
        <v>29.069767441860467</v>
      </c>
      <c r="L4" s="36">
        <f>$U$3/($U$4*I4)</f>
        <v>6.6983122362869192E-4</v>
      </c>
      <c r="M4" s="36">
        <f>L4+K4</f>
        <v>29.070437273084096</v>
      </c>
      <c r="N4" s="36">
        <f>(((E4/M4)+(J4*I4*F4))/((J4*I4)+(1/M4)))</f>
        <v>26.493746679150409</v>
      </c>
      <c r="O4" s="1">
        <f>N4+273.15</f>
        <v>299.64374667915041</v>
      </c>
      <c r="P4" s="5">
        <f>J4*I4*(O4-H4)</f>
        <v>1.078499202996104</v>
      </c>
      <c r="T4" s="87" t="s">
        <v>74</v>
      </c>
      <c r="U4" s="8">
        <v>237</v>
      </c>
      <c r="V4" t="s">
        <v>183</v>
      </c>
    </row>
    <row r="5" spans="2:26" x14ac:dyDescent="0.2">
      <c r="B5" s="136"/>
      <c r="C5" s="28"/>
      <c r="D5" s="18">
        <v>2</v>
      </c>
      <c r="E5" s="3">
        <v>92.7</v>
      </c>
      <c r="F5" s="1">
        <v>20</v>
      </c>
      <c r="G5" s="1">
        <v>367.84999999999997</v>
      </c>
      <c r="H5" s="1">
        <v>295.14999999999998</v>
      </c>
      <c r="I5" s="1">
        <v>7.1999999999999995E-2</v>
      </c>
      <c r="J5" s="36">
        <v>6</v>
      </c>
      <c r="K5" s="36">
        <f t="shared" ref="K5:K68" si="0">$U$2/($U$5*I5)</f>
        <v>16.149870801033597</v>
      </c>
      <c r="L5" s="36">
        <f t="shared" ref="L5:L68" si="1">$U$3/($U$4*I5)</f>
        <v>3.721284575714955E-4</v>
      </c>
      <c r="M5" s="36">
        <f t="shared" ref="M5:M68" si="2">L5+K5</f>
        <v>16.150242929491167</v>
      </c>
      <c r="N5" s="36">
        <f t="shared" ref="N5:N68" si="3">(((E5/M5)+(J5*I5*F5))/((J5*I5)+(1/M5)))</f>
        <v>29.113810493711085</v>
      </c>
      <c r="O5" s="1">
        <f t="shared" ref="O5:O68" si="4">N5+273.15</f>
        <v>302.26381049371105</v>
      </c>
      <c r="P5" s="5">
        <f t="shared" ref="P5:P68" si="5">J5*I5*(O5-H5)</f>
        <v>3.0731661332831823</v>
      </c>
      <c r="T5" s="35" t="s">
        <v>16</v>
      </c>
      <c r="U5" s="8">
        <v>4.2999999999999997E-2</v>
      </c>
      <c r="V5" t="s">
        <v>183</v>
      </c>
    </row>
    <row r="6" spans="2:26" x14ac:dyDescent="0.2">
      <c r="B6" s="136"/>
      <c r="C6" s="28"/>
      <c r="D6" s="18">
        <v>3</v>
      </c>
      <c r="E6" s="3">
        <v>90.6</v>
      </c>
      <c r="F6" s="1">
        <v>20</v>
      </c>
      <c r="G6" s="1">
        <v>365.75</v>
      </c>
      <c r="H6" s="1">
        <v>295.14999999999998</v>
      </c>
      <c r="I6" s="1">
        <v>0.28899999999999998</v>
      </c>
      <c r="J6" s="36">
        <v>6</v>
      </c>
      <c r="K6" s="36">
        <f t="shared" si="0"/>
        <v>4.023497223786916</v>
      </c>
      <c r="L6" s="36">
        <f t="shared" si="1"/>
        <v>9.2710203962448722E-5</v>
      </c>
      <c r="M6" s="36">
        <f t="shared" si="2"/>
        <v>4.0235899339908787</v>
      </c>
      <c r="N6" s="36">
        <f t="shared" si="3"/>
        <v>28.850550493204992</v>
      </c>
      <c r="O6" s="1">
        <f t="shared" si="4"/>
        <v>302.00055049320497</v>
      </c>
      <c r="P6" s="5">
        <f t="shared" si="5"/>
        <v>11.878854555217455</v>
      </c>
    </row>
    <row r="7" spans="2:26" x14ac:dyDescent="0.2">
      <c r="B7" s="136"/>
      <c r="C7" s="28"/>
      <c r="D7" s="18">
        <v>4</v>
      </c>
      <c r="E7" s="3">
        <v>83.3</v>
      </c>
      <c r="F7" s="1">
        <v>20</v>
      </c>
      <c r="G7" s="1">
        <v>358.45</v>
      </c>
      <c r="H7" s="1">
        <v>295.14999999999998</v>
      </c>
      <c r="I7" s="1">
        <v>0.14399999999999999</v>
      </c>
      <c r="J7" s="36">
        <v>6</v>
      </c>
      <c r="K7" s="36">
        <f t="shared" si="0"/>
        <v>8.0749354005167984</v>
      </c>
      <c r="L7" s="36">
        <f t="shared" si="1"/>
        <v>1.8606422878574775E-4</v>
      </c>
      <c r="M7" s="36">
        <f t="shared" si="2"/>
        <v>8.0751214647455836</v>
      </c>
      <c r="N7" s="36">
        <f t="shared" si="3"/>
        <v>27.935408586683796</v>
      </c>
      <c r="O7" s="1">
        <f t="shared" si="4"/>
        <v>301.0854085866838</v>
      </c>
      <c r="P7" s="5">
        <f t="shared" si="5"/>
        <v>5.1281930188948204</v>
      </c>
    </row>
    <row r="8" spans="2:26" ht="16" thickBot="1" x14ac:dyDescent="0.25">
      <c r="B8" s="136"/>
      <c r="C8" s="28"/>
      <c r="D8" s="18">
        <v>5</v>
      </c>
      <c r="E8" s="3">
        <v>90.3</v>
      </c>
      <c r="F8" s="1">
        <v>20</v>
      </c>
      <c r="G8" s="1">
        <v>365.45</v>
      </c>
      <c r="H8" s="1">
        <v>295.14999999999998</v>
      </c>
      <c r="I8" s="1">
        <v>0.125</v>
      </c>
      <c r="J8" s="36">
        <v>6</v>
      </c>
      <c r="K8" s="36">
        <f t="shared" si="0"/>
        <v>9.3023255813953494</v>
      </c>
      <c r="L8" s="36">
        <f t="shared" si="1"/>
        <v>2.1434599156118142E-4</v>
      </c>
      <c r="M8" s="36">
        <f t="shared" si="2"/>
        <v>9.3025399273869098</v>
      </c>
      <c r="N8" s="36">
        <f t="shared" si="3"/>
        <v>28.81294192170412</v>
      </c>
      <c r="O8" s="1">
        <f t="shared" si="4"/>
        <v>301.9629419217041</v>
      </c>
      <c r="P8" s="5">
        <f t="shared" si="5"/>
        <v>5.1097064412780924</v>
      </c>
    </row>
    <row r="9" spans="2:26" x14ac:dyDescent="0.2">
      <c r="B9" s="136"/>
      <c r="C9" s="28" t="s">
        <v>10</v>
      </c>
      <c r="D9" s="18">
        <v>6</v>
      </c>
      <c r="E9" s="3">
        <v>73</v>
      </c>
      <c r="F9" s="1">
        <v>20</v>
      </c>
      <c r="G9" s="1">
        <v>348.15</v>
      </c>
      <c r="H9" s="1">
        <v>295.14999999999998</v>
      </c>
      <c r="I9" s="1">
        <v>0.125</v>
      </c>
      <c r="J9" s="36">
        <v>6</v>
      </c>
      <c r="K9" s="36">
        <f t="shared" si="0"/>
        <v>9.3023255813953494</v>
      </c>
      <c r="L9" s="36">
        <f t="shared" si="1"/>
        <v>2.1434599156118142E-4</v>
      </c>
      <c r="M9" s="36">
        <f t="shared" si="2"/>
        <v>9.3025399273869098</v>
      </c>
      <c r="N9" s="36">
        <f t="shared" si="3"/>
        <v>26.644180965153886</v>
      </c>
      <c r="O9" s="1">
        <f t="shared" si="4"/>
        <v>299.79418096515388</v>
      </c>
      <c r="P9" s="5">
        <f t="shared" si="5"/>
        <v>3.4831357238654306</v>
      </c>
      <c r="T9" s="153" t="s">
        <v>54</v>
      </c>
      <c r="U9" s="155">
        <f>SUM(P4:P116)</f>
        <v>8298.6193194911848</v>
      </c>
      <c r="V9" s="156"/>
    </row>
    <row r="10" spans="2:26" ht="16" thickBot="1" x14ac:dyDescent="0.25">
      <c r="B10" s="136"/>
      <c r="C10" s="28"/>
      <c r="D10" s="18">
        <v>7</v>
      </c>
      <c r="E10" s="3">
        <v>88</v>
      </c>
      <c r="F10" s="1">
        <v>22.6</v>
      </c>
      <c r="G10" s="1">
        <v>363.15</v>
      </c>
      <c r="H10" s="1">
        <v>297.75</v>
      </c>
      <c r="I10" s="1">
        <v>0.19700000000000001</v>
      </c>
      <c r="J10" s="36">
        <v>6</v>
      </c>
      <c r="K10" s="36">
        <f t="shared" si="0"/>
        <v>5.9024908511391816</v>
      </c>
      <c r="L10" s="36">
        <f t="shared" si="1"/>
        <v>1.3600633982308467E-4</v>
      </c>
      <c r="M10" s="36">
        <f t="shared" si="2"/>
        <v>5.9026268574790048</v>
      </c>
      <c r="N10" s="36">
        <f t="shared" si="3"/>
        <v>30.798668587189891</v>
      </c>
      <c r="O10" s="1">
        <f t="shared" si="4"/>
        <v>303.94866858718984</v>
      </c>
      <c r="P10" s="5">
        <f t="shared" si="5"/>
        <v>7.3268262700583939</v>
      </c>
      <c r="T10" s="154"/>
      <c r="U10" s="157"/>
      <c r="V10" s="158"/>
    </row>
    <row r="11" spans="2:26" ht="16" thickBot="1" x14ac:dyDescent="0.25">
      <c r="B11" s="136"/>
      <c r="C11" s="28"/>
      <c r="D11" s="18">
        <v>8</v>
      </c>
      <c r="E11" s="3">
        <v>92.4</v>
      </c>
      <c r="F11" s="1">
        <v>22.6</v>
      </c>
      <c r="G11" s="1">
        <v>367.54999999999995</v>
      </c>
      <c r="H11" s="1">
        <v>297.75</v>
      </c>
      <c r="I11" s="1">
        <v>0.01</v>
      </c>
      <c r="J11" s="36">
        <v>6</v>
      </c>
      <c r="K11" s="36">
        <f t="shared" si="0"/>
        <v>116.27906976744187</v>
      </c>
      <c r="L11" s="36">
        <f t="shared" si="1"/>
        <v>2.6793248945147677E-3</v>
      </c>
      <c r="M11" s="36">
        <f t="shared" si="2"/>
        <v>116.28174909233638</v>
      </c>
      <c r="N11" s="36">
        <f t="shared" si="3"/>
        <v>31.350260969202672</v>
      </c>
      <c r="O11" s="1">
        <f t="shared" si="4"/>
        <v>304.50026096920266</v>
      </c>
      <c r="P11" s="5">
        <f t="shared" si="5"/>
        <v>0.4050156581521594</v>
      </c>
    </row>
    <row r="12" spans="2:26" ht="20" thickBot="1" x14ac:dyDescent="0.25">
      <c r="B12" s="136"/>
      <c r="C12" s="28" t="s">
        <v>11</v>
      </c>
      <c r="D12" s="18">
        <v>9</v>
      </c>
      <c r="E12" s="3">
        <v>79.900000000000006</v>
      </c>
      <c r="F12" s="1">
        <v>22.6</v>
      </c>
      <c r="G12" s="1">
        <v>355.04999999999995</v>
      </c>
      <c r="H12" s="1">
        <v>297.75</v>
      </c>
      <c r="I12" s="1">
        <v>0.09</v>
      </c>
      <c r="J12" s="36">
        <v>6</v>
      </c>
      <c r="K12" s="36">
        <f t="shared" si="0"/>
        <v>12.919896640826876</v>
      </c>
      <c r="L12" s="36">
        <f t="shared" si="1"/>
        <v>2.9770276605719647E-4</v>
      </c>
      <c r="M12" s="36">
        <f t="shared" si="2"/>
        <v>12.920194343592932</v>
      </c>
      <c r="N12" s="36">
        <f t="shared" si="3"/>
        <v>29.783237156666377</v>
      </c>
      <c r="O12" s="1">
        <f t="shared" si="4"/>
        <v>302.93323715666634</v>
      </c>
      <c r="P12" s="5">
        <f t="shared" si="5"/>
        <v>2.7989480645998221</v>
      </c>
      <c r="T12" s="153" t="s">
        <v>34</v>
      </c>
      <c r="U12" s="155">
        <f>U9*0.000002891016576</f>
        <v>2.3991446010562856E-2</v>
      </c>
      <c r="V12" s="156"/>
      <c r="X12" s="33" t="s">
        <v>36</v>
      </c>
      <c r="Y12" s="171">
        <f>U17-U9</f>
        <v>75922.70852807643</v>
      </c>
      <c r="Z12" s="172"/>
    </row>
    <row r="13" spans="2:26" ht="16" thickBot="1" x14ac:dyDescent="0.25">
      <c r="B13" s="136"/>
      <c r="C13" s="28"/>
      <c r="D13" s="18">
        <v>10</v>
      </c>
      <c r="E13" s="3">
        <v>73.099999999999994</v>
      </c>
      <c r="F13" s="1">
        <v>22.6</v>
      </c>
      <c r="G13" s="1">
        <v>348.25</v>
      </c>
      <c r="H13" s="1">
        <v>297.75</v>
      </c>
      <c r="I13" s="1">
        <v>0.1</v>
      </c>
      <c r="J13" s="36">
        <v>6</v>
      </c>
      <c r="K13" s="36">
        <f t="shared" si="0"/>
        <v>11.627906976744187</v>
      </c>
      <c r="L13" s="36">
        <f t="shared" si="1"/>
        <v>2.6793248945147677E-4</v>
      </c>
      <c r="M13" s="36">
        <f t="shared" si="2"/>
        <v>11.628174909233639</v>
      </c>
      <c r="N13" s="36">
        <f t="shared" si="3"/>
        <v>28.930776202646626</v>
      </c>
      <c r="O13" s="1">
        <f t="shared" si="4"/>
        <v>302.08077620264658</v>
      </c>
      <c r="P13" s="5">
        <f t="shared" si="5"/>
        <v>2.5984657215879454</v>
      </c>
      <c r="T13" s="154"/>
      <c r="U13" s="157"/>
      <c r="V13" s="158"/>
      <c r="X13" s="9"/>
      <c r="Y13" s="9"/>
      <c r="Z13" s="9"/>
    </row>
    <row r="14" spans="2:26" ht="16" thickBot="1" x14ac:dyDescent="0.25">
      <c r="B14" s="136"/>
      <c r="C14" s="28"/>
      <c r="D14" s="18">
        <v>11</v>
      </c>
      <c r="E14" s="3">
        <v>88</v>
      </c>
      <c r="F14" s="1">
        <v>22.6</v>
      </c>
      <c r="G14" s="1">
        <v>363.15</v>
      </c>
      <c r="H14" s="1">
        <v>297.75</v>
      </c>
      <c r="I14" s="1">
        <v>3.7999999999999999E-2</v>
      </c>
      <c r="J14" s="36">
        <v>6</v>
      </c>
      <c r="K14" s="36">
        <f t="shared" si="0"/>
        <v>30.599755201958388</v>
      </c>
      <c r="L14" s="36">
        <f t="shared" si="1"/>
        <v>7.0508549855651784E-4</v>
      </c>
      <c r="M14" s="36">
        <f t="shared" si="2"/>
        <v>30.600460287456944</v>
      </c>
      <c r="N14" s="36">
        <f t="shared" si="3"/>
        <v>30.798668587189891</v>
      </c>
      <c r="O14" s="1">
        <f t="shared" si="4"/>
        <v>303.94866858718984</v>
      </c>
      <c r="P14" s="5">
        <f t="shared" si="5"/>
        <v>1.4132964378792841</v>
      </c>
    </row>
    <row r="15" spans="2:26" x14ac:dyDescent="0.2">
      <c r="B15" s="136"/>
      <c r="C15" s="28"/>
      <c r="D15" s="18">
        <v>12</v>
      </c>
      <c r="E15" s="3">
        <v>92.4</v>
      </c>
      <c r="F15" s="1">
        <v>22.6</v>
      </c>
      <c r="G15" s="1">
        <v>367.54999999999995</v>
      </c>
      <c r="H15" s="1">
        <v>297.75</v>
      </c>
      <c r="I15" s="1">
        <v>3.7999999999999999E-2</v>
      </c>
      <c r="J15" s="36">
        <v>6</v>
      </c>
      <c r="K15" s="36">
        <f t="shared" si="0"/>
        <v>30.599755201958388</v>
      </c>
      <c r="L15" s="36">
        <f t="shared" si="1"/>
        <v>7.0508549855651784E-4</v>
      </c>
      <c r="M15" s="36">
        <f t="shared" si="2"/>
        <v>30.600460287456944</v>
      </c>
      <c r="N15" s="36">
        <f t="shared" si="3"/>
        <v>31.350260969202669</v>
      </c>
      <c r="O15" s="1">
        <f t="shared" si="4"/>
        <v>304.50026096920266</v>
      </c>
      <c r="P15" s="5">
        <f t="shared" si="5"/>
        <v>1.5390595009782055</v>
      </c>
      <c r="X15" s="165" t="s">
        <v>37</v>
      </c>
      <c r="Y15" s="167">
        <f>U20-U12</f>
        <v>0.21949380884948552</v>
      </c>
      <c r="Z15" s="168"/>
    </row>
    <row r="16" spans="2:26" ht="16" thickBot="1" x14ac:dyDescent="0.25">
      <c r="B16" s="136"/>
      <c r="C16" s="28" t="s">
        <v>12</v>
      </c>
      <c r="D16" s="18">
        <v>13</v>
      </c>
      <c r="E16" s="3">
        <v>130.5</v>
      </c>
      <c r="F16" s="1">
        <v>20.399999999999999</v>
      </c>
      <c r="G16" s="1">
        <v>405.65</v>
      </c>
      <c r="H16" s="1">
        <v>295.54999999999995</v>
      </c>
      <c r="I16" s="1">
        <v>0.17199999999999999</v>
      </c>
      <c r="J16" s="36">
        <v>6</v>
      </c>
      <c r="K16" s="36">
        <f t="shared" si="0"/>
        <v>6.7604110329908069</v>
      </c>
      <c r="L16" s="36">
        <f t="shared" si="1"/>
        <v>1.5577470316946327E-4</v>
      </c>
      <c r="M16" s="36">
        <f t="shared" si="2"/>
        <v>6.7605668076939764</v>
      </c>
      <c r="N16" s="36">
        <f t="shared" si="3"/>
        <v>34.20234574081968</v>
      </c>
      <c r="O16" s="1">
        <f t="shared" si="4"/>
        <v>307.35234574081966</v>
      </c>
      <c r="P16" s="5">
        <f t="shared" si="5"/>
        <v>12.180020804525935</v>
      </c>
      <c r="X16" s="166"/>
      <c r="Y16" s="169"/>
      <c r="Z16" s="170"/>
    </row>
    <row r="17" spans="2:26" x14ac:dyDescent="0.2">
      <c r="B17" s="136"/>
      <c r="C17" s="28"/>
      <c r="D17" s="18">
        <v>14</v>
      </c>
      <c r="E17" s="3">
        <v>87.1</v>
      </c>
      <c r="F17" s="1">
        <v>20.399999999999999</v>
      </c>
      <c r="G17" s="1">
        <v>362.25</v>
      </c>
      <c r="H17" s="1">
        <v>295.54999999999995</v>
      </c>
      <c r="I17" s="1">
        <v>0.155</v>
      </c>
      <c r="J17" s="36">
        <v>6</v>
      </c>
      <c r="K17" s="36">
        <f t="shared" si="0"/>
        <v>7.501875468867218</v>
      </c>
      <c r="L17" s="36">
        <f t="shared" si="1"/>
        <v>1.7285967061385598E-4</v>
      </c>
      <c r="M17" s="36">
        <f t="shared" si="2"/>
        <v>7.5020483285378319</v>
      </c>
      <c r="N17" s="36">
        <f t="shared" si="3"/>
        <v>28.761639063693664</v>
      </c>
      <c r="O17" s="1">
        <f t="shared" si="4"/>
        <v>301.91163906369366</v>
      </c>
      <c r="P17" s="5">
        <f t="shared" si="5"/>
        <v>5.9163243292351417</v>
      </c>
      <c r="T17" s="145" t="s">
        <v>55</v>
      </c>
      <c r="U17" s="114">
        <v>84221.32784756762</v>
      </c>
      <c r="V17" s="115"/>
    </row>
    <row r="18" spans="2:26" ht="16" thickBot="1" x14ac:dyDescent="0.25">
      <c r="B18" s="136"/>
      <c r="C18" s="28"/>
      <c r="D18" s="18">
        <v>15</v>
      </c>
      <c r="E18" s="3">
        <v>150.1</v>
      </c>
      <c r="F18" s="1">
        <v>20.399999999999999</v>
      </c>
      <c r="G18" s="1">
        <v>425.25</v>
      </c>
      <c r="H18" s="1">
        <v>295.54999999999995</v>
      </c>
      <c r="I18" s="1">
        <v>0.17760000000000001</v>
      </c>
      <c r="J18" s="36">
        <v>6</v>
      </c>
      <c r="K18" s="36">
        <f t="shared" si="0"/>
        <v>6.5472449193379427</v>
      </c>
      <c r="L18" s="36">
        <f t="shared" si="1"/>
        <v>1.5086288820466035E-4</v>
      </c>
      <c r="M18" s="36">
        <f t="shared" si="2"/>
        <v>6.5473957822261477</v>
      </c>
      <c r="N18" s="36">
        <f t="shared" si="3"/>
        <v>36.659439078876588</v>
      </c>
      <c r="O18" s="1">
        <f t="shared" si="4"/>
        <v>309.80943907887655</v>
      </c>
      <c r="P18" s="5">
        <f t="shared" si="5"/>
        <v>15.194858282450902</v>
      </c>
      <c r="T18" s="146"/>
      <c r="U18" s="116"/>
      <c r="V18" s="117"/>
    </row>
    <row r="19" spans="2:26" ht="16" thickBot="1" x14ac:dyDescent="0.25">
      <c r="B19" s="136"/>
      <c r="C19" s="28" t="s">
        <v>13</v>
      </c>
      <c r="D19" s="18">
        <v>16</v>
      </c>
      <c r="E19" s="3">
        <v>150.1</v>
      </c>
      <c r="F19" s="1">
        <v>20.399999999999999</v>
      </c>
      <c r="G19" s="1">
        <v>425.25</v>
      </c>
      <c r="H19" s="1">
        <v>295.54999999999995</v>
      </c>
      <c r="I19" s="1">
        <v>0.17760000000000001</v>
      </c>
      <c r="J19" s="36">
        <v>6</v>
      </c>
      <c r="K19" s="36">
        <f t="shared" si="0"/>
        <v>6.5472449193379427</v>
      </c>
      <c r="L19" s="36">
        <f t="shared" si="1"/>
        <v>1.5086288820466035E-4</v>
      </c>
      <c r="M19" s="36">
        <f t="shared" si="2"/>
        <v>6.5473957822261477</v>
      </c>
      <c r="N19" s="36">
        <f t="shared" si="3"/>
        <v>36.659439078876588</v>
      </c>
      <c r="O19" s="1">
        <f t="shared" si="4"/>
        <v>309.80943907887655</v>
      </c>
      <c r="P19" s="5">
        <f t="shared" si="5"/>
        <v>15.194858282450902</v>
      </c>
    </row>
    <row r="20" spans="2:26" x14ac:dyDescent="0.2">
      <c r="B20" s="136"/>
      <c r="C20" s="28"/>
      <c r="D20" s="18">
        <v>17</v>
      </c>
      <c r="E20" s="3">
        <v>76.400000000000006</v>
      </c>
      <c r="F20" s="1">
        <v>20.399999999999999</v>
      </c>
      <c r="G20" s="1">
        <v>351.54999999999995</v>
      </c>
      <c r="H20" s="1">
        <v>295.54999999999995</v>
      </c>
      <c r="I20" s="1">
        <v>0.04</v>
      </c>
      <c r="J20" s="36">
        <v>6</v>
      </c>
      <c r="K20" s="36">
        <f t="shared" si="0"/>
        <v>29.069767441860467</v>
      </c>
      <c r="L20" s="36">
        <f t="shared" si="1"/>
        <v>6.6983122362869192E-4</v>
      </c>
      <c r="M20" s="36">
        <f t="shared" si="2"/>
        <v>29.070437273084096</v>
      </c>
      <c r="N20" s="36">
        <f t="shared" si="3"/>
        <v>27.420266680162602</v>
      </c>
      <c r="O20" s="1">
        <f t="shared" si="4"/>
        <v>300.5702666801626</v>
      </c>
      <c r="P20" s="5">
        <f t="shared" si="5"/>
        <v>1.2048640032390359</v>
      </c>
      <c r="T20" s="147" t="s">
        <v>33</v>
      </c>
      <c r="U20" s="149">
        <v>0.24348525486004838</v>
      </c>
      <c r="V20" s="150"/>
    </row>
    <row r="21" spans="2:26" ht="16" thickBot="1" x14ac:dyDescent="0.25">
      <c r="B21" s="136"/>
      <c r="C21" s="28" t="s">
        <v>14</v>
      </c>
      <c r="D21" s="18">
        <v>18</v>
      </c>
      <c r="E21" s="3">
        <v>150.1</v>
      </c>
      <c r="F21" s="1">
        <v>20.399999999999999</v>
      </c>
      <c r="G21" s="1">
        <v>425.25</v>
      </c>
      <c r="H21" s="1">
        <v>295.54999999999995</v>
      </c>
      <c r="I21" s="1">
        <v>3.7499999999999999E-2</v>
      </c>
      <c r="J21" s="36">
        <v>6</v>
      </c>
      <c r="K21" s="36">
        <f t="shared" si="0"/>
        <v>31.007751937984501</v>
      </c>
      <c r="L21" s="36">
        <f t="shared" si="1"/>
        <v>7.1448663853727152E-4</v>
      </c>
      <c r="M21" s="36">
        <f t="shared" si="2"/>
        <v>31.008466424623037</v>
      </c>
      <c r="N21" s="36">
        <f t="shared" si="3"/>
        <v>36.659439078876595</v>
      </c>
      <c r="O21" s="1">
        <f t="shared" si="4"/>
        <v>309.80943907887655</v>
      </c>
      <c r="P21" s="5">
        <f t="shared" si="5"/>
        <v>3.208373792747234</v>
      </c>
      <c r="T21" s="148"/>
      <c r="U21" s="151"/>
      <c r="V21" s="152"/>
    </row>
    <row r="22" spans="2:26" x14ac:dyDescent="0.2">
      <c r="B22" s="136"/>
      <c r="C22" s="28"/>
      <c r="D22" s="18">
        <v>19</v>
      </c>
      <c r="E22" s="3">
        <v>150.1</v>
      </c>
      <c r="F22" s="1">
        <v>17.3</v>
      </c>
      <c r="G22" s="1">
        <v>425.25</v>
      </c>
      <c r="H22" s="1">
        <v>292.45</v>
      </c>
      <c r="I22" s="1">
        <v>0.29399999999999998</v>
      </c>
      <c r="J22" s="36">
        <v>6</v>
      </c>
      <c r="K22" s="36">
        <f t="shared" si="0"/>
        <v>3.955070400253125</v>
      </c>
      <c r="L22" s="36">
        <f t="shared" si="1"/>
        <v>9.1133499813427486E-5</v>
      </c>
      <c r="M22" s="36">
        <f t="shared" si="2"/>
        <v>3.9551615337529382</v>
      </c>
      <c r="N22" s="36">
        <f t="shared" si="3"/>
        <v>33.948060984385592</v>
      </c>
      <c r="O22" s="1">
        <f t="shared" si="4"/>
        <v>307.0980609843856</v>
      </c>
      <c r="P22" s="5">
        <f t="shared" si="5"/>
        <v>25.83917957645621</v>
      </c>
    </row>
    <row r="23" spans="2:26" x14ac:dyDescent="0.2">
      <c r="B23" s="136"/>
      <c r="C23" s="28"/>
      <c r="D23" s="18">
        <v>9</v>
      </c>
      <c r="E23" s="3">
        <v>134.30000000000001</v>
      </c>
      <c r="F23" s="1">
        <v>17.3</v>
      </c>
      <c r="G23" s="1">
        <v>409.45</v>
      </c>
      <c r="H23" s="1">
        <v>292.45</v>
      </c>
      <c r="I23" s="1">
        <v>0.1694</v>
      </c>
      <c r="J23" s="36">
        <v>6</v>
      </c>
      <c r="K23" s="36">
        <f t="shared" si="0"/>
        <v>6.8641717690343489</v>
      </c>
      <c r="L23" s="36">
        <f t="shared" si="1"/>
        <v>1.5816557818859316E-4</v>
      </c>
      <c r="M23" s="36">
        <f t="shared" si="2"/>
        <v>6.8643299346125373</v>
      </c>
      <c r="N23" s="36">
        <f t="shared" si="3"/>
        <v>31.967342885339715</v>
      </c>
      <c r="O23" s="1">
        <f t="shared" si="4"/>
        <v>305.11734288533967</v>
      </c>
      <c r="P23" s="5">
        <f t="shared" si="5"/>
        <v>12.875087308659248</v>
      </c>
    </row>
    <row r="24" spans="2:26" x14ac:dyDescent="0.2">
      <c r="B24" s="136"/>
      <c r="C24" s="28"/>
      <c r="D24" s="18">
        <v>10</v>
      </c>
      <c r="E24" s="3">
        <v>140.1</v>
      </c>
      <c r="F24" s="1">
        <v>17.3</v>
      </c>
      <c r="G24" s="1">
        <v>415.25</v>
      </c>
      <c r="H24" s="1">
        <v>292.45</v>
      </c>
      <c r="I24" s="1">
        <v>0.45900000000000002</v>
      </c>
      <c r="J24" s="36">
        <v>6</v>
      </c>
      <c r="K24" s="36">
        <f t="shared" si="0"/>
        <v>2.5333130668287991</v>
      </c>
      <c r="L24" s="36">
        <f t="shared" si="1"/>
        <v>5.8373091383764005E-5</v>
      </c>
      <c r="M24" s="36">
        <f t="shared" si="2"/>
        <v>2.5333714399201828</v>
      </c>
      <c r="N24" s="36">
        <f t="shared" si="3"/>
        <v>32.694441934356561</v>
      </c>
      <c r="O24" s="1">
        <f t="shared" si="4"/>
        <v>305.84444193435655</v>
      </c>
      <c r="P24" s="5">
        <f t="shared" si="5"/>
        <v>36.888293087217981</v>
      </c>
    </row>
    <row r="25" spans="2:26" ht="16" thickBot="1" x14ac:dyDescent="0.25">
      <c r="B25" s="137"/>
      <c r="C25" s="28"/>
      <c r="D25" s="18">
        <v>11</v>
      </c>
      <c r="E25" s="3">
        <v>115.3</v>
      </c>
      <c r="F25" s="1">
        <v>17.3</v>
      </c>
      <c r="G25" s="1">
        <v>390.45</v>
      </c>
      <c r="H25" s="1">
        <v>292.45</v>
      </c>
      <c r="I25" s="1">
        <v>0.33119999999999999</v>
      </c>
      <c r="J25" s="36">
        <v>6</v>
      </c>
      <c r="K25" s="36">
        <f t="shared" si="0"/>
        <v>3.5108414784855642</v>
      </c>
      <c r="L25" s="36">
        <f t="shared" si="1"/>
        <v>8.0897490776412072E-5</v>
      </c>
      <c r="M25" s="36">
        <f t="shared" si="2"/>
        <v>3.5109223759763406</v>
      </c>
      <c r="N25" s="36">
        <f t="shared" si="3"/>
        <v>29.585466690284541</v>
      </c>
      <c r="O25" s="1">
        <f t="shared" si="4"/>
        <v>302.73546669028451</v>
      </c>
      <c r="P25" s="5">
        <f t="shared" si="5"/>
        <v>20.439279406933405</v>
      </c>
    </row>
    <row r="26" spans="2:26" x14ac:dyDescent="0.2">
      <c r="B26" s="135" t="s">
        <v>25</v>
      </c>
      <c r="C26" s="28"/>
      <c r="D26" s="18">
        <v>12</v>
      </c>
      <c r="E26" s="64">
        <v>194</v>
      </c>
      <c r="F26" s="65">
        <v>24.2</v>
      </c>
      <c r="G26" s="65">
        <v>469.15</v>
      </c>
      <c r="H26" s="65">
        <v>299.34999999999997</v>
      </c>
      <c r="I26" s="65">
        <v>4.9000000000000002E-2</v>
      </c>
      <c r="J26" s="36">
        <v>6</v>
      </c>
      <c r="K26" s="36">
        <f t="shared" si="0"/>
        <v>23.730422401518748</v>
      </c>
      <c r="L26" s="36">
        <f t="shared" si="1"/>
        <v>5.4680099888056481E-4</v>
      </c>
      <c r="M26" s="36">
        <f t="shared" si="2"/>
        <v>23.730969202517628</v>
      </c>
      <c r="N26" s="36">
        <f t="shared" si="3"/>
        <v>45.486451469493026</v>
      </c>
      <c r="O26" s="76">
        <f t="shared" si="4"/>
        <v>318.63645146949301</v>
      </c>
      <c r="P26" s="5">
        <f t="shared" si="5"/>
        <v>5.6702167320309558</v>
      </c>
    </row>
    <row r="27" spans="2:26" x14ac:dyDescent="0.2">
      <c r="B27" s="136"/>
      <c r="C27" s="28"/>
      <c r="D27" s="18">
        <v>13</v>
      </c>
      <c r="E27" s="64">
        <v>86.5</v>
      </c>
      <c r="F27" s="65">
        <v>24.2</v>
      </c>
      <c r="G27" s="65">
        <v>361.65</v>
      </c>
      <c r="H27" s="65">
        <v>299.34999999999997</v>
      </c>
      <c r="I27" s="65">
        <v>0.19089999999999999</v>
      </c>
      <c r="J27" s="36">
        <v>6</v>
      </c>
      <c r="K27" s="36">
        <f t="shared" si="0"/>
        <v>6.0910984686978455</v>
      </c>
      <c r="L27" s="36">
        <f t="shared" si="1"/>
        <v>1.4035227315425711E-4</v>
      </c>
      <c r="M27" s="36">
        <f t="shared" si="2"/>
        <v>6.0912388209710002</v>
      </c>
      <c r="N27" s="36">
        <f t="shared" si="3"/>
        <v>32.01004668168089</v>
      </c>
      <c r="O27" s="76">
        <f t="shared" si="4"/>
        <v>305.16004668168085</v>
      </c>
      <c r="P27" s="5">
        <f t="shared" si="5"/>
        <v>6.6548274691972882</v>
      </c>
    </row>
    <row r="28" spans="2:26" x14ac:dyDescent="0.2">
      <c r="B28" s="136"/>
      <c r="C28" s="28"/>
      <c r="D28" s="18">
        <v>14</v>
      </c>
      <c r="E28" s="64">
        <v>104</v>
      </c>
      <c r="F28" s="65">
        <v>24.2</v>
      </c>
      <c r="G28" s="65">
        <v>379.15</v>
      </c>
      <c r="H28" s="65">
        <v>299.34999999999997</v>
      </c>
      <c r="I28" s="65">
        <v>0.3569</v>
      </c>
      <c r="J28" s="36">
        <v>6</v>
      </c>
      <c r="K28" s="36">
        <f t="shared" si="0"/>
        <v>3.2580294134895458</v>
      </c>
      <c r="L28" s="36">
        <f t="shared" si="1"/>
        <v>7.5072146105765414E-5</v>
      </c>
      <c r="M28" s="36">
        <f t="shared" si="2"/>
        <v>3.2581044856356516</v>
      </c>
      <c r="N28" s="36">
        <f t="shared" si="3"/>
        <v>34.203880019231704</v>
      </c>
      <c r="O28" s="76">
        <f t="shared" si="4"/>
        <v>307.35388001923167</v>
      </c>
      <c r="P28" s="5">
        <f t="shared" si="5"/>
        <v>17.139508673182764</v>
      </c>
    </row>
    <row r="29" spans="2:26" x14ac:dyDescent="0.2">
      <c r="B29" s="136"/>
      <c r="C29" s="28"/>
      <c r="D29" s="18">
        <v>15</v>
      </c>
      <c r="E29" s="64">
        <v>74.2</v>
      </c>
      <c r="F29" s="65">
        <v>23.4</v>
      </c>
      <c r="G29" s="65">
        <v>349.34999999999997</v>
      </c>
      <c r="H29" s="65">
        <v>298.54999999999995</v>
      </c>
      <c r="I29" s="65">
        <v>1.5</v>
      </c>
      <c r="J29" s="36">
        <v>6</v>
      </c>
      <c r="K29" s="36">
        <f t="shared" si="0"/>
        <v>0.77519379844961245</v>
      </c>
      <c r="L29" s="36">
        <f t="shared" si="1"/>
        <v>1.7862165963431785E-5</v>
      </c>
      <c r="M29" s="36">
        <f t="shared" si="2"/>
        <v>0.77521166061557589</v>
      </c>
      <c r="N29" s="36">
        <f t="shared" si="3"/>
        <v>29.768384774147503</v>
      </c>
      <c r="O29" s="76">
        <f t="shared" si="4"/>
        <v>302.91838477414746</v>
      </c>
      <c r="P29" s="5">
        <f t="shared" si="5"/>
        <v>39.315462967327505</v>
      </c>
      <c r="T29" s="159"/>
      <c r="U29" s="142"/>
      <c r="V29" s="142"/>
    </row>
    <row r="30" spans="2:26" x14ac:dyDescent="0.2">
      <c r="B30" s="136"/>
      <c r="C30" s="28"/>
      <c r="D30" s="18">
        <v>16</v>
      </c>
      <c r="E30" s="64">
        <v>83.4</v>
      </c>
      <c r="F30" s="65">
        <v>23.4</v>
      </c>
      <c r="G30" s="65">
        <v>358.54999999999995</v>
      </c>
      <c r="H30" s="65">
        <v>298.54999999999995</v>
      </c>
      <c r="I30" s="65">
        <v>2.2599999999999999E-2</v>
      </c>
      <c r="J30" s="36">
        <v>6</v>
      </c>
      <c r="K30" s="36">
        <f t="shared" si="0"/>
        <v>51.450915826301717</v>
      </c>
      <c r="L30" s="36">
        <f t="shared" si="1"/>
        <v>1.1855419887233487E-3</v>
      </c>
      <c r="M30" s="36">
        <f t="shared" si="2"/>
        <v>51.452101368290442</v>
      </c>
      <c r="N30" s="36">
        <f t="shared" si="3"/>
        <v>30.921714300174212</v>
      </c>
      <c r="O30" s="76">
        <f t="shared" si="4"/>
        <v>304.07171430017416</v>
      </c>
      <c r="P30" s="5">
        <f t="shared" si="5"/>
        <v>0.74874445910362286</v>
      </c>
      <c r="T30" s="159"/>
      <c r="U30" s="142"/>
      <c r="V30" s="142"/>
    </row>
    <row r="31" spans="2:26" x14ac:dyDescent="0.2">
      <c r="B31" s="136"/>
      <c r="C31" s="28"/>
      <c r="D31" s="18">
        <v>17</v>
      </c>
      <c r="E31" s="64">
        <v>194</v>
      </c>
      <c r="F31" s="65">
        <v>21.1</v>
      </c>
      <c r="G31" s="65">
        <v>469.15</v>
      </c>
      <c r="H31" s="65">
        <v>296.25</v>
      </c>
      <c r="I31" s="65">
        <v>0.38479999999999998</v>
      </c>
      <c r="J31" s="36">
        <v>6</v>
      </c>
      <c r="K31" s="36">
        <f t="shared" si="0"/>
        <v>3.021805347386743</v>
      </c>
      <c r="L31" s="36">
        <f t="shared" si="1"/>
        <v>6.9629025325227857E-5</v>
      </c>
      <c r="M31" s="36">
        <f t="shared" si="2"/>
        <v>3.021874976412068</v>
      </c>
      <c r="N31" s="36">
        <f t="shared" si="3"/>
        <v>42.77507337500203</v>
      </c>
      <c r="O31" s="76">
        <f t="shared" si="4"/>
        <v>315.925073375002</v>
      </c>
      <c r="P31" s="5">
        <f t="shared" si="5"/>
        <v>45.425809408204614</v>
      </c>
    </row>
    <row r="32" spans="2:26" ht="16.5" customHeight="1" x14ac:dyDescent="0.2">
      <c r="B32" s="136"/>
      <c r="C32" s="28"/>
      <c r="D32" s="18">
        <v>18</v>
      </c>
      <c r="E32" s="64">
        <v>147.6</v>
      </c>
      <c r="F32" s="65">
        <v>21.1</v>
      </c>
      <c r="G32" s="65">
        <v>422.75</v>
      </c>
      <c r="H32" s="65">
        <v>296.25</v>
      </c>
      <c r="I32" s="65">
        <v>3.1399999999999997E-2</v>
      </c>
      <c r="J32" s="36">
        <v>6</v>
      </c>
      <c r="K32" s="36">
        <f t="shared" si="0"/>
        <v>37.031550881350917</v>
      </c>
      <c r="L32" s="36">
        <f t="shared" si="1"/>
        <v>8.5328818296648659E-4</v>
      </c>
      <c r="M32" s="36">
        <f t="shared" si="2"/>
        <v>37.032404169533883</v>
      </c>
      <c r="N32" s="36">
        <f t="shared" si="3"/>
        <v>36.958280982867294</v>
      </c>
      <c r="O32" s="76">
        <f t="shared" si="4"/>
        <v>310.10828098286726</v>
      </c>
      <c r="P32" s="5">
        <f t="shared" si="5"/>
        <v>2.6109001371721909</v>
      </c>
      <c r="T32" s="141"/>
      <c r="U32" s="142"/>
      <c r="V32" s="142"/>
      <c r="X32" s="141"/>
      <c r="Y32" s="143"/>
      <c r="Z32" s="143"/>
    </row>
    <row r="33" spans="2:26" x14ac:dyDescent="0.2">
      <c r="B33" s="136"/>
      <c r="C33" s="28"/>
      <c r="D33" s="18">
        <v>19</v>
      </c>
      <c r="E33" s="64">
        <v>148.6</v>
      </c>
      <c r="F33" s="65">
        <v>25.1</v>
      </c>
      <c r="G33" s="65">
        <v>423.75</v>
      </c>
      <c r="H33" s="65">
        <v>300.25</v>
      </c>
      <c r="I33" s="65">
        <v>4.9079999999999999E-2</v>
      </c>
      <c r="J33" s="36">
        <v>6</v>
      </c>
      <c r="K33" s="36">
        <f t="shared" si="0"/>
        <v>23.691742006406251</v>
      </c>
      <c r="L33" s="36">
        <f t="shared" si="1"/>
        <v>5.4590971770879541E-4</v>
      </c>
      <c r="M33" s="36">
        <f t="shared" si="2"/>
        <v>23.692287916123959</v>
      </c>
      <c r="N33" s="36">
        <f t="shared" si="3"/>
        <v>40.582195267858594</v>
      </c>
      <c r="O33" s="76">
        <f t="shared" si="4"/>
        <v>313.73219526785857</v>
      </c>
      <c r="P33" s="5">
        <f t="shared" si="5"/>
        <v>3.9702368624789917</v>
      </c>
      <c r="T33" s="141"/>
      <c r="U33" s="142"/>
      <c r="V33" s="142"/>
      <c r="X33" s="141"/>
      <c r="Y33" s="143"/>
      <c r="Z33" s="143"/>
    </row>
    <row r="34" spans="2:26" x14ac:dyDescent="0.2">
      <c r="B34" s="136"/>
      <c r="C34" s="28"/>
      <c r="D34" s="18">
        <v>20</v>
      </c>
      <c r="E34" s="64">
        <v>133.69999999999999</v>
      </c>
      <c r="F34" s="65">
        <v>25.1</v>
      </c>
      <c r="G34" s="65">
        <v>408.84999999999997</v>
      </c>
      <c r="H34" s="65">
        <v>300.25</v>
      </c>
      <c r="I34" s="65">
        <v>4.9079999999999999E-2</v>
      </c>
      <c r="J34" s="36">
        <v>6</v>
      </c>
      <c r="K34" s="36">
        <f t="shared" si="0"/>
        <v>23.691742006406251</v>
      </c>
      <c r="L34" s="36">
        <f t="shared" si="1"/>
        <v>5.4590971770879541E-4</v>
      </c>
      <c r="M34" s="36">
        <f t="shared" si="2"/>
        <v>23.692287916123959</v>
      </c>
      <c r="N34" s="36">
        <f t="shared" si="3"/>
        <v>38.714302883315334</v>
      </c>
      <c r="O34" s="76">
        <f t="shared" si="4"/>
        <v>311.8643028833153</v>
      </c>
      <c r="P34" s="5">
        <f t="shared" si="5"/>
        <v>3.4201799130786901</v>
      </c>
    </row>
    <row r="35" spans="2:26" x14ac:dyDescent="0.2">
      <c r="B35" s="136"/>
      <c r="C35" s="28"/>
      <c r="D35" s="18">
        <v>21</v>
      </c>
      <c r="E35" s="64">
        <v>137</v>
      </c>
      <c r="F35" s="65">
        <v>25.1</v>
      </c>
      <c r="G35" s="65">
        <v>412.15</v>
      </c>
      <c r="H35" s="65">
        <v>300.25</v>
      </c>
      <c r="I35" s="65">
        <v>4.9079999999999999E-2</v>
      </c>
      <c r="J35" s="36">
        <v>6</v>
      </c>
      <c r="K35" s="36">
        <f t="shared" si="0"/>
        <v>23.691742006406251</v>
      </c>
      <c r="L35" s="36">
        <f t="shared" si="1"/>
        <v>5.4590971770879541E-4</v>
      </c>
      <c r="M35" s="36">
        <f t="shared" si="2"/>
        <v>23.692287916123959</v>
      </c>
      <c r="N35" s="36">
        <f t="shared" si="3"/>
        <v>39.127997169824908</v>
      </c>
      <c r="O35" s="76">
        <f t="shared" si="4"/>
        <v>312.27799716982486</v>
      </c>
      <c r="P35" s="5">
        <f t="shared" si="5"/>
        <v>3.5420046065700235</v>
      </c>
      <c r="X35" s="141"/>
      <c r="Y35" s="142"/>
      <c r="Z35" s="142"/>
    </row>
    <row r="36" spans="2:26" x14ac:dyDescent="0.2">
      <c r="B36" s="136"/>
      <c r="C36" s="28"/>
      <c r="D36" s="18">
        <v>22</v>
      </c>
      <c r="E36" s="64">
        <v>120.8</v>
      </c>
      <c r="F36" s="65">
        <v>25.1</v>
      </c>
      <c r="G36" s="65">
        <v>395.95</v>
      </c>
      <c r="H36" s="65">
        <v>300.25</v>
      </c>
      <c r="I36" s="65">
        <v>4.9079999999999999E-2</v>
      </c>
      <c r="J36" s="36">
        <v>6</v>
      </c>
      <c r="K36" s="36">
        <f t="shared" si="0"/>
        <v>23.691742006406251</v>
      </c>
      <c r="L36" s="36">
        <f t="shared" si="1"/>
        <v>5.4590971770879541E-4</v>
      </c>
      <c r="M36" s="36">
        <f t="shared" si="2"/>
        <v>23.692287916123959</v>
      </c>
      <c r="N36" s="36">
        <f t="shared" si="3"/>
        <v>37.097134308777875</v>
      </c>
      <c r="O36" s="76">
        <f t="shared" si="4"/>
        <v>310.24713430877785</v>
      </c>
      <c r="P36" s="5">
        <f t="shared" si="5"/>
        <v>2.9439561112488994</v>
      </c>
      <c r="U36" s="121"/>
      <c r="V36" s="121"/>
      <c r="X36" s="141"/>
      <c r="Y36" s="142"/>
      <c r="Z36" s="142"/>
    </row>
    <row r="37" spans="2:26" x14ac:dyDescent="0.2">
      <c r="B37" s="136"/>
      <c r="C37" s="28"/>
      <c r="D37" s="18">
        <v>23</v>
      </c>
      <c r="E37" s="64">
        <v>121.1</v>
      </c>
      <c r="F37" s="65">
        <v>21</v>
      </c>
      <c r="G37" s="65">
        <v>396.25</v>
      </c>
      <c r="H37" s="65">
        <v>296.14999999999998</v>
      </c>
      <c r="I37" s="65">
        <v>0.06</v>
      </c>
      <c r="J37" s="36">
        <v>6</v>
      </c>
      <c r="K37" s="36">
        <f t="shared" si="0"/>
        <v>19.379844961240313</v>
      </c>
      <c r="L37" s="36">
        <f t="shared" si="1"/>
        <v>4.4655414908579465E-4</v>
      </c>
      <c r="M37" s="36">
        <f t="shared" si="2"/>
        <v>19.380291515389398</v>
      </c>
      <c r="N37" s="36">
        <f t="shared" si="3"/>
        <v>33.548726690790645</v>
      </c>
      <c r="O37" s="76">
        <f t="shared" si="4"/>
        <v>306.69872669079064</v>
      </c>
      <c r="P37" s="5">
        <f t="shared" si="5"/>
        <v>3.7975416086846372</v>
      </c>
      <c r="T37" s="141"/>
      <c r="U37" s="132"/>
      <c r="V37" s="132"/>
    </row>
    <row r="38" spans="2:26" x14ac:dyDescent="0.2">
      <c r="B38" s="136"/>
      <c r="C38" s="28"/>
      <c r="D38" s="18">
        <v>24</v>
      </c>
      <c r="E38" s="64">
        <v>120.7</v>
      </c>
      <c r="F38" s="65">
        <v>23.2</v>
      </c>
      <c r="G38" s="65">
        <v>395.84999999999997</v>
      </c>
      <c r="H38" s="65">
        <v>298.34999999999997</v>
      </c>
      <c r="I38" s="65">
        <v>0.08</v>
      </c>
      <c r="J38" s="36">
        <v>6</v>
      </c>
      <c r="K38" s="36">
        <f t="shared" si="0"/>
        <v>14.534883720930234</v>
      </c>
      <c r="L38" s="36">
        <f t="shared" si="1"/>
        <v>3.3491561181434596E-4</v>
      </c>
      <c r="M38" s="36">
        <f t="shared" si="2"/>
        <v>14.535218636542048</v>
      </c>
      <c r="N38" s="36">
        <f t="shared" si="3"/>
        <v>35.422785737783101</v>
      </c>
      <c r="O38" s="76">
        <f t="shared" si="4"/>
        <v>308.57278573778308</v>
      </c>
      <c r="P38" s="5">
        <f t="shared" si="5"/>
        <v>4.9069371541358944</v>
      </c>
      <c r="T38" s="141"/>
      <c r="U38" s="132"/>
      <c r="V38" s="132"/>
    </row>
    <row r="39" spans="2:26" x14ac:dyDescent="0.2">
      <c r="B39" s="136"/>
      <c r="C39" s="28"/>
      <c r="D39" s="18">
        <v>25</v>
      </c>
      <c r="E39" s="64">
        <v>194</v>
      </c>
      <c r="F39" s="65">
        <v>23.2</v>
      </c>
      <c r="G39" s="65">
        <v>469.15</v>
      </c>
      <c r="H39" s="65">
        <v>298.34999999999997</v>
      </c>
      <c r="I39" s="65">
        <v>3.1399999999999997E-2</v>
      </c>
      <c r="J39" s="36">
        <v>6</v>
      </c>
      <c r="K39" s="36">
        <f t="shared" si="0"/>
        <v>37.031550881350917</v>
      </c>
      <c r="L39" s="36">
        <f t="shared" si="1"/>
        <v>8.5328818296648659E-4</v>
      </c>
      <c r="M39" s="36">
        <f t="shared" si="2"/>
        <v>37.032404169533883</v>
      </c>
      <c r="N39" s="36">
        <f t="shared" si="3"/>
        <v>44.611813374495924</v>
      </c>
      <c r="O39" s="76">
        <f t="shared" si="4"/>
        <v>317.76181337449589</v>
      </c>
      <c r="P39" s="5">
        <f t="shared" si="5"/>
        <v>3.6571856397550313</v>
      </c>
    </row>
    <row r="40" spans="2:26" x14ac:dyDescent="0.2">
      <c r="B40" s="136"/>
      <c r="C40" s="28"/>
      <c r="D40" s="18">
        <v>26</v>
      </c>
      <c r="E40" s="64">
        <v>194</v>
      </c>
      <c r="F40" s="65">
        <v>22.1</v>
      </c>
      <c r="G40" s="65">
        <v>469.15</v>
      </c>
      <c r="H40" s="65">
        <v>297.25</v>
      </c>
      <c r="I40" s="65">
        <v>3.1399999999999997E-2</v>
      </c>
      <c r="J40" s="36">
        <v>6</v>
      </c>
      <c r="K40" s="36">
        <f t="shared" si="0"/>
        <v>37.031550881350917</v>
      </c>
      <c r="L40" s="36">
        <f t="shared" si="1"/>
        <v>8.5328818296648659E-4</v>
      </c>
      <c r="M40" s="36">
        <f t="shared" si="2"/>
        <v>37.032404169533883</v>
      </c>
      <c r="N40" s="36">
        <f t="shared" si="3"/>
        <v>43.649711469999119</v>
      </c>
      <c r="O40" s="76">
        <f t="shared" si="4"/>
        <v>316.79971146999912</v>
      </c>
      <c r="P40" s="5">
        <f t="shared" si="5"/>
        <v>3.6831656409478346</v>
      </c>
      <c r="T40" s="141"/>
      <c r="U40" s="142"/>
      <c r="V40" s="142"/>
    </row>
    <row r="41" spans="2:26" x14ac:dyDescent="0.2">
      <c r="B41" s="136"/>
      <c r="C41" s="28"/>
      <c r="D41" s="18">
        <v>27</v>
      </c>
      <c r="E41" s="64">
        <v>140.5</v>
      </c>
      <c r="F41" s="65">
        <v>22.1</v>
      </c>
      <c r="G41" s="65">
        <v>415.65</v>
      </c>
      <c r="H41" s="65">
        <v>297.25</v>
      </c>
      <c r="I41" s="65">
        <v>0.64</v>
      </c>
      <c r="J41" s="36">
        <v>6</v>
      </c>
      <c r="K41" s="36">
        <f t="shared" si="0"/>
        <v>1.8168604651162792</v>
      </c>
      <c r="L41" s="36">
        <f t="shared" si="1"/>
        <v>4.1864451476793245E-5</v>
      </c>
      <c r="M41" s="36">
        <f t="shared" si="2"/>
        <v>1.816902329567756</v>
      </c>
      <c r="N41" s="36">
        <f t="shared" si="3"/>
        <v>36.94284955234378</v>
      </c>
      <c r="O41" s="76">
        <f t="shared" si="4"/>
        <v>310.09284955234375</v>
      </c>
      <c r="P41" s="5">
        <f t="shared" si="5"/>
        <v>49.316542280999997</v>
      </c>
      <c r="T41" s="141"/>
      <c r="U41" s="142"/>
      <c r="V41" s="142"/>
    </row>
    <row r="42" spans="2:26" x14ac:dyDescent="0.2">
      <c r="B42" s="136"/>
      <c r="C42" s="28"/>
      <c r="D42" s="18">
        <v>28</v>
      </c>
      <c r="E42" s="64">
        <v>149.5</v>
      </c>
      <c r="F42" s="65">
        <v>22.1</v>
      </c>
      <c r="G42" s="65">
        <v>424.65</v>
      </c>
      <c r="H42" s="65">
        <v>297.25</v>
      </c>
      <c r="I42" s="65">
        <v>2.2599999999999999E-2</v>
      </c>
      <c r="J42" s="36">
        <v>6</v>
      </c>
      <c r="K42" s="36">
        <f t="shared" si="0"/>
        <v>51.450915826301717</v>
      </c>
      <c r="L42" s="36">
        <f t="shared" si="1"/>
        <v>1.1855419887233487E-3</v>
      </c>
      <c r="M42" s="36">
        <f t="shared" si="2"/>
        <v>51.452101368290442</v>
      </c>
      <c r="N42" s="36">
        <f t="shared" si="3"/>
        <v>38.071106697369913</v>
      </c>
      <c r="O42" s="76">
        <f t="shared" si="4"/>
        <v>311.22110669736992</v>
      </c>
      <c r="P42" s="5">
        <f t="shared" si="5"/>
        <v>1.894482068163361</v>
      </c>
    </row>
    <row r="43" spans="2:26" x14ac:dyDescent="0.2">
      <c r="B43" s="136"/>
      <c r="C43" s="28"/>
      <c r="D43" s="18">
        <v>29</v>
      </c>
      <c r="E43" s="64">
        <v>194</v>
      </c>
      <c r="F43" s="65">
        <v>22.1</v>
      </c>
      <c r="G43" s="65">
        <v>469.15</v>
      </c>
      <c r="H43" s="65">
        <v>297.25</v>
      </c>
      <c r="I43" s="65">
        <v>2.2599999999999999E-2</v>
      </c>
      <c r="J43" s="36">
        <v>6</v>
      </c>
      <c r="K43" s="36">
        <f t="shared" si="0"/>
        <v>51.450915826301717</v>
      </c>
      <c r="L43" s="36">
        <f t="shared" si="1"/>
        <v>1.1855419887233487E-3</v>
      </c>
      <c r="M43" s="36">
        <f t="shared" si="2"/>
        <v>51.452101368290442</v>
      </c>
      <c r="N43" s="36">
        <f t="shared" si="3"/>
        <v>43.649711469999126</v>
      </c>
      <c r="O43" s="76">
        <f t="shared" si="4"/>
        <v>316.79971146999912</v>
      </c>
      <c r="P43" s="5">
        <f t="shared" si="5"/>
        <v>2.6509408753318811</v>
      </c>
    </row>
    <row r="44" spans="2:26" x14ac:dyDescent="0.2">
      <c r="B44" s="136"/>
      <c r="C44" s="28"/>
      <c r="D44" s="18">
        <v>30</v>
      </c>
      <c r="E44" s="64">
        <v>101.4</v>
      </c>
      <c r="F44" s="65">
        <v>20.3</v>
      </c>
      <c r="G44" s="65">
        <v>376.54999999999995</v>
      </c>
      <c r="H44" s="65">
        <v>295.45</v>
      </c>
      <c r="I44" s="65">
        <v>0.08</v>
      </c>
      <c r="J44" s="36">
        <v>6</v>
      </c>
      <c r="K44" s="36">
        <f t="shared" si="0"/>
        <v>14.534883720930234</v>
      </c>
      <c r="L44" s="36">
        <f t="shared" si="1"/>
        <v>3.3491561181434596E-4</v>
      </c>
      <c r="M44" s="36">
        <f t="shared" si="2"/>
        <v>14.535218636542048</v>
      </c>
      <c r="N44" s="36">
        <f t="shared" si="3"/>
        <v>30.466850495735486</v>
      </c>
      <c r="O44" s="76">
        <f t="shared" si="4"/>
        <v>303.61685049573543</v>
      </c>
      <c r="P44" s="5">
        <f t="shared" si="5"/>
        <v>3.920088237953014</v>
      </c>
    </row>
    <row r="45" spans="2:26" x14ac:dyDescent="0.2">
      <c r="B45" s="136"/>
      <c r="C45" s="28"/>
      <c r="D45" s="18">
        <v>31</v>
      </c>
      <c r="E45" s="64">
        <v>70</v>
      </c>
      <c r="F45" s="65">
        <v>20.3</v>
      </c>
      <c r="G45" s="65">
        <v>345.15</v>
      </c>
      <c r="H45" s="65">
        <v>295.45</v>
      </c>
      <c r="I45" s="65">
        <v>0.05</v>
      </c>
      <c r="J45" s="36">
        <v>6</v>
      </c>
      <c r="K45" s="36">
        <f t="shared" si="0"/>
        <v>23.255813953488374</v>
      </c>
      <c r="L45" s="36">
        <f t="shared" si="1"/>
        <v>5.3586497890295353E-4</v>
      </c>
      <c r="M45" s="36">
        <f t="shared" si="2"/>
        <v>23.256349818467278</v>
      </c>
      <c r="N45" s="36">
        <f t="shared" si="3"/>
        <v>26.530486678644305</v>
      </c>
      <c r="O45" s="76">
        <f t="shared" si="4"/>
        <v>299.68048667864429</v>
      </c>
      <c r="P45" s="5">
        <f t="shared" si="5"/>
        <v>1.2691460035932893</v>
      </c>
    </row>
    <row r="46" spans="2:26" ht="16" thickBot="1" x14ac:dyDescent="0.25">
      <c r="B46" s="137"/>
      <c r="C46" s="28"/>
      <c r="D46" s="18">
        <v>32</v>
      </c>
      <c r="E46" s="64">
        <v>82.2</v>
      </c>
      <c r="F46" s="65">
        <v>20.100000000000001</v>
      </c>
      <c r="G46" s="65">
        <v>357.34999999999997</v>
      </c>
      <c r="H46" s="65">
        <v>295.25</v>
      </c>
      <c r="I46" s="65">
        <v>0.16</v>
      </c>
      <c r="J46" s="36">
        <v>6</v>
      </c>
      <c r="K46" s="36">
        <f t="shared" si="0"/>
        <v>7.2674418604651168</v>
      </c>
      <c r="L46" s="36">
        <f t="shared" si="1"/>
        <v>1.6745780590717298E-4</v>
      </c>
      <c r="M46" s="36">
        <f t="shared" si="2"/>
        <v>7.267609318271024</v>
      </c>
      <c r="N46" s="36">
        <f t="shared" si="3"/>
        <v>27.884974300680312</v>
      </c>
      <c r="O46" s="76">
        <f t="shared" si="4"/>
        <v>301.03497430068029</v>
      </c>
      <c r="P46" s="5">
        <f t="shared" si="5"/>
        <v>5.5535753286530776</v>
      </c>
    </row>
    <row r="47" spans="2:26" x14ac:dyDescent="0.2">
      <c r="B47" s="138" t="s">
        <v>26</v>
      </c>
      <c r="C47" s="28"/>
      <c r="D47" s="18">
        <v>33</v>
      </c>
      <c r="E47" s="3">
        <v>119.6</v>
      </c>
      <c r="F47" s="1">
        <v>21.2</v>
      </c>
      <c r="G47" s="1">
        <v>394.75</v>
      </c>
      <c r="H47" s="1">
        <v>296.34999999999997</v>
      </c>
      <c r="I47" s="1">
        <v>0.08</v>
      </c>
      <c r="J47" s="36">
        <v>6</v>
      </c>
      <c r="K47" s="36">
        <f t="shared" si="0"/>
        <v>14.534883720930234</v>
      </c>
      <c r="L47" s="36">
        <f t="shared" si="1"/>
        <v>3.3491561181434596E-4</v>
      </c>
      <c r="M47" s="36">
        <f t="shared" si="2"/>
        <v>14.535218636542048</v>
      </c>
      <c r="N47" s="36">
        <f t="shared" si="3"/>
        <v>33.535611452285714</v>
      </c>
      <c r="O47" s="1">
        <f t="shared" si="4"/>
        <v>306.68561145228568</v>
      </c>
      <c r="P47" s="5">
        <f t="shared" si="5"/>
        <v>4.9610934970971448</v>
      </c>
    </row>
    <row r="48" spans="2:26" x14ac:dyDescent="0.2">
      <c r="B48" s="139"/>
      <c r="C48" s="28"/>
      <c r="D48" s="18">
        <v>34</v>
      </c>
      <c r="E48" s="3">
        <v>114.8</v>
      </c>
      <c r="F48" s="1">
        <v>21.2</v>
      </c>
      <c r="G48" s="1">
        <v>389.95</v>
      </c>
      <c r="H48" s="1">
        <v>296.34999999999997</v>
      </c>
      <c r="I48" s="1">
        <v>0.31</v>
      </c>
      <c r="J48" s="36">
        <v>6</v>
      </c>
      <c r="K48" s="36">
        <f t="shared" si="0"/>
        <v>3.750937734433609</v>
      </c>
      <c r="L48" s="36">
        <f t="shared" si="1"/>
        <v>8.6429835306927992E-5</v>
      </c>
      <c r="M48" s="36">
        <f t="shared" si="2"/>
        <v>3.7510241642689159</v>
      </c>
      <c r="N48" s="36">
        <f t="shared" si="3"/>
        <v>32.933874308271776</v>
      </c>
      <c r="O48" s="1">
        <f t="shared" si="4"/>
        <v>306.08387430827173</v>
      </c>
      <c r="P48" s="5">
        <f t="shared" si="5"/>
        <v>18.105006213385483</v>
      </c>
    </row>
    <row r="49" spans="2:16" x14ac:dyDescent="0.2">
      <c r="B49" s="139"/>
      <c r="C49" s="28"/>
      <c r="D49" s="18">
        <v>35</v>
      </c>
      <c r="E49" s="3">
        <v>82.2</v>
      </c>
      <c r="F49" s="1">
        <v>21.2</v>
      </c>
      <c r="G49" s="1">
        <v>357.34999999999997</v>
      </c>
      <c r="H49" s="1">
        <v>296.34999999999997</v>
      </c>
      <c r="I49" s="1">
        <v>0.05</v>
      </c>
      <c r="J49" s="36">
        <v>6</v>
      </c>
      <c r="K49" s="36">
        <f t="shared" si="0"/>
        <v>23.255813953488374</v>
      </c>
      <c r="L49" s="36">
        <f t="shared" si="1"/>
        <v>5.3586497890295353E-4</v>
      </c>
      <c r="M49" s="36">
        <f t="shared" si="2"/>
        <v>23.256349818467278</v>
      </c>
      <c r="N49" s="36">
        <f t="shared" si="3"/>
        <v>28.847076205177117</v>
      </c>
      <c r="O49" s="1">
        <f t="shared" si="4"/>
        <v>301.99707620517711</v>
      </c>
      <c r="P49" s="5">
        <f t="shared" si="5"/>
        <v>1.6941228615531432</v>
      </c>
    </row>
    <row r="50" spans="2:16" x14ac:dyDescent="0.2">
      <c r="B50" s="139"/>
      <c r="C50" s="28"/>
      <c r="D50" s="18">
        <v>36</v>
      </c>
      <c r="E50" s="3">
        <v>150.1</v>
      </c>
      <c r="F50" s="1">
        <v>23.4</v>
      </c>
      <c r="G50" s="1">
        <v>425.25</v>
      </c>
      <c r="H50" s="1">
        <v>298.54999999999995</v>
      </c>
      <c r="I50" s="1">
        <v>0.70599999999999996</v>
      </c>
      <c r="J50" s="36">
        <v>6</v>
      </c>
      <c r="K50" s="36">
        <f t="shared" si="0"/>
        <v>1.6470123196521513</v>
      </c>
      <c r="L50" s="36">
        <f t="shared" si="1"/>
        <v>3.7950777542702093E-5</v>
      </c>
      <c r="M50" s="36">
        <f t="shared" si="2"/>
        <v>1.6470502704296941</v>
      </c>
      <c r="N50" s="36">
        <f t="shared" si="3"/>
        <v>39.283353363867874</v>
      </c>
      <c r="O50" s="1">
        <f t="shared" si="4"/>
        <v>312.43335336386787</v>
      </c>
      <c r="P50" s="5">
        <f t="shared" si="5"/>
        <v>58.809884849344471</v>
      </c>
    </row>
    <row r="51" spans="2:16" x14ac:dyDescent="0.2">
      <c r="B51" s="139"/>
      <c r="C51" s="28"/>
      <c r="D51" s="18">
        <v>37</v>
      </c>
      <c r="E51" s="3">
        <v>114.5</v>
      </c>
      <c r="F51" s="1">
        <v>21.6</v>
      </c>
      <c r="G51" s="1">
        <v>389.65</v>
      </c>
      <c r="H51" s="1">
        <v>296.75</v>
      </c>
      <c r="I51" s="1">
        <v>0.12</v>
      </c>
      <c r="J51" s="36">
        <v>6</v>
      </c>
      <c r="K51" s="36">
        <f t="shared" si="0"/>
        <v>9.6899224806201563</v>
      </c>
      <c r="L51" s="36">
        <f t="shared" si="1"/>
        <v>2.2327707454289732E-4</v>
      </c>
      <c r="M51" s="36">
        <f t="shared" si="2"/>
        <v>9.6901457576946992</v>
      </c>
      <c r="N51" s="36">
        <f t="shared" si="3"/>
        <v>33.246120974769745</v>
      </c>
      <c r="O51" s="1">
        <f t="shared" si="4"/>
        <v>306.3961209747697</v>
      </c>
      <c r="P51" s="5">
        <f t="shared" si="5"/>
        <v>6.9452071018341845</v>
      </c>
    </row>
    <row r="52" spans="2:16" x14ac:dyDescent="0.2">
      <c r="B52" s="139"/>
      <c r="C52" s="28"/>
      <c r="D52" s="18">
        <v>38</v>
      </c>
      <c r="E52" s="3">
        <v>109.1</v>
      </c>
      <c r="F52" s="1">
        <v>21.6</v>
      </c>
      <c r="G52" s="1">
        <v>384.25</v>
      </c>
      <c r="H52" s="1">
        <v>296.75</v>
      </c>
      <c r="I52" s="1">
        <v>0.05</v>
      </c>
      <c r="J52" s="36">
        <v>6</v>
      </c>
      <c r="K52" s="36">
        <f t="shared" si="0"/>
        <v>23.255813953488374</v>
      </c>
      <c r="L52" s="36">
        <f t="shared" si="1"/>
        <v>5.3586497890295353E-4</v>
      </c>
      <c r="M52" s="36">
        <f t="shared" si="2"/>
        <v>23.256349818467278</v>
      </c>
      <c r="N52" s="36">
        <f t="shared" si="3"/>
        <v>32.569166687754063</v>
      </c>
      <c r="O52" s="1">
        <f t="shared" si="4"/>
        <v>305.71916668775407</v>
      </c>
      <c r="P52" s="5">
        <f t="shared" si="5"/>
        <v>2.6907500063262209</v>
      </c>
    </row>
    <row r="53" spans="2:16" x14ac:dyDescent="0.2">
      <c r="B53" s="139"/>
      <c r="C53" s="28"/>
      <c r="D53" s="18">
        <v>39</v>
      </c>
      <c r="E53" s="3">
        <v>112.3</v>
      </c>
      <c r="F53" s="1">
        <v>21.6</v>
      </c>
      <c r="G53" s="1">
        <v>387.45</v>
      </c>
      <c r="H53" s="1">
        <v>296.75</v>
      </c>
      <c r="I53" s="1">
        <v>0.05</v>
      </c>
      <c r="J53" s="36">
        <v>6</v>
      </c>
      <c r="K53" s="36">
        <f t="shared" si="0"/>
        <v>23.255813953488374</v>
      </c>
      <c r="L53" s="36">
        <f t="shared" si="1"/>
        <v>5.3586497890295353E-4</v>
      </c>
      <c r="M53" s="36">
        <f t="shared" si="2"/>
        <v>23.256349818467278</v>
      </c>
      <c r="N53" s="36">
        <f t="shared" si="3"/>
        <v>32.970324783763353</v>
      </c>
      <c r="O53" s="1">
        <f t="shared" si="4"/>
        <v>306.12032478376335</v>
      </c>
      <c r="P53" s="5">
        <f t="shared" si="5"/>
        <v>2.8110974351290059</v>
      </c>
    </row>
    <row r="54" spans="2:16" x14ac:dyDescent="0.2">
      <c r="B54" s="139"/>
      <c r="C54" s="28"/>
      <c r="D54" s="18">
        <v>40</v>
      </c>
      <c r="E54" s="3">
        <v>111.2</v>
      </c>
      <c r="F54" s="1">
        <v>21.6</v>
      </c>
      <c r="G54" s="1">
        <v>386.34999999999997</v>
      </c>
      <c r="H54" s="1">
        <v>296.75</v>
      </c>
      <c r="I54" s="1">
        <v>0.05</v>
      </c>
      <c r="J54" s="36">
        <v>6</v>
      </c>
      <c r="K54" s="36">
        <f t="shared" si="0"/>
        <v>23.255813953488374</v>
      </c>
      <c r="L54" s="36">
        <f t="shared" si="1"/>
        <v>5.3586497890295353E-4</v>
      </c>
      <c r="M54" s="36">
        <f t="shared" si="2"/>
        <v>23.256349818467278</v>
      </c>
      <c r="N54" s="36">
        <f t="shared" si="3"/>
        <v>32.832426688260163</v>
      </c>
      <c r="O54" s="1">
        <f t="shared" si="4"/>
        <v>305.98242668826015</v>
      </c>
      <c r="P54" s="5">
        <f t="shared" si="5"/>
        <v>2.769728006478045</v>
      </c>
    </row>
    <row r="55" spans="2:16" x14ac:dyDescent="0.2">
      <c r="B55" s="139"/>
      <c r="C55" s="28"/>
      <c r="D55" s="18">
        <v>41</v>
      </c>
      <c r="E55" s="3">
        <v>103.9</v>
      </c>
      <c r="F55" s="1">
        <v>25.6</v>
      </c>
      <c r="G55" s="1">
        <v>379.04999999999995</v>
      </c>
      <c r="H55" s="1">
        <v>300.75</v>
      </c>
      <c r="I55" s="1">
        <v>0.23100000000000001</v>
      </c>
      <c r="J55" s="36">
        <v>6</v>
      </c>
      <c r="K55" s="36">
        <f t="shared" si="0"/>
        <v>5.0337259639585232</v>
      </c>
      <c r="L55" s="36">
        <f t="shared" si="1"/>
        <v>1.1598809067163497E-4</v>
      </c>
      <c r="M55" s="36">
        <f t="shared" si="2"/>
        <v>5.0338419520491948</v>
      </c>
      <c r="N55" s="36">
        <f t="shared" si="3"/>
        <v>35.415837161727353</v>
      </c>
      <c r="O55" s="1">
        <f t="shared" si="4"/>
        <v>308.56583716172736</v>
      </c>
      <c r="P55" s="5">
        <f t="shared" si="5"/>
        <v>10.83275030615412</v>
      </c>
    </row>
    <row r="56" spans="2:16" x14ac:dyDescent="0.2">
      <c r="B56" s="139"/>
      <c r="C56" s="28"/>
      <c r="D56" s="18">
        <v>42</v>
      </c>
      <c r="E56" s="3">
        <v>218.6</v>
      </c>
      <c r="F56" s="1">
        <v>25.5</v>
      </c>
      <c r="G56" s="1">
        <v>493.75</v>
      </c>
      <c r="H56" s="1">
        <v>300.64999999999998</v>
      </c>
      <c r="I56" s="1">
        <v>3.1399999999999997E-2</v>
      </c>
      <c r="J56" s="36">
        <v>6</v>
      </c>
      <c r="K56" s="36">
        <f t="shared" si="0"/>
        <v>37.031550881350917</v>
      </c>
      <c r="L56" s="36">
        <f t="shared" si="1"/>
        <v>8.5328818296648659E-4</v>
      </c>
      <c r="M56" s="36">
        <f t="shared" si="2"/>
        <v>37.032404169533883</v>
      </c>
      <c r="N56" s="36">
        <f t="shared" si="3"/>
        <v>49.70738385606068</v>
      </c>
      <c r="O56" s="1">
        <f t="shared" si="4"/>
        <v>322.85738385606066</v>
      </c>
      <c r="P56" s="5">
        <f t="shared" si="5"/>
        <v>4.1838711184818331</v>
      </c>
    </row>
    <row r="57" spans="2:16" x14ac:dyDescent="0.2">
      <c r="B57" s="139"/>
      <c r="C57" s="28"/>
      <c r="D57" s="18">
        <v>43</v>
      </c>
      <c r="E57" s="3">
        <v>218.6</v>
      </c>
      <c r="F57" s="1">
        <v>25.6</v>
      </c>
      <c r="G57" s="1">
        <v>493.75</v>
      </c>
      <c r="H57" s="1">
        <v>300.75</v>
      </c>
      <c r="I57" s="1">
        <v>3.1399999999999997E-2</v>
      </c>
      <c r="J57" s="36">
        <v>6</v>
      </c>
      <c r="K57" s="36">
        <f t="shared" si="0"/>
        <v>37.031550881350917</v>
      </c>
      <c r="L57" s="36">
        <f t="shared" si="1"/>
        <v>8.5328818296648659E-4</v>
      </c>
      <c r="M57" s="36">
        <f t="shared" si="2"/>
        <v>37.032404169533883</v>
      </c>
      <c r="N57" s="36">
        <f t="shared" si="3"/>
        <v>49.794847665560383</v>
      </c>
      <c r="O57" s="1">
        <f t="shared" si="4"/>
        <v>322.94484766556036</v>
      </c>
      <c r="P57" s="5">
        <f t="shared" si="5"/>
        <v>4.1815093001915713</v>
      </c>
    </row>
    <row r="58" spans="2:16" x14ac:dyDescent="0.2">
      <c r="B58" s="139"/>
      <c r="C58" s="28"/>
      <c r="D58" s="18">
        <v>44</v>
      </c>
      <c r="E58" s="3">
        <v>69.099999999999994</v>
      </c>
      <c r="F58" s="1">
        <v>25.6</v>
      </c>
      <c r="G58" s="1">
        <v>344.25</v>
      </c>
      <c r="H58" s="1">
        <v>300.75</v>
      </c>
      <c r="I58" s="1">
        <v>2.7099999999999999E-2</v>
      </c>
      <c r="J58" s="36">
        <v>6</v>
      </c>
      <c r="K58" s="36">
        <f t="shared" si="0"/>
        <v>42.907405818244236</v>
      </c>
      <c r="L58" s="36">
        <f t="shared" si="1"/>
        <v>9.8868077288367809E-4</v>
      </c>
      <c r="M58" s="36">
        <f t="shared" si="2"/>
        <v>42.90839449901712</v>
      </c>
      <c r="N58" s="36">
        <f t="shared" si="3"/>
        <v>31.053242867626306</v>
      </c>
      <c r="O58" s="1">
        <f t="shared" si="4"/>
        <v>304.20324286762627</v>
      </c>
      <c r="P58" s="5">
        <f t="shared" si="5"/>
        <v>0.5614972902760319</v>
      </c>
    </row>
    <row r="59" spans="2:16" x14ac:dyDescent="0.2">
      <c r="B59" s="139"/>
      <c r="C59" s="28"/>
      <c r="D59" s="18">
        <v>45</v>
      </c>
      <c r="E59" s="3">
        <v>107.6</v>
      </c>
      <c r="F59" s="1">
        <v>27.1</v>
      </c>
      <c r="G59" s="1">
        <v>382.75</v>
      </c>
      <c r="H59" s="1">
        <v>302.25</v>
      </c>
      <c r="I59" s="1">
        <v>0.12759999999999999</v>
      </c>
      <c r="J59" s="36">
        <v>6</v>
      </c>
      <c r="K59" s="36">
        <f t="shared" si="0"/>
        <v>9.1127797623387057</v>
      </c>
      <c r="L59" s="36">
        <f t="shared" si="1"/>
        <v>2.0997844000899434E-4</v>
      </c>
      <c r="M59" s="36">
        <f t="shared" si="2"/>
        <v>9.1129897407787155</v>
      </c>
      <c r="N59" s="36">
        <f t="shared" si="3"/>
        <v>37.191633352733731</v>
      </c>
      <c r="O59" s="1">
        <f t="shared" si="4"/>
        <v>310.34163335273371</v>
      </c>
      <c r="P59" s="5">
        <f t="shared" si="5"/>
        <v>6.1949544948529267</v>
      </c>
    </row>
    <row r="60" spans="2:16" x14ac:dyDescent="0.2">
      <c r="B60" s="139"/>
      <c r="C60" s="28"/>
      <c r="D60" s="18">
        <v>46</v>
      </c>
      <c r="E60" s="3">
        <v>103.4</v>
      </c>
      <c r="F60" s="1">
        <v>26.5</v>
      </c>
      <c r="G60" s="1">
        <v>378.54999999999995</v>
      </c>
      <c r="H60" s="1">
        <v>301.64999999999998</v>
      </c>
      <c r="I60" s="1">
        <v>0.22500000000000001</v>
      </c>
      <c r="J60" s="36">
        <v>6</v>
      </c>
      <c r="K60" s="36">
        <f t="shared" si="0"/>
        <v>5.1679586563307502</v>
      </c>
      <c r="L60" s="36">
        <f t="shared" si="1"/>
        <v>1.1908110642287856E-4</v>
      </c>
      <c r="M60" s="36">
        <f t="shared" si="2"/>
        <v>5.1680777374371729</v>
      </c>
      <c r="N60" s="36">
        <f t="shared" si="3"/>
        <v>36.140330494723287</v>
      </c>
      <c r="O60" s="1">
        <f t="shared" si="4"/>
        <v>309.29033049472326</v>
      </c>
      <c r="P60" s="5">
        <f t="shared" si="5"/>
        <v>10.314446167876438</v>
      </c>
    </row>
    <row r="61" spans="2:16" x14ac:dyDescent="0.2">
      <c r="B61" s="139"/>
      <c r="C61" s="28"/>
      <c r="D61" s="18">
        <v>47</v>
      </c>
      <c r="E61" s="3">
        <v>90.6</v>
      </c>
      <c r="F61" s="1">
        <v>26.5</v>
      </c>
      <c r="G61" s="1">
        <v>365.75</v>
      </c>
      <c r="H61" s="1">
        <v>301.64999999999998</v>
      </c>
      <c r="I61" s="1">
        <v>0.22500000000000001</v>
      </c>
      <c r="J61" s="36">
        <v>6</v>
      </c>
      <c r="K61" s="36">
        <f t="shared" si="0"/>
        <v>5.1679586563307502</v>
      </c>
      <c r="L61" s="36">
        <f t="shared" si="1"/>
        <v>1.1908110642287856E-4</v>
      </c>
      <c r="M61" s="36">
        <f t="shared" si="2"/>
        <v>5.1680777374371729</v>
      </c>
      <c r="N61" s="36">
        <f t="shared" si="3"/>
        <v>34.53569811068612</v>
      </c>
      <c r="O61" s="1">
        <f t="shared" si="4"/>
        <v>307.68569811068608</v>
      </c>
      <c r="P61" s="5">
        <f t="shared" si="5"/>
        <v>8.148192449426233</v>
      </c>
    </row>
    <row r="62" spans="2:16" x14ac:dyDescent="0.2">
      <c r="B62" s="139"/>
      <c r="C62" s="28"/>
      <c r="D62" s="18">
        <v>48</v>
      </c>
      <c r="E62" s="3">
        <v>86.3</v>
      </c>
      <c r="F62" s="1">
        <v>26.5</v>
      </c>
      <c r="G62" s="1">
        <v>361.45</v>
      </c>
      <c r="H62" s="1">
        <v>301.64999999999998</v>
      </c>
      <c r="I62" s="1">
        <v>0.51800000000000002</v>
      </c>
      <c r="J62" s="36">
        <v>6</v>
      </c>
      <c r="K62" s="36">
        <f t="shared" si="0"/>
        <v>2.2447696866301521</v>
      </c>
      <c r="L62" s="36">
        <f t="shared" si="1"/>
        <v>5.1724418813026402E-5</v>
      </c>
      <c r="M62" s="36">
        <f t="shared" si="2"/>
        <v>2.244821411048965</v>
      </c>
      <c r="N62" s="36">
        <f t="shared" si="3"/>
        <v>33.996641919173634</v>
      </c>
      <c r="O62" s="1">
        <f t="shared" si="4"/>
        <v>307.14664191917359</v>
      </c>
      <c r="P62" s="5">
        <f t="shared" si="5"/>
        <v>17.083563084791589</v>
      </c>
    </row>
    <row r="63" spans="2:16" x14ac:dyDescent="0.2">
      <c r="B63" s="139"/>
      <c r="C63" s="28"/>
      <c r="D63" s="18">
        <v>49</v>
      </c>
      <c r="E63" s="3">
        <v>118.2</v>
      </c>
      <c r="F63" s="1">
        <v>23.1</v>
      </c>
      <c r="G63" s="1">
        <v>393.34999999999997</v>
      </c>
      <c r="H63" s="1">
        <v>298.25</v>
      </c>
      <c r="I63" s="1">
        <v>0.27100000000000002</v>
      </c>
      <c r="J63" s="36">
        <v>6</v>
      </c>
      <c r="K63" s="36">
        <f t="shared" si="0"/>
        <v>4.2907405818244229</v>
      </c>
      <c r="L63" s="36">
        <f t="shared" si="1"/>
        <v>9.8868077288367806E-5</v>
      </c>
      <c r="M63" s="36">
        <f t="shared" si="2"/>
        <v>4.2908394499017115</v>
      </c>
      <c r="N63" s="36">
        <f t="shared" si="3"/>
        <v>35.021917165776131</v>
      </c>
      <c r="O63" s="1">
        <f t="shared" si="4"/>
        <v>308.17191716577611</v>
      </c>
      <c r="P63" s="5">
        <f t="shared" si="5"/>
        <v>16.133037311551952</v>
      </c>
    </row>
    <row r="64" spans="2:16" x14ac:dyDescent="0.2">
      <c r="B64" s="139"/>
      <c r="C64" s="28"/>
      <c r="D64" s="18">
        <v>50</v>
      </c>
      <c r="E64" s="3">
        <v>218.6</v>
      </c>
      <c r="F64" s="1">
        <v>23.1</v>
      </c>
      <c r="G64" s="1">
        <v>493.75</v>
      </c>
      <c r="H64" s="1">
        <v>298.25</v>
      </c>
      <c r="I64" s="1">
        <v>0.62829999999999997</v>
      </c>
      <c r="J64" s="36">
        <v>6</v>
      </c>
      <c r="K64" s="36">
        <f t="shared" si="0"/>
        <v>1.850693454837528</v>
      </c>
      <c r="L64" s="36">
        <f t="shared" si="1"/>
        <v>4.2644037792690879E-5</v>
      </c>
      <c r="M64" s="36">
        <f t="shared" si="2"/>
        <v>1.8507360988753208</v>
      </c>
      <c r="N64" s="36">
        <f t="shared" si="3"/>
        <v>47.608252428067644</v>
      </c>
      <c r="O64" s="1">
        <f t="shared" si="4"/>
        <v>320.75825242806764</v>
      </c>
      <c r="P64" s="5">
        <f t="shared" si="5"/>
        <v>84.85161000332937</v>
      </c>
    </row>
    <row r="65" spans="2:16" x14ac:dyDescent="0.2">
      <c r="B65" s="139"/>
      <c r="C65" s="28"/>
      <c r="D65" s="18">
        <v>51</v>
      </c>
      <c r="E65" s="3">
        <v>133.1</v>
      </c>
      <c r="F65" s="1">
        <v>25.5</v>
      </c>
      <c r="G65" s="1">
        <v>408.25</v>
      </c>
      <c r="H65" s="1">
        <v>300.64999999999998</v>
      </c>
      <c r="I65" s="1">
        <v>0.86</v>
      </c>
      <c r="J65" s="36">
        <v>6</v>
      </c>
      <c r="K65" s="36">
        <f t="shared" si="0"/>
        <v>1.3520822065981613</v>
      </c>
      <c r="L65" s="36">
        <f t="shared" si="1"/>
        <v>3.1154940633892649E-5</v>
      </c>
      <c r="M65" s="36">
        <f t="shared" si="2"/>
        <v>1.3521133615387952</v>
      </c>
      <c r="N65" s="36">
        <f t="shared" si="3"/>
        <v>38.988940978312421</v>
      </c>
      <c r="O65" s="1">
        <f t="shared" si="4"/>
        <v>312.13894097831241</v>
      </c>
      <c r="P65" s="5">
        <f t="shared" si="5"/>
        <v>59.282935448092132</v>
      </c>
    </row>
    <row r="66" spans="2:16" x14ac:dyDescent="0.2">
      <c r="B66" s="139"/>
      <c r="C66" s="28"/>
      <c r="D66" s="18">
        <v>52</v>
      </c>
      <c r="E66" s="3">
        <v>77.8</v>
      </c>
      <c r="F66" s="1">
        <v>23.8</v>
      </c>
      <c r="G66" s="1">
        <v>352.95</v>
      </c>
      <c r="H66" s="1">
        <v>298.95</v>
      </c>
      <c r="I66" s="1">
        <v>0.16</v>
      </c>
      <c r="J66" s="36">
        <v>6</v>
      </c>
      <c r="K66" s="36">
        <f t="shared" si="0"/>
        <v>7.2674418604651168</v>
      </c>
      <c r="L66" s="36">
        <f t="shared" si="1"/>
        <v>1.6745780590717298E-4</v>
      </c>
      <c r="M66" s="36">
        <f t="shared" si="2"/>
        <v>7.267609318271024</v>
      </c>
      <c r="N66" s="36">
        <f t="shared" si="3"/>
        <v>30.569542870156795</v>
      </c>
      <c r="O66" s="1">
        <f t="shared" si="4"/>
        <v>303.71954287015677</v>
      </c>
      <c r="P66" s="5">
        <f t="shared" si="5"/>
        <v>4.5787611553505121</v>
      </c>
    </row>
    <row r="67" spans="2:16" x14ac:dyDescent="0.2">
      <c r="B67" s="139"/>
      <c r="C67" s="28"/>
      <c r="D67" s="18">
        <v>53</v>
      </c>
      <c r="E67" s="3">
        <v>218.6</v>
      </c>
      <c r="F67" s="1">
        <v>23.8</v>
      </c>
      <c r="G67" s="1">
        <v>493.75</v>
      </c>
      <c r="H67" s="1">
        <v>298.95</v>
      </c>
      <c r="I67" s="1">
        <v>3.1399999999999997E-2</v>
      </c>
      <c r="J67" s="36">
        <v>6</v>
      </c>
      <c r="K67" s="36">
        <f t="shared" si="0"/>
        <v>37.031550881350917</v>
      </c>
      <c r="L67" s="36">
        <f t="shared" si="1"/>
        <v>8.5328818296648659E-4</v>
      </c>
      <c r="M67" s="36">
        <f t="shared" si="2"/>
        <v>37.032404169533883</v>
      </c>
      <c r="N67" s="36">
        <f t="shared" si="3"/>
        <v>48.220499094565611</v>
      </c>
      <c r="O67" s="1">
        <f t="shared" si="4"/>
        <v>321.37049909456562</v>
      </c>
      <c r="P67" s="5">
        <f t="shared" si="5"/>
        <v>4.2240220294161643</v>
      </c>
    </row>
    <row r="68" spans="2:16" x14ac:dyDescent="0.2">
      <c r="B68" s="139"/>
      <c r="C68" s="28"/>
      <c r="D68" s="18">
        <v>54</v>
      </c>
      <c r="E68" s="3">
        <v>218.6</v>
      </c>
      <c r="F68" s="1">
        <v>23.8</v>
      </c>
      <c r="G68" s="1">
        <v>493.75</v>
      </c>
      <c r="H68" s="1">
        <v>298.95</v>
      </c>
      <c r="I68" s="1">
        <v>3.1399999999999997E-2</v>
      </c>
      <c r="J68" s="36">
        <v>6</v>
      </c>
      <c r="K68" s="36">
        <f t="shared" si="0"/>
        <v>37.031550881350917</v>
      </c>
      <c r="L68" s="36">
        <f t="shared" si="1"/>
        <v>8.5328818296648659E-4</v>
      </c>
      <c r="M68" s="36">
        <f t="shared" si="2"/>
        <v>37.032404169533883</v>
      </c>
      <c r="N68" s="36">
        <f t="shared" si="3"/>
        <v>48.220499094565611</v>
      </c>
      <c r="O68" s="1">
        <f t="shared" si="4"/>
        <v>321.37049909456562</v>
      </c>
      <c r="P68" s="5">
        <f t="shared" si="5"/>
        <v>4.2240220294161643</v>
      </c>
    </row>
    <row r="69" spans="2:16" ht="16" thickBot="1" x14ac:dyDescent="0.25">
      <c r="B69" s="140"/>
      <c r="C69" s="28"/>
      <c r="D69" s="18">
        <v>55</v>
      </c>
      <c r="E69" s="3">
        <v>81.599999999999994</v>
      </c>
      <c r="F69" s="1">
        <v>25.1</v>
      </c>
      <c r="G69" s="1">
        <v>356.75</v>
      </c>
      <c r="H69" s="1">
        <v>300.25</v>
      </c>
      <c r="I69" s="1">
        <v>0.28699999999999998</v>
      </c>
      <c r="J69" s="36">
        <v>6</v>
      </c>
      <c r="K69" s="36">
        <f t="shared" ref="K69:K116" si="6">$U$2/($U$5*I69)</f>
        <v>4.051535531966616</v>
      </c>
      <c r="L69" s="36">
        <f t="shared" ref="L69:L116" si="7">$U$3/($U$4*I69)</f>
        <v>9.3356268101559865E-5</v>
      </c>
      <c r="M69" s="36">
        <f t="shared" ref="M69:M116" si="8">L69+K69</f>
        <v>4.0516288882347178</v>
      </c>
      <c r="N69" s="36">
        <f t="shared" ref="N69:N116" si="9">(((E69/M69)+(J69*I69*F69))/((J69*I69)+(1/M69)))</f>
        <v>32.182947632664053</v>
      </c>
      <c r="O69" s="1">
        <f t="shared" ref="O69:O116" si="10">N69+273.15</f>
        <v>305.33294763266406</v>
      </c>
      <c r="P69" s="5">
        <f t="shared" ref="P69:P116" si="11">J69*I69*(O69-H69)</f>
        <v>8.7528358234475085</v>
      </c>
    </row>
    <row r="70" spans="2:16" x14ac:dyDescent="0.2">
      <c r="B70" s="135" t="s">
        <v>27</v>
      </c>
      <c r="C70" s="28"/>
      <c r="D70" s="18">
        <v>56</v>
      </c>
      <c r="E70" s="64">
        <v>136.1</v>
      </c>
      <c r="F70" s="65">
        <v>26.5</v>
      </c>
      <c r="G70" s="65">
        <v>411.25</v>
      </c>
      <c r="H70" s="65">
        <v>301.64999999999998</v>
      </c>
      <c r="I70" s="65">
        <v>0.13100000000000001</v>
      </c>
      <c r="J70" s="36">
        <v>6</v>
      </c>
      <c r="K70" s="36">
        <f t="shared" si="6"/>
        <v>8.8762648677436538</v>
      </c>
      <c r="L70" s="36">
        <f t="shared" si="7"/>
        <v>2.0452861790189067E-4</v>
      </c>
      <c r="M70" s="36">
        <f t="shared" si="8"/>
        <v>8.8764693963615553</v>
      </c>
      <c r="N70" s="36">
        <f t="shared" si="9"/>
        <v>40.23966478831823</v>
      </c>
      <c r="O70" s="65">
        <f t="shared" si="10"/>
        <v>313.38966478831821</v>
      </c>
      <c r="P70" s="5">
        <f>J70*I70*(O70-H70)</f>
        <v>9.2273765236181351</v>
      </c>
    </row>
    <row r="71" spans="2:16" x14ac:dyDescent="0.2">
      <c r="B71" s="136"/>
      <c r="C71" s="28"/>
      <c r="D71" s="18">
        <v>57</v>
      </c>
      <c r="E71" s="64">
        <v>75.3</v>
      </c>
      <c r="F71" s="65">
        <v>26.4</v>
      </c>
      <c r="G71" s="65">
        <v>350.45</v>
      </c>
      <c r="H71" s="65">
        <v>301.54999999999995</v>
      </c>
      <c r="I71" s="65">
        <v>0.12759999999999999</v>
      </c>
      <c r="J71" s="36">
        <v>6</v>
      </c>
      <c r="K71" s="36">
        <f t="shared" si="6"/>
        <v>9.1127797623387057</v>
      </c>
      <c r="L71" s="36">
        <f t="shared" si="7"/>
        <v>2.0997844000899434E-4</v>
      </c>
      <c r="M71" s="36">
        <f t="shared" si="8"/>
        <v>9.1129897407787155</v>
      </c>
      <c r="N71" s="36">
        <f t="shared" si="9"/>
        <v>32.530197154641982</v>
      </c>
      <c r="O71" s="65">
        <f t="shared" si="10"/>
        <v>305.68019715464197</v>
      </c>
      <c r="P71" s="5">
        <f t="shared" si="11"/>
        <v>3.1620789415939297</v>
      </c>
    </row>
    <row r="72" spans="2:16" x14ac:dyDescent="0.2">
      <c r="B72" s="136"/>
      <c r="C72" s="28"/>
      <c r="D72" s="18">
        <v>58</v>
      </c>
      <c r="E72" s="64">
        <v>145.69999999999999</v>
      </c>
      <c r="F72" s="65">
        <v>26.6</v>
      </c>
      <c r="G72" s="65">
        <v>420.84999999999997</v>
      </c>
      <c r="H72" s="65">
        <v>301.75</v>
      </c>
      <c r="I72" s="65">
        <v>0.12759999999999999</v>
      </c>
      <c r="J72" s="36">
        <v>6</v>
      </c>
      <c r="K72" s="36">
        <f t="shared" si="6"/>
        <v>9.1127797623387057</v>
      </c>
      <c r="L72" s="36">
        <f t="shared" si="7"/>
        <v>2.0997844000899434E-4</v>
      </c>
      <c r="M72" s="36">
        <f t="shared" si="8"/>
        <v>9.1129897407787155</v>
      </c>
      <c r="N72" s="36">
        <f t="shared" si="9"/>
        <v>41.530602885845816</v>
      </c>
      <c r="O72" s="65">
        <f t="shared" si="10"/>
        <v>314.68060288584581</v>
      </c>
      <c r="P72" s="5">
        <f t="shared" si="11"/>
        <v>9.8996695694035548</v>
      </c>
    </row>
    <row r="73" spans="2:16" x14ac:dyDescent="0.2">
      <c r="B73" s="136"/>
      <c r="C73" s="28"/>
      <c r="D73" s="18">
        <v>59</v>
      </c>
      <c r="E73" s="64">
        <v>68.7</v>
      </c>
      <c r="F73" s="65">
        <v>26.5</v>
      </c>
      <c r="G73" s="65">
        <v>343.84999999999997</v>
      </c>
      <c r="H73" s="65">
        <v>301.64999999999998</v>
      </c>
      <c r="I73" s="65">
        <v>0.12759999999999999</v>
      </c>
      <c r="J73" s="36">
        <v>6</v>
      </c>
      <c r="K73" s="36">
        <f t="shared" si="6"/>
        <v>9.1127797623387057</v>
      </c>
      <c r="L73" s="36">
        <f t="shared" si="7"/>
        <v>2.0997844000899434E-4</v>
      </c>
      <c r="M73" s="36">
        <f t="shared" si="8"/>
        <v>9.1129897407787155</v>
      </c>
      <c r="N73" s="36">
        <f t="shared" si="9"/>
        <v>31.790272391122532</v>
      </c>
      <c r="O73" s="65">
        <f t="shared" si="10"/>
        <v>304.94027239112251</v>
      </c>
      <c r="P73" s="5">
        <f t="shared" si="11"/>
        <v>2.5190325426434073</v>
      </c>
    </row>
    <row r="74" spans="2:16" x14ac:dyDescent="0.2">
      <c r="B74" s="136"/>
      <c r="C74" s="28"/>
      <c r="D74" s="18">
        <v>60</v>
      </c>
      <c r="E74" s="64">
        <v>92.2</v>
      </c>
      <c r="F74" s="65">
        <v>26.5</v>
      </c>
      <c r="G74" s="65">
        <v>367.34999999999997</v>
      </c>
      <c r="H74" s="65">
        <v>301.64999999999998</v>
      </c>
      <c r="I74" s="65">
        <v>3.1399999999999997E-2</v>
      </c>
      <c r="J74" s="36">
        <v>6</v>
      </c>
      <c r="K74" s="36">
        <f t="shared" si="6"/>
        <v>37.031550881350917</v>
      </c>
      <c r="L74" s="36">
        <f t="shared" si="7"/>
        <v>8.5328818296648659E-4</v>
      </c>
      <c r="M74" s="36">
        <f t="shared" si="8"/>
        <v>37.032404169533883</v>
      </c>
      <c r="N74" s="36">
        <f t="shared" si="9"/>
        <v>34.736277158690761</v>
      </c>
      <c r="O74" s="65">
        <f t="shared" si="10"/>
        <v>307.88627715869075</v>
      </c>
      <c r="P74" s="5">
        <f t="shared" si="11"/>
        <v>1.1749146166973408</v>
      </c>
    </row>
    <row r="75" spans="2:16" x14ac:dyDescent="0.2">
      <c r="B75" s="136"/>
      <c r="C75" s="28"/>
      <c r="D75" s="18">
        <v>61</v>
      </c>
      <c r="E75" s="64">
        <v>58.6</v>
      </c>
      <c r="F75" s="65">
        <v>26.8</v>
      </c>
      <c r="G75" s="65">
        <v>333.75</v>
      </c>
      <c r="H75" s="65">
        <v>301.95</v>
      </c>
      <c r="I75" s="65">
        <v>0.04</v>
      </c>
      <c r="J75" s="36">
        <v>6</v>
      </c>
      <c r="K75" s="36">
        <f t="shared" si="6"/>
        <v>29.069767441860467</v>
      </c>
      <c r="L75" s="36">
        <f t="shared" si="7"/>
        <v>6.6983122362869192E-4</v>
      </c>
      <c r="M75" s="36">
        <f t="shared" si="8"/>
        <v>29.070437273084096</v>
      </c>
      <c r="N75" s="36">
        <f t="shared" si="9"/>
        <v>30.786508579092331</v>
      </c>
      <c r="O75" s="65">
        <f t="shared" si="10"/>
        <v>303.93650857909233</v>
      </c>
      <c r="P75" s="5">
        <f t="shared" si="11"/>
        <v>0.47676205898216267</v>
      </c>
    </row>
    <row r="76" spans="2:16" x14ac:dyDescent="0.2">
      <c r="B76" s="136"/>
      <c r="C76" s="28"/>
      <c r="D76" s="18">
        <v>62</v>
      </c>
      <c r="E76" s="64">
        <v>81.900000000000006</v>
      </c>
      <c r="F76" s="65">
        <v>26.8</v>
      </c>
      <c r="G76" s="65">
        <v>357.04999999999995</v>
      </c>
      <c r="H76" s="65">
        <v>301.95</v>
      </c>
      <c r="I76" s="65">
        <v>0.5</v>
      </c>
      <c r="J76" s="36">
        <v>6</v>
      </c>
      <c r="K76" s="36">
        <f t="shared" si="6"/>
        <v>2.3255813953488373</v>
      </c>
      <c r="L76" s="36">
        <f t="shared" si="7"/>
        <v>5.3586497890295356E-5</v>
      </c>
      <c r="M76" s="36">
        <f t="shared" si="8"/>
        <v>2.3256349818467275</v>
      </c>
      <c r="N76" s="36">
        <f t="shared" si="9"/>
        <v>33.707440965659984</v>
      </c>
      <c r="O76" s="65">
        <f t="shared" si="10"/>
        <v>306.85744096565998</v>
      </c>
      <c r="P76" s="5">
        <f t="shared" si="11"/>
        <v>14.722322896979961</v>
      </c>
    </row>
    <row r="77" spans="2:16" x14ac:dyDescent="0.2">
      <c r="B77" s="136"/>
      <c r="C77" s="28"/>
      <c r="D77" s="18">
        <v>63</v>
      </c>
      <c r="E77" s="64">
        <v>120.1</v>
      </c>
      <c r="F77" s="65">
        <v>26.7</v>
      </c>
      <c r="G77" s="65">
        <v>395.25</v>
      </c>
      <c r="H77" s="65">
        <v>301.84999999999997</v>
      </c>
      <c r="I77" s="65">
        <v>0.12</v>
      </c>
      <c r="J77" s="36">
        <v>6</v>
      </c>
      <c r="K77" s="36">
        <f t="shared" si="6"/>
        <v>9.6899224806201563</v>
      </c>
      <c r="L77" s="36">
        <f t="shared" si="7"/>
        <v>2.2327707454289732E-4</v>
      </c>
      <c r="M77" s="36">
        <f t="shared" si="8"/>
        <v>9.6901457576946992</v>
      </c>
      <c r="N77" s="36">
        <f t="shared" si="9"/>
        <v>38.408801927271192</v>
      </c>
      <c r="O77" s="65">
        <f t="shared" si="10"/>
        <v>311.55880192727119</v>
      </c>
      <c r="P77" s="5">
        <f t="shared" si="11"/>
        <v>6.9903373876352815</v>
      </c>
    </row>
    <row r="78" spans="2:16" x14ac:dyDescent="0.2">
      <c r="B78" s="136"/>
      <c r="C78" s="28"/>
      <c r="D78" s="18">
        <v>64</v>
      </c>
      <c r="E78" s="64">
        <v>274</v>
      </c>
      <c r="F78" s="65">
        <v>26.7</v>
      </c>
      <c r="G78" s="65">
        <v>549.15</v>
      </c>
      <c r="H78" s="65">
        <v>301.84999999999997</v>
      </c>
      <c r="I78" s="65">
        <v>0.14000000000000001</v>
      </c>
      <c r="J78" s="36">
        <v>6</v>
      </c>
      <c r="K78" s="36">
        <f t="shared" si="6"/>
        <v>8.3056478405315612</v>
      </c>
      <c r="L78" s="36">
        <f t="shared" si="7"/>
        <v>1.913803496081977E-4</v>
      </c>
      <c r="M78" s="36">
        <f t="shared" si="8"/>
        <v>8.30583922088117</v>
      </c>
      <c r="N78" s="36">
        <f t="shared" si="9"/>
        <v>57.701999107218043</v>
      </c>
      <c r="O78" s="65">
        <f t="shared" si="10"/>
        <v>330.85199910721803</v>
      </c>
      <c r="P78" s="5">
        <f t="shared" si="11"/>
        <v>24.36167925006318</v>
      </c>
    </row>
    <row r="79" spans="2:16" x14ac:dyDescent="0.2">
      <c r="B79" s="136"/>
      <c r="C79" s="28"/>
      <c r="D79" s="18">
        <v>65</v>
      </c>
      <c r="E79" s="64">
        <v>84.9</v>
      </c>
      <c r="F79" s="65">
        <v>26.7</v>
      </c>
      <c r="G79" s="65">
        <v>360.04999999999995</v>
      </c>
      <c r="H79" s="65">
        <v>301.84999999999997</v>
      </c>
      <c r="I79" s="65">
        <v>6.8000000000000005E-2</v>
      </c>
      <c r="J79" s="36">
        <v>6</v>
      </c>
      <c r="K79" s="36">
        <f t="shared" si="6"/>
        <v>17.099863201094394</v>
      </c>
      <c r="L79" s="36">
        <f t="shared" si="7"/>
        <v>3.9401836684040706E-4</v>
      </c>
      <c r="M79" s="36">
        <f t="shared" si="8"/>
        <v>17.100257219461234</v>
      </c>
      <c r="N79" s="36">
        <f t="shared" si="9"/>
        <v>33.996062871168995</v>
      </c>
      <c r="O79" s="65">
        <f t="shared" si="10"/>
        <v>307.14606287116897</v>
      </c>
      <c r="P79" s="5">
        <f t="shared" si="11"/>
        <v>2.1607936514369519</v>
      </c>
    </row>
    <row r="80" spans="2:16" x14ac:dyDescent="0.2">
      <c r="B80" s="136"/>
      <c r="C80" s="28"/>
      <c r="D80" s="18">
        <v>66</v>
      </c>
      <c r="E80" s="64">
        <v>130</v>
      </c>
      <c r="F80" s="65">
        <v>26.6</v>
      </c>
      <c r="G80" s="65">
        <v>405.15</v>
      </c>
      <c r="H80" s="65">
        <v>301.75</v>
      </c>
      <c r="I80" s="65">
        <v>2</v>
      </c>
      <c r="J80" s="36">
        <v>6</v>
      </c>
      <c r="K80" s="36">
        <f t="shared" si="6"/>
        <v>0.58139534883720934</v>
      </c>
      <c r="L80" s="36">
        <f t="shared" si="7"/>
        <v>1.3396624472573839E-5</v>
      </c>
      <c r="M80" s="36">
        <f t="shared" si="8"/>
        <v>0.58140874546168186</v>
      </c>
      <c r="N80" s="36">
        <f t="shared" si="9"/>
        <v>39.562420977300235</v>
      </c>
      <c r="O80" s="65">
        <f t="shared" si="10"/>
        <v>312.71242097730021</v>
      </c>
      <c r="P80" s="5">
        <f t="shared" si="11"/>
        <v>131.54905172760255</v>
      </c>
    </row>
    <row r="81" spans="2:16" x14ac:dyDescent="0.2">
      <c r="B81" s="136"/>
      <c r="C81" s="28"/>
      <c r="D81" s="18">
        <v>67</v>
      </c>
      <c r="E81" s="64">
        <v>123</v>
      </c>
      <c r="F81" s="65">
        <v>26.6</v>
      </c>
      <c r="G81" s="65">
        <v>398.15</v>
      </c>
      <c r="H81" s="65">
        <v>301.75</v>
      </c>
      <c r="I81" s="65">
        <v>7.0000000000000007E-2</v>
      </c>
      <c r="J81" s="36">
        <v>6</v>
      </c>
      <c r="K81" s="36">
        <f t="shared" si="6"/>
        <v>16.611295681063122</v>
      </c>
      <c r="L81" s="36">
        <f t="shared" si="7"/>
        <v>3.827606992163954E-4</v>
      </c>
      <c r="M81" s="36">
        <f t="shared" si="8"/>
        <v>16.61167844176234</v>
      </c>
      <c r="N81" s="36">
        <f t="shared" si="9"/>
        <v>38.684887642279911</v>
      </c>
      <c r="O81" s="65">
        <f t="shared" si="10"/>
        <v>311.83488764227991</v>
      </c>
      <c r="P81" s="5">
        <f t="shared" si="11"/>
        <v>4.2356528097575623</v>
      </c>
    </row>
    <row r="82" spans="2:16" x14ac:dyDescent="0.2">
      <c r="B82" s="136"/>
      <c r="C82" s="28"/>
      <c r="D82" s="18">
        <v>68</v>
      </c>
      <c r="E82" s="64">
        <v>111.9</v>
      </c>
      <c r="F82" s="65">
        <v>26.6</v>
      </c>
      <c r="G82" s="65">
        <v>387.04999999999995</v>
      </c>
      <c r="H82" s="65">
        <v>301.75</v>
      </c>
      <c r="I82" s="65">
        <v>2</v>
      </c>
      <c r="J82" s="36">
        <v>6</v>
      </c>
      <c r="K82" s="36">
        <f t="shared" si="6"/>
        <v>0.58139534883720934</v>
      </c>
      <c r="L82" s="36">
        <f t="shared" si="7"/>
        <v>1.3396624472573839E-5</v>
      </c>
      <c r="M82" s="36">
        <f t="shared" si="8"/>
        <v>0.58140874546168186</v>
      </c>
      <c r="N82" s="36">
        <f t="shared" si="9"/>
        <v>37.293370496747677</v>
      </c>
      <c r="O82" s="65">
        <f t="shared" si="10"/>
        <v>310.44337049674766</v>
      </c>
      <c r="P82" s="5">
        <f t="shared" si="11"/>
        <v>104.32044596097194</v>
      </c>
    </row>
    <row r="83" spans="2:16" x14ac:dyDescent="0.2">
      <c r="B83" s="136"/>
      <c r="C83" s="28"/>
      <c r="D83" s="18">
        <v>69</v>
      </c>
      <c r="E83" s="64">
        <v>142.9</v>
      </c>
      <c r="F83" s="65">
        <v>26.6</v>
      </c>
      <c r="G83" s="65">
        <v>418.04999999999995</v>
      </c>
      <c r="H83" s="65">
        <v>301.75</v>
      </c>
      <c r="I83" s="65">
        <v>7.0000000000000007E-2</v>
      </c>
      <c r="J83" s="36">
        <v>6</v>
      </c>
      <c r="K83" s="36">
        <f t="shared" si="6"/>
        <v>16.611295681063122</v>
      </c>
      <c r="L83" s="36">
        <f t="shared" si="7"/>
        <v>3.827606992163954E-4</v>
      </c>
      <c r="M83" s="36">
        <f t="shared" si="8"/>
        <v>16.61167844176234</v>
      </c>
      <c r="N83" s="36">
        <f t="shared" si="9"/>
        <v>41.179589551837687</v>
      </c>
      <c r="O83" s="65">
        <f t="shared" si="10"/>
        <v>314.32958955183767</v>
      </c>
      <c r="P83" s="5">
        <f t="shared" si="11"/>
        <v>5.2834276117718222</v>
      </c>
    </row>
    <row r="84" spans="2:16" x14ac:dyDescent="0.2">
      <c r="B84" s="136"/>
      <c r="C84" s="28"/>
      <c r="D84" s="18">
        <v>70</v>
      </c>
      <c r="E84" s="64">
        <v>85.3</v>
      </c>
      <c r="F84" s="65">
        <v>24.5</v>
      </c>
      <c r="G84" s="65">
        <v>360.45</v>
      </c>
      <c r="H84" s="65">
        <v>299.64999999999998</v>
      </c>
      <c r="I84" s="65">
        <v>2.5</v>
      </c>
      <c r="J84" s="36">
        <v>6</v>
      </c>
      <c r="K84" s="36">
        <f t="shared" si="6"/>
        <v>0.46511627906976755</v>
      </c>
      <c r="L84" s="36">
        <f t="shared" si="7"/>
        <v>1.0717299578059072E-5</v>
      </c>
      <c r="M84" s="36">
        <f t="shared" si="8"/>
        <v>0.46512699636934562</v>
      </c>
      <c r="N84" s="36">
        <f t="shared" si="9"/>
        <v>32.122003824176538</v>
      </c>
      <c r="O84" s="65">
        <f t="shared" si="10"/>
        <v>305.27200382417652</v>
      </c>
      <c r="P84" s="5">
        <f t="shared" si="11"/>
        <v>84.330057362648176</v>
      </c>
    </row>
    <row r="85" spans="2:16" x14ac:dyDescent="0.2">
      <c r="B85" s="136"/>
      <c r="C85" s="28"/>
      <c r="D85" s="18">
        <v>71</v>
      </c>
      <c r="E85" s="64">
        <v>89.8</v>
      </c>
      <c r="F85" s="65">
        <v>26.5</v>
      </c>
      <c r="G85" s="65">
        <v>364.95</v>
      </c>
      <c r="H85" s="65">
        <v>301.64999999999998</v>
      </c>
      <c r="I85" s="65">
        <v>0.1</v>
      </c>
      <c r="J85" s="36">
        <v>6</v>
      </c>
      <c r="K85" s="36">
        <f t="shared" si="6"/>
        <v>11.627906976744187</v>
      </c>
      <c r="L85" s="36">
        <f t="shared" si="7"/>
        <v>2.6793248945147677E-4</v>
      </c>
      <c r="M85" s="36">
        <f t="shared" si="8"/>
        <v>11.628174909233639</v>
      </c>
      <c r="N85" s="36">
        <f t="shared" si="9"/>
        <v>34.435408586683799</v>
      </c>
      <c r="O85" s="65">
        <f t="shared" si="10"/>
        <v>307.5854085866838</v>
      </c>
      <c r="P85" s="5">
        <f t="shared" si="11"/>
        <v>3.5612451520102928</v>
      </c>
    </row>
    <row r="86" spans="2:16" x14ac:dyDescent="0.2">
      <c r="B86" s="136"/>
      <c r="C86" s="28"/>
      <c r="D86" s="18">
        <v>72</v>
      </c>
      <c r="E86" s="64">
        <v>84.6</v>
      </c>
      <c r="F86" s="65">
        <v>26.5</v>
      </c>
      <c r="G86" s="65">
        <v>359.75</v>
      </c>
      <c r="H86" s="65">
        <v>301.64999999999998</v>
      </c>
      <c r="I86" s="65">
        <v>9.8000000000000004E-2</v>
      </c>
      <c r="J86" s="36">
        <v>6</v>
      </c>
      <c r="K86" s="36">
        <f t="shared" si="6"/>
        <v>11.865211200759374</v>
      </c>
      <c r="L86" s="36">
        <f t="shared" si="7"/>
        <v>2.734004994402824E-4</v>
      </c>
      <c r="M86" s="36">
        <f t="shared" si="8"/>
        <v>11.865484601258814</v>
      </c>
      <c r="N86" s="36">
        <f t="shared" si="9"/>
        <v>33.783526680668693</v>
      </c>
      <c r="O86" s="65">
        <f t="shared" si="10"/>
        <v>306.93352668066865</v>
      </c>
      <c r="P86" s="5">
        <f t="shared" si="11"/>
        <v>3.1067136882331794</v>
      </c>
    </row>
    <row r="87" spans="2:16" x14ac:dyDescent="0.2">
      <c r="B87" s="136"/>
      <c r="C87" s="28"/>
      <c r="D87" s="18">
        <v>73</v>
      </c>
      <c r="E87" s="64">
        <v>99.9</v>
      </c>
      <c r="F87" s="65">
        <v>26.5</v>
      </c>
      <c r="G87" s="65">
        <v>375.04999999999995</v>
      </c>
      <c r="H87" s="65">
        <v>301.64999999999998</v>
      </c>
      <c r="I87" s="65">
        <v>0.13</v>
      </c>
      <c r="J87" s="36">
        <v>6</v>
      </c>
      <c r="K87" s="36">
        <f t="shared" si="6"/>
        <v>8.9445438282647594</v>
      </c>
      <c r="L87" s="36">
        <f t="shared" si="7"/>
        <v>2.0610191496267443E-4</v>
      </c>
      <c r="M87" s="36">
        <f t="shared" si="8"/>
        <v>8.9447499301797215</v>
      </c>
      <c r="N87" s="36">
        <f t="shared" si="9"/>
        <v>35.701563827213121</v>
      </c>
      <c r="O87" s="65">
        <f t="shared" si="10"/>
        <v>308.85156382721311</v>
      </c>
      <c r="P87" s="5">
        <f t="shared" si="11"/>
        <v>5.6172197852262462</v>
      </c>
    </row>
    <row r="88" spans="2:16" x14ac:dyDescent="0.2">
      <c r="B88" s="136"/>
      <c r="C88" s="28"/>
      <c r="D88" s="18">
        <v>74</v>
      </c>
      <c r="E88" s="64">
        <v>75.8</v>
      </c>
      <c r="F88" s="65">
        <v>26.5</v>
      </c>
      <c r="G88" s="65">
        <v>350.95</v>
      </c>
      <c r="H88" s="65">
        <v>301.64999999999998</v>
      </c>
      <c r="I88" s="65">
        <v>0.35</v>
      </c>
      <c r="J88" s="36">
        <v>6</v>
      </c>
      <c r="K88" s="36">
        <f t="shared" si="6"/>
        <v>3.3222591362126255</v>
      </c>
      <c r="L88" s="36">
        <f t="shared" si="7"/>
        <v>7.6552139843279096E-5</v>
      </c>
      <c r="M88" s="36">
        <f t="shared" si="8"/>
        <v>3.3223356883524686</v>
      </c>
      <c r="N88" s="36">
        <f t="shared" si="9"/>
        <v>32.680341916643144</v>
      </c>
      <c r="O88" s="65">
        <f t="shared" si="10"/>
        <v>305.83034191664314</v>
      </c>
      <c r="P88" s="5">
        <f t="shared" si="11"/>
        <v>8.7787180249506314</v>
      </c>
    </row>
    <row r="89" spans="2:16" ht="16" thickBot="1" x14ac:dyDescent="0.25">
      <c r="B89" s="137"/>
      <c r="C89" s="28"/>
      <c r="D89" s="18">
        <v>75</v>
      </c>
      <c r="E89" s="64">
        <v>95.2</v>
      </c>
      <c r="F89" s="65">
        <v>26.5</v>
      </c>
      <c r="G89" s="65">
        <v>370.34999999999997</v>
      </c>
      <c r="H89" s="65">
        <v>301.64999999999998</v>
      </c>
      <c r="I89" s="65">
        <v>0.6</v>
      </c>
      <c r="J89" s="36">
        <v>6</v>
      </c>
      <c r="K89" s="36">
        <f t="shared" si="6"/>
        <v>1.9379844961240313</v>
      </c>
      <c r="L89" s="36">
        <f t="shared" si="7"/>
        <v>4.465541490857947E-5</v>
      </c>
      <c r="M89" s="36">
        <f t="shared" si="8"/>
        <v>1.9380291515389398</v>
      </c>
      <c r="N89" s="36">
        <f t="shared" si="9"/>
        <v>35.112362873699482</v>
      </c>
      <c r="O89" s="65">
        <f t="shared" si="10"/>
        <v>308.26236287369943</v>
      </c>
      <c r="P89" s="5">
        <f t="shared" si="11"/>
        <v>23.804506345318028</v>
      </c>
    </row>
    <row r="90" spans="2:16" x14ac:dyDescent="0.2">
      <c r="B90" s="135" t="s">
        <v>28</v>
      </c>
      <c r="C90" s="28"/>
      <c r="D90" s="18">
        <v>76</v>
      </c>
      <c r="E90" s="3">
        <v>137.30000000000001</v>
      </c>
      <c r="F90" s="1">
        <v>26.5</v>
      </c>
      <c r="G90" s="1">
        <v>412.45</v>
      </c>
      <c r="H90" s="1">
        <v>301.64999999999998</v>
      </c>
      <c r="I90" s="1">
        <v>0.2</v>
      </c>
      <c r="J90" s="36">
        <v>6</v>
      </c>
      <c r="K90" s="36">
        <f t="shared" si="6"/>
        <v>5.8139534883720936</v>
      </c>
      <c r="L90" s="36">
        <f t="shared" si="7"/>
        <v>1.3396624472573838E-4</v>
      </c>
      <c r="M90" s="36">
        <f t="shared" si="8"/>
        <v>5.8140874546168195</v>
      </c>
      <c r="N90" s="36">
        <f t="shared" si="9"/>
        <v>40.390099074321711</v>
      </c>
      <c r="O90" s="1">
        <f t="shared" si="10"/>
        <v>313.54009907432169</v>
      </c>
      <c r="P90" s="5">
        <f t="shared" si="11"/>
        <v>14.268118889186056</v>
      </c>
    </row>
    <row r="91" spans="2:16" x14ac:dyDescent="0.2">
      <c r="B91" s="136"/>
      <c r="C91" s="28"/>
      <c r="D91" s="18">
        <v>77</v>
      </c>
      <c r="E91" s="3">
        <v>284</v>
      </c>
      <c r="F91" s="1">
        <v>26.5</v>
      </c>
      <c r="G91" s="1">
        <v>559.15</v>
      </c>
      <c r="H91" s="1">
        <v>301.64999999999998</v>
      </c>
      <c r="I91" s="1">
        <v>0.05</v>
      </c>
      <c r="J91" s="36">
        <v>6</v>
      </c>
      <c r="K91" s="36">
        <f t="shared" si="6"/>
        <v>23.255813953488374</v>
      </c>
      <c r="L91" s="36">
        <f t="shared" si="7"/>
        <v>5.3586497890295353E-4</v>
      </c>
      <c r="M91" s="36">
        <f t="shared" si="8"/>
        <v>23.256349818467278</v>
      </c>
      <c r="N91" s="36">
        <f t="shared" si="9"/>
        <v>58.780690538247661</v>
      </c>
      <c r="O91" s="1">
        <f t="shared" si="10"/>
        <v>331.93069053824763</v>
      </c>
      <c r="P91" s="5">
        <f t="shared" si="11"/>
        <v>9.0842071614742981</v>
      </c>
    </row>
    <row r="92" spans="2:16" x14ac:dyDescent="0.2">
      <c r="B92" s="136"/>
      <c r="C92" s="28"/>
      <c r="D92" s="18">
        <v>78</v>
      </c>
      <c r="E92" s="3">
        <v>109.4</v>
      </c>
      <c r="F92" s="1">
        <v>26.5</v>
      </c>
      <c r="G92" s="1">
        <v>384.54999999999995</v>
      </c>
      <c r="H92" s="1">
        <v>301.64999999999998</v>
      </c>
      <c r="I92" s="1">
        <v>0.05</v>
      </c>
      <c r="J92" s="36">
        <v>6</v>
      </c>
      <c r="K92" s="36">
        <f t="shared" si="6"/>
        <v>23.255813953488374</v>
      </c>
      <c r="L92" s="36">
        <f t="shared" si="7"/>
        <v>5.3586497890295353E-4</v>
      </c>
      <c r="M92" s="36">
        <f t="shared" si="8"/>
        <v>23.256349818467278</v>
      </c>
      <c r="N92" s="36">
        <f t="shared" si="9"/>
        <v>36.892501924740706</v>
      </c>
      <c r="O92" s="1">
        <f t="shared" si="10"/>
        <v>310.04250192474069</v>
      </c>
      <c r="P92" s="5">
        <f t="shared" si="11"/>
        <v>2.5177505774222144</v>
      </c>
    </row>
    <row r="93" spans="2:16" x14ac:dyDescent="0.2">
      <c r="B93" s="136"/>
      <c r="C93" s="28"/>
      <c r="D93" s="18">
        <v>79</v>
      </c>
      <c r="E93" s="3">
        <v>117.8</v>
      </c>
      <c r="F93" s="1">
        <v>26.5</v>
      </c>
      <c r="G93" s="1">
        <v>392.95</v>
      </c>
      <c r="H93" s="1">
        <v>301.64999999999998</v>
      </c>
      <c r="I93" s="1">
        <v>0.05</v>
      </c>
      <c r="J93" s="36">
        <v>6</v>
      </c>
      <c r="K93" s="36">
        <f t="shared" si="6"/>
        <v>23.255813953488374</v>
      </c>
      <c r="L93" s="36">
        <f t="shared" si="7"/>
        <v>5.3586497890295353E-4</v>
      </c>
      <c r="M93" s="36">
        <f t="shared" si="8"/>
        <v>23.256349818467278</v>
      </c>
      <c r="N93" s="36">
        <f t="shared" si="9"/>
        <v>37.945541926765095</v>
      </c>
      <c r="O93" s="1">
        <f t="shared" si="10"/>
        <v>311.09554192676507</v>
      </c>
      <c r="P93" s="5">
        <f t="shared" si="11"/>
        <v>2.8336625780295268</v>
      </c>
    </row>
    <row r="94" spans="2:16" x14ac:dyDescent="0.2">
      <c r="B94" s="136"/>
      <c r="C94" s="28"/>
      <c r="D94" s="18">
        <v>80</v>
      </c>
      <c r="E94" s="3">
        <v>284</v>
      </c>
      <c r="F94" s="1">
        <v>26.5</v>
      </c>
      <c r="G94" s="1">
        <v>559.15</v>
      </c>
      <c r="H94" s="1">
        <v>301.64999999999998</v>
      </c>
      <c r="I94" s="1">
        <v>0.5</v>
      </c>
      <c r="J94" s="36">
        <v>6</v>
      </c>
      <c r="K94" s="36">
        <f t="shared" si="6"/>
        <v>2.3255813953488373</v>
      </c>
      <c r="L94" s="36">
        <f t="shared" si="7"/>
        <v>5.3586497890295356E-5</v>
      </c>
      <c r="M94" s="36">
        <f t="shared" si="8"/>
        <v>2.3256349818467275</v>
      </c>
      <c r="N94" s="36">
        <f t="shared" si="9"/>
        <v>58.780690538247669</v>
      </c>
      <c r="O94" s="1">
        <f t="shared" si="10"/>
        <v>331.93069053824763</v>
      </c>
      <c r="P94" s="5">
        <f t="shared" si="11"/>
        <v>90.842071614742963</v>
      </c>
    </row>
    <row r="95" spans="2:16" x14ac:dyDescent="0.2">
      <c r="B95" s="136"/>
      <c r="C95" s="28"/>
      <c r="D95" s="18">
        <v>81</v>
      </c>
      <c r="E95" s="3">
        <v>106.5</v>
      </c>
      <c r="F95" s="1">
        <v>26.8</v>
      </c>
      <c r="G95" s="1">
        <v>381.65</v>
      </c>
      <c r="H95" s="1">
        <v>301.95</v>
      </c>
      <c r="I95" s="1">
        <v>0.25</v>
      </c>
      <c r="J95" s="36">
        <v>6</v>
      </c>
      <c r="K95" s="36">
        <f t="shared" si="6"/>
        <v>4.6511627906976747</v>
      </c>
      <c r="L95" s="36">
        <f t="shared" si="7"/>
        <v>1.0717299578059071E-4</v>
      </c>
      <c r="M95" s="36">
        <f t="shared" si="8"/>
        <v>4.6512699636934549</v>
      </c>
      <c r="N95" s="36">
        <f t="shared" si="9"/>
        <v>36.791343828731414</v>
      </c>
      <c r="O95" s="1">
        <f t="shared" si="10"/>
        <v>309.94134382873142</v>
      </c>
      <c r="P95" s="5">
        <f t="shared" si="11"/>
        <v>11.987015743097146</v>
      </c>
    </row>
    <row r="96" spans="2:16" x14ac:dyDescent="0.2">
      <c r="B96" s="136"/>
      <c r="C96" s="28"/>
      <c r="D96" s="18">
        <v>82</v>
      </c>
      <c r="E96" s="3">
        <v>284</v>
      </c>
      <c r="F96" s="1">
        <v>26.8</v>
      </c>
      <c r="G96" s="1">
        <v>559.15</v>
      </c>
      <c r="H96" s="1">
        <v>301.95</v>
      </c>
      <c r="I96" s="1">
        <v>0.08</v>
      </c>
      <c r="J96" s="36">
        <v>6</v>
      </c>
      <c r="K96" s="36">
        <f t="shared" si="6"/>
        <v>14.534883720930234</v>
      </c>
      <c r="L96" s="36">
        <f t="shared" si="7"/>
        <v>3.3491561181434596E-4</v>
      </c>
      <c r="M96" s="36">
        <f t="shared" si="8"/>
        <v>14.535218636542048</v>
      </c>
      <c r="N96" s="36">
        <f t="shared" si="9"/>
        <v>59.043081966746797</v>
      </c>
      <c r="O96" s="1">
        <f t="shared" si="10"/>
        <v>332.19308196674677</v>
      </c>
      <c r="P96" s="5">
        <f t="shared" si="11"/>
        <v>14.516679344038456</v>
      </c>
    </row>
    <row r="97" spans="2:16" x14ac:dyDescent="0.2">
      <c r="B97" s="136"/>
      <c r="C97" s="28"/>
      <c r="D97" s="18">
        <v>83</v>
      </c>
      <c r="E97" s="3">
        <v>284</v>
      </c>
      <c r="F97" s="1">
        <v>26.7</v>
      </c>
      <c r="G97" s="1">
        <v>559.15</v>
      </c>
      <c r="H97" s="1">
        <v>301.84999999999997</v>
      </c>
      <c r="I97" s="1">
        <v>0.1963</v>
      </c>
      <c r="J97" s="36">
        <v>6</v>
      </c>
      <c r="K97" s="36">
        <f t="shared" si="6"/>
        <v>5.923538959115735</v>
      </c>
      <c r="L97" s="36">
        <f t="shared" si="7"/>
        <v>1.3649133441236719E-4</v>
      </c>
      <c r="M97" s="36">
        <f t="shared" si="8"/>
        <v>5.9236754504501477</v>
      </c>
      <c r="N97" s="36">
        <f t="shared" si="9"/>
        <v>58.955618157247081</v>
      </c>
      <c r="O97" s="1">
        <f t="shared" si="10"/>
        <v>332.10561815724708</v>
      </c>
      <c r="P97" s="5">
        <f t="shared" si="11"/>
        <v>35.635067065605647</v>
      </c>
    </row>
    <row r="98" spans="2:16" x14ac:dyDescent="0.2">
      <c r="B98" s="136"/>
      <c r="C98" s="28"/>
      <c r="D98" s="18">
        <v>84</v>
      </c>
      <c r="E98" s="3">
        <v>284</v>
      </c>
      <c r="F98" s="1">
        <v>28.1</v>
      </c>
      <c r="G98" s="1">
        <v>559.15</v>
      </c>
      <c r="H98" s="1">
        <v>303.25</v>
      </c>
      <c r="I98" s="1">
        <v>2.92</v>
      </c>
      <c r="J98" s="36">
        <v>6</v>
      </c>
      <c r="K98" s="36">
        <f t="shared" si="6"/>
        <v>0.39821599235425303</v>
      </c>
      <c r="L98" s="36">
        <f t="shared" si="7"/>
        <v>9.1757701866944107E-6</v>
      </c>
      <c r="M98" s="36">
        <f t="shared" si="8"/>
        <v>0.39822516812443975</v>
      </c>
      <c r="N98" s="36">
        <f t="shared" si="9"/>
        <v>60.180111490243021</v>
      </c>
      <c r="O98" s="1">
        <f t="shared" si="10"/>
        <v>333.33011149024298</v>
      </c>
      <c r="P98" s="5">
        <f t="shared" si="11"/>
        <v>527.00355330905711</v>
      </c>
    </row>
    <row r="99" spans="2:16" x14ac:dyDescent="0.2">
      <c r="B99" s="136"/>
      <c r="C99" s="28"/>
      <c r="D99" s="18">
        <v>85</v>
      </c>
      <c r="E99" s="3">
        <v>113.1</v>
      </c>
      <c r="F99" s="1">
        <v>28.1</v>
      </c>
      <c r="G99" s="1">
        <v>388.25</v>
      </c>
      <c r="H99" s="1">
        <v>303.25</v>
      </c>
      <c r="I99" s="1">
        <v>2.92</v>
      </c>
      <c r="J99" s="36">
        <v>6</v>
      </c>
      <c r="K99" s="36">
        <f t="shared" si="6"/>
        <v>0.39821599235425303</v>
      </c>
      <c r="L99" s="36">
        <f t="shared" si="7"/>
        <v>9.1757701866944107E-6</v>
      </c>
      <c r="M99" s="36">
        <f t="shared" si="8"/>
        <v>0.39822516812443975</v>
      </c>
      <c r="N99" s="36">
        <f t="shared" si="9"/>
        <v>38.755761925246802</v>
      </c>
      <c r="O99" s="1">
        <f t="shared" si="10"/>
        <v>311.90576192524679</v>
      </c>
      <c r="P99" s="5">
        <f t="shared" si="11"/>
        <v>151.6489489303238</v>
      </c>
    </row>
    <row r="100" spans="2:16" x14ac:dyDescent="0.2">
      <c r="B100" s="136"/>
      <c r="C100" s="28"/>
      <c r="D100" s="18">
        <v>86</v>
      </c>
      <c r="E100" s="3">
        <v>101</v>
      </c>
      <c r="F100" s="1">
        <v>28.1</v>
      </c>
      <c r="G100" s="1">
        <v>376.15</v>
      </c>
      <c r="H100" s="1">
        <v>303.25</v>
      </c>
      <c r="I100" s="1">
        <v>3.1</v>
      </c>
      <c r="J100" s="36">
        <v>6</v>
      </c>
      <c r="K100" s="36">
        <f t="shared" si="6"/>
        <v>0.37509377344336087</v>
      </c>
      <c r="L100" s="36">
        <f t="shared" si="7"/>
        <v>8.6429835306927995E-6</v>
      </c>
      <c r="M100" s="36">
        <f t="shared" si="8"/>
        <v>0.37510241642689157</v>
      </c>
      <c r="N100" s="36">
        <f t="shared" si="9"/>
        <v>37.23888287471167</v>
      </c>
      <c r="O100" s="1">
        <f t="shared" si="10"/>
        <v>310.38888287471167</v>
      </c>
      <c r="P100" s="5">
        <f t="shared" si="11"/>
        <v>132.78322146963706</v>
      </c>
    </row>
    <row r="101" spans="2:16" ht="16" thickBot="1" x14ac:dyDescent="0.25">
      <c r="B101" s="136"/>
      <c r="C101" s="28"/>
      <c r="D101" s="19">
        <v>87</v>
      </c>
      <c r="E101" s="3">
        <v>284</v>
      </c>
      <c r="F101" s="1">
        <v>26.6</v>
      </c>
      <c r="G101" s="1">
        <v>559.15</v>
      </c>
      <c r="H101" s="1">
        <v>301.75</v>
      </c>
      <c r="I101" s="1">
        <v>0.11</v>
      </c>
      <c r="J101" s="36">
        <v>6</v>
      </c>
      <c r="K101" s="36">
        <f t="shared" si="6"/>
        <v>10.570824524312897</v>
      </c>
      <c r="L101" s="36">
        <f t="shared" si="7"/>
        <v>2.4357499041043344E-4</v>
      </c>
      <c r="M101" s="36">
        <f t="shared" si="8"/>
        <v>10.571068099303307</v>
      </c>
      <c r="N101" s="36">
        <f t="shared" si="9"/>
        <v>58.868154347747371</v>
      </c>
      <c r="O101" s="1">
        <f t="shared" si="10"/>
        <v>332.01815434774733</v>
      </c>
      <c r="P101" s="5">
        <f t="shared" si="11"/>
        <v>19.976981869513235</v>
      </c>
    </row>
    <row r="102" spans="2:16" ht="16" thickBot="1" x14ac:dyDescent="0.25">
      <c r="B102" s="136"/>
      <c r="C102" s="28"/>
      <c r="D102" s="16">
        <v>88</v>
      </c>
      <c r="E102" s="3">
        <v>284</v>
      </c>
      <c r="F102" s="1">
        <v>26.6</v>
      </c>
      <c r="G102" s="1">
        <v>559.15</v>
      </c>
      <c r="H102" s="1">
        <v>301.75</v>
      </c>
      <c r="I102" s="1">
        <v>2.91</v>
      </c>
      <c r="J102" s="36">
        <v>6</v>
      </c>
      <c r="K102" s="36">
        <f t="shared" si="6"/>
        <v>0.39958443219052192</v>
      </c>
      <c r="L102" s="36">
        <f t="shared" si="7"/>
        <v>9.2073020430060747E-6</v>
      </c>
      <c r="M102" s="36">
        <f t="shared" si="8"/>
        <v>0.39959363949256493</v>
      </c>
      <c r="N102" s="36">
        <f t="shared" si="9"/>
        <v>58.868154347747378</v>
      </c>
      <c r="O102" s="1">
        <f t="shared" si="10"/>
        <v>332.01815434774733</v>
      </c>
      <c r="P102" s="5">
        <f t="shared" si="11"/>
        <v>528.48197491166832</v>
      </c>
    </row>
    <row r="103" spans="2:16" x14ac:dyDescent="0.2">
      <c r="B103" s="136"/>
      <c r="C103" s="28"/>
      <c r="D103" s="40">
        <v>89</v>
      </c>
      <c r="E103" s="1">
        <v>284</v>
      </c>
      <c r="F103" s="1">
        <v>26.6</v>
      </c>
      <c r="G103" s="1">
        <v>559.15</v>
      </c>
      <c r="H103" s="1">
        <v>301.75</v>
      </c>
      <c r="I103" s="1">
        <v>1</v>
      </c>
      <c r="J103" s="36">
        <v>6</v>
      </c>
      <c r="K103" s="36">
        <f t="shared" si="6"/>
        <v>1.1627906976744187</v>
      </c>
      <c r="L103" s="36">
        <f t="shared" si="7"/>
        <v>2.6793248945147678E-5</v>
      </c>
      <c r="M103" s="36">
        <f t="shared" si="8"/>
        <v>1.1628174909233637</v>
      </c>
      <c r="N103" s="36">
        <f t="shared" si="9"/>
        <v>58.868154347747385</v>
      </c>
      <c r="O103" s="1">
        <f t="shared" si="10"/>
        <v>332.01815434774738</v>
      </c>
      <c r="P103" s="5">
        <f t="shared" si="11"/>
        <v>181.6089260864843</v>
      </c>
    </row>
    <row r="104" spans="2:16" ht="16" thickBot="1" x14ac:dyDescent="0.25">
      <c r="B104" s="136"/>
      <c r="C104" s="28"/>
      <c r="D104" s="41">
        <v>90</v>
      </c>
      <c r="E104" s="1">
        <v>284</v>
      </c>
      <c r="F104" s="1">
        <v>24.5</v>
      </c>
      <c r="G104" s="1">
        <v>559.15</v>
      </c>
      <c r="H104" s="1">
        <v>299.64999999999998</v>
      </c>
      <c r="I104" s="1">
        <v>0.1</v>
      </c>
      <c r="J104" s="36">
        <v>6</v>
      </c>
      <c r="K104" s="36">
        <f t="shared" si="6"/>
        <v>11.627906976744187</v>
      </c>
      <c r="L104" s="36">
        <f t="shared" si="7"/>
        <v>2.6793248945147677E-4</v>
      </c>
      <c r="M104" s="36">
        <f t="shared" si="8"/>
        <v>11.628174909233639</v>
      </c>
      <c r="N104" s="36">
        <f t="shared" si="9"/>
        <v>57.03141434825347</v>
      </c>
      <c r="O104" s="1">
        <f t="shared" si="10"/>
        <v>330.18141434825344</v>
      </c>
      <c r="P104" s="5">
        <f t="shared" si="11"/>
        <v>18.318848608952081</v>
      </c>
    </row>
    <row r="105" spans="2:16" ht="16" thickBot="1" x14ac:dyDescent="0.25">
      <c r="B105" s="136"/>
      <c r="C105" s="28"/>
      <c r="D105" s="42">
        <v>91</v>
      </c>
      <c r="E105" s="1">
        <v>139.80000000000001</v>
      </c>
      <c r="F105" s="1">
        <v>26.5</v>
      </c>
      <c r="G105" s="1">
        <v>414.95</v>
      </c>
      <c r="H105" s="1">
        <v>301.64999999999998</v>
      </c>
      <c r="I105" s="1">
        <v>0.13</v>
      </c>
      <c r="J105" s="36">
        <v>6</v>
      </c>
      <c r="K105" s="36">
        <f t="shared" si="6"/>
        <v>8.9445438282647594</v>
      </c>
      <c r="L105" s="36">
        <f t="shared" si="7"/>
        <v>2.0610191496267443E-4</v>
      </c>
      <c r="M105" s="36">
        <f t="shared" si="8"/>
        <v>8.9447499301797215</v>
      </c>
      <c r="N105" s="36">
        <f t="shared" si="9"/>
        <v>40.703503836828972</v>
      </c>
      <c r="O105" s="1">
        <f t="shared" si="10"/>
        <v>313.85350383682896</v>
      </c>
      <c r="P105" s="5">
        <f t="shared" si="11"/>
        <v>9.5187329927266102</v>
      </c>
    </row>
    <row r="106" spans="2:16" x14ac:dyDescent="0.2">
      <c r="B106" s="136"/>
      <c r="C106" s="28"/>
      <c r="D106" s="40">
        <v>92</v>
      </c>
      <c r="E106" s="1">
        <v>284</v>
      </c>
      <c r="F106" s="1">
        <v>27.9</v>
      </c>
      <c r="G106" s="1">
        <v>559.15</v>
      </c>
      <c r="H106" s="1">
        <v>303.04999999999995</v>
      </c>
      <c r="I106" s="1">
        <v>20.399999999999999</v>
      </c>
      <c r="J106" s="36">
        <v>6</v>
      </c>
      <c r="K106" s="36">
        <f t="shared" si="6"/>
        <v>5.6999544003647984E-2</v>
      </c>
      <c r="L106" s="36">
        <f t="shared" si="7"/>
        <v>1.3133945561346902E-6</v>
      </c>
      <c r="M106" s="36">
        <f t="shared" si="8"/>
        <v>5.7000857398204118E-2</v>
      </c>
      <c r="N106" s="36">
        <f t="shared" si="9"/>
        <v>60.005183871243602</v>
      </c>
      <c r="O106" s="1">
        <f t="shared" si="10"/>
        <v>333.15518387124359</v>
      </c>
      <c r="P106" s="5">
        <f t="shared" si="11"/>
        <v>3684.874505840221</v>
      </c>
    </row>
    <row r="107" spans="2:16" ht="16" thickBot="1" x14ac:dyDescent="0.25">
      <c r="B107" s="136"/>
      <c r="C107" s="28"/>
      <c r="D107" s="41">
        <v>93</v>
      </c>
      <c r="E107" s="1">
        <v>284</v>
      </c>
      <c r="F107" s="1">
        <v>28.1</v>
      </c>
      <c r="G107" s="1">
        <v>559.15</v>
      </c>
      <c r="H107" s="1">
        <v>303.25</v>
      </c>
      <c r="I107" s="1">
        <v>0.3</v>
      </c>
      <c r="J107" s="36">
        <v>6</v>
      </c>
      <c r="K107" s="36">
        <f t="shared" si="6"/>
        <v>3.8759689922480627</v>
      </c>
      <c r="L107" s="36">
        <f t="shared" si="7"/>
        <v>8.931082981715894E-5</v>
      </c>
      <c r="M107" s="36">
        <f t="shared" si="8"/>
        <v>3.8760583030778797</v>
      </c>
      <c r="N107" s="36">
        <f t="shared" si="9"/>
        <v>60.180111490243029</v>
      </c>
      <c r="O107" s="1">
        <f t="shared" si="10"/>
        <v>333.33011149024298</v>
      </c>
      <c r="P107" s="5">
        <f t="shared" si="11"/>
        <v>54.144200682437365</v>
      </c>
    </row>
    <row r="108" spans="2:16" ht="16" thickBot="1" x14ac:dyDescent="0.25">
      <c r="B108" s="136"/>
      <c r="C108" s="28"/>
      <c r="D108" s="42">
        <v>94</v>
      </c>
      <c r="E108" s="1">
        <v>284</v>
      </c>
      <c r="F108" s="1">
        <v>28.1</v>
      </c>
      <c r="G108" s="1">
        <v>559.15</v>
      </c>
      <c r="H108" s="1">
        <v>303.25</v>
      </c>
      <c r="I108" s="1">
        <v>0.12</v>
      </c>
      <c r="J108" s="36">
        <v>6</v>
      </c>
      <c r="K108" s="36">
        <f t="shared" si="6"/>
        <v>9.6899224806201563</v>
      </c>
      <c r="L108" s="36">
        <f t="shared" si="7"/>
        <v>2.2327707454289732E-4</v>
      </c>
      <c r="M108" s="36">
        <f t="shared" si="8"/>
        <v>9.6901457576946992</v>
      </c>
      <c r="N108" s="36">
        <f t="shared" si="9"/>
        <v>60.180111490243014</v>
      </c>
      <c r="O108" s="1">
        <f t="shared" si="10"/>
        <v>333.33011149024298</v>
      </c>
      <c r="P108" s="5">
        <f t="shared" si="11"/>
        <v>21.657680272974947</v>
      </c>
    </row>
    <row r="109" spans="2:16" x14ac:dyDescent="0.2">
      <c r="B109" s="136"/>
      <c r="C109" s="28"/>
      <c r="D109" s="40">
        <v>95</v>
      </c>
      <c r="E109" s="1">
        <v>144.4</v>
      </c>
      <c r="F109" s="1">
        <v>28.1</v>
      </c>
      <c r="G109" s="1">
        <v>419.54999999999995</v>
      </c>
      <c r="H109" s="1">
        <v>303.25</v>
      </c>
      <c r="I109" s="1">
        <v>0.08</v>
      </c>
      <c r="J109" s="36">
        <v>6</v>
      </c>
      <c r="K109" s="36">
        <f t="shared" si="6"/>
        <v>14.534883720930234</v>
      </c>
      <c r="L109" s="36">
        <f t="shared" si="7"/>
        <v>3.3491561181434596E-4</v>
      </c>
      <c r="M109" s="36">
        <f t="shared" si="8"/>
        <v>14.535218636542048</v>
      </c>
      <c r="N109" s="36">
        <f t="shared" si="9"/>
        <v>42.679589551837687</v>
      </c>
      <c r="O109" s="1">
        <f t="shared" si="10"/>
        <v>315.82958955183767</v>
      </c>
      <c r="P109" s="5">
        <f t="shared" si="11"/>
        <v>6.0382029848820817</v>
      </c>
    </row>
    <row r="110" spans="2:16" ht="16" thickBot="1" x14ac:dyDescent="0.25">
      <c r="B110" s="136"/>
      <c r="C110" s="28"/>
      <c r="D110" s="41">
        <v>96</v>
      </c>
      <c r="E110" s="1">
        <v>137.69999999999999</v>
      </c>
      <c r="F110" s="1">
        <v>28.1</v>
      </c>
      <c r="G110" s="1">
        <v>412.84999999999997</v>
      </c>
      <c r="H110" s="1">
        <v>303.25</v>
      </c>
      <c r="I110" s="1">
        <v>0.08</v>
      </c>
      <c r="J110" s="36">
        <v>6</v>
      </c>
      <c r="K110" s="36">
        <f t="shared" si="6"/>
        <v>14.534883720930234</v>
      </c>
      <c r="L110" s="36">
        <f t="shared" si="7"/>
        <v>3.3491561181434596E-4</v>
      </c>
      <c r="M110" s="36">
        <f t="shared" si="8"/>
        <v>14.535218636542048</v>
      </c>
      <c r="N110" s="36">
        <f t="shared" si="9"/>
        <v>41.839664788318231</v>
      </c>
      <c r="O110" s="1">
        <f t="shared" si="10"/>
        <v>314.98966478831824</v>
      </c>
      <c r="P110" s="5">
        <f t="shared" si="11"/>
        <v>5.6350390983927534</v>
      </c>
    </row>
    <row r="111" spans="2:16" ht="16" thickBot="1" x14ac:dyDescent="0.25">
      <c r="B111" s="136"/>
      <c r="C111" s="28"/>
      <c r="D111" s="42">
        <v>97</v>
      </c>
      <c r="E111" s="1">
        <v>230</v>
      </c>
      <c r="F111" s="1">
        <v>28.3</v>
      </c>
      <c r="G111" s="1">
        <v>505.15</v>
      </c>
      <c r="H111" s="1">
        <v>303.45</v>
      </c>
      <c r="I111" s="1">
        <v>2.2999999999999998</v>
      </c>
      <c r="J111" s="36">
        <v>6</v>
      </c>
      <c r="K111" s="36">
        <f t="shared" si="6"/>
        <v>0.50556117290192126</v>
      </c>
      <c r="L111" s="36">
        <f t="shared" si="7"/>
        <v>1.1649238671803341E-5</v>
      </c>
      <c r="M111" s="36">
        <f t="shared" si="8"/>
        <v>0.50557282214059307</v>
      </c>
      <c r="N111" s="36">
        <f t="shared" si="9"/>
        <v>53.58549623908565</v>
      </c>
      <c r="O111" s="1">
        <f t="shared" si="10"/>
        <v>326.73549623908565</v>
      </c>
      <c r="P111" s="5">
        <f t="shared" si="11"/>
        <v>321.3398480993821</v>
      </c>
    </row>
    <row r="112" spans="2:16" x14ac:dyDescent="0.2">
      <c r="B112" s="136"/>
      <c r="C112" s="28"/>
      <c r="D112" s="40">
        <v>98</v>
      </c>
      <c r="E112" s="1">
        <v>230</v>
      </c>
      <c r="F112" s="1">
        <v>28.3</v>
      </c>
      <c r="G112" s="1">
        <v>505.15</v>
      </c>
      <c r="H112" s="1">
        <v>303.45</v>
      </c>
      <c r="I112" s="1">
        <v>0.47</v>
      </c>
      <c r="J112" s="36">
        <v>6</v>
      </c>
      <c r="K112" s="36">
        <f t="shared" si="6"/>
        <v>2.4740227610094014</v>
      </c>
      <c r="L112" s="36">
        <f t="shared" si="7"/>
        <v>5.7006912649250379E-5</v>
      </c>
      <c r="M112" s="36">
        <f t="shared" si="8"/>
        <v>2.4740797679220505</v>
      </c>
      <c r="N112" s="36">
        <f t="shared" si="9"/>
        <v>53.58549623908565</v>
      </c>
      <c r="O112" s="1">
        <f t="shared" si="10"/>
        <v>326.73549623908565</v>
      </c>
      <c r="P112" s="5">
        <f t="shared" si="11"/>
        <v>65.665099394221556</v>
      </c>
    </row>
    <row r="113" spans="2:16" ht="16" thickBot="1" x14ac:dyDescent="0.25">
      <c r="B113" s="136"/>
      <c r="C113" s="28"/>
      <c r="D113" s="41">
        <v>99</v>
      </c>
      <c r="E113" s="1">
        <v>105.1</v>
      </c>
      <c r="F113" s="1">
        <v>27.9</v>
      </c>
      <c r="G113" s="1">
        <v>380.25</v>
      </c>
      <c r="H113" s="1">
        <v>303.04999999999995</v>
      </c>
      <c r="I113" s="1">
        <v>13.5</v>
      </c>
      <c r="J113" s="36">
        <v>6</v>
      </c>
      <c r="K113" s="36">
        <f t="shared" si="6"/>
        <v>8.6132644272179176E-2</v>
      </c>
      <c r="L113" s="36">
        <f t="shared" si="7"/>
        <v>1.9846851070479761E-6</v>
      </c>
      <c r="M113" s="36">
        <f t="shared" si="8"/>
        <v>8.6134628957286227E-2</v>
      </c>
      <c r="N113" s="36">
        <f t="shared" si="9"/>
        <v>37.577939066224147</v>
      </c>
      <c r="O113" s="1">
        <f t="shared" si="10"/>
        <v>310.72793906622411</v>
      </c>
      <c r="P113" s="5">
        <f t="shared" si="11"/>
        <v>621.91306436415653</v>
      </c>
    </row>
    <row r="114" spans="2:16" ht="16" thickBot="1" x14ac:dyDescent="0.25">
      <c r="B114" s="136"/>
      <c r="C114" s="28"/>
      <c r="D114" s="42">
        <v>100</v>
      </c>
      <c r="E114" s="1">
        <v>135.6</v>
      </c>
      <c r="F114" s="1">
        <v>28.4</v>
      </c>
      <c r="G114" s="1">
        <v>410.75</v>
      </c>
      <c r="H114" s="1">
        <v>303.54999999999995</v>
      </c>
      <c r="I114" s="1">
        <v>0.11</v>
      </c>
      <c r="J114" s="36">
        <v>6</v>
      </c>
      <c r="K114" s="36">
        <f t="shared" si="6"/>
        <v>10.570824524312897</v>
      </c>
      <c r="L114" s="36">
        <f t="shared" si="7"/>
        <v>2.4357499041043344E-4</v>
      </c>
      <c r="M114" s="36">
        <f t="shared" si="8"/>
        <v>10.571068099303307</v>
      </c>
      <c r="N114" s="36">
        <f t="shared" si="9"/>
        <v>41.838796216311259</v>
      </c>
      <c r="O114" s="1">
        <f t="shared" si="10"/>
        <v>314.98879621631124</v>
      </c>
      <c r="P114" s="5">
        <f t="shared" si="11"/>
        <v>7.5496055027654512</v>
      </c>
    </row>
    <row r="115" spans="2:16" x14ac:dyDescent="0.2">
      <c r="B115" s="136"/>
      <c r="C115" s="28"/>
      <c r="D115" s="40">
        <v>101</v>
      </c>
      <c r="E115" s="1">
        <v>149.80000000000001</v>
      </c>
      <c r="F115" s="1">
        <v>28.4</v>
      </c>
      <c r="G115" s="1">
        <v>424.95</v>
      </c>
      <c r="H115" s="1">
        <v>303.54999999999995</v>
      </c>
      <c r="I115" s="1">
        <v>0.11</v>
      </c>
      <c r="J115" s="36">
        <v>6</v>
      </c>
      <c r="K115" s="36">
        <f t="shared" si="6"/>
        <v>10.570824524312897</v>
      </c>
      <c r="L115" s="36">
        <f t="shared" si="7"/>
        <v>2.4357499041043344E-4</v>
      </c>
      <c r="M115" s="36">
        <f t="shared" si="8"/>
        <v>10.571068099303307</v>
      </c>
      <c r="N115" s="36">
        <f t="shared" si="9"/>
        <v>43.618935267352498</v>
      </c>
      <c r="O115" s="1">
        <f t="shared" si="10"/>
        <v>316.7689352673525</v>
      </c>
      <c r="P115" s="5">
        <f t="shared" si="11"/>
        <v>8.7244972764526825</v>
      </c>
    </row>
    <row r="116" spans="2:16" ht="16" thickBot="1" x14ac:dyDescent="0.25">
      <c r="B116" s="137"/>
      <c r="C116" s="28"/>
      <c r="D116" s="41">
        <v>102</v>
      </c>
      <c r="E116" s="1">
        <v>230</v>
      </c>
      <c r="F116" s="1">
        <v>28.4</v>
      </c>
      <c r="G116" s="1">
        <v>505.15</v>
      </c>
      <c r="H116" s="1">
        <v>303.54999999999995</v>
      </c>
      <c r="I116" s="1">
        <v>3.95</v>
      </c>
      <c r="J116" s="36">
        <v>6</v>
      </c>
      <c r="K116" s="36">
        <f t="shared" si="6"/>
        <v>0.29437739181630851</v>
      </c>
      <c r="L116" s="36">
        <f t="shared" si="7"/>
        <v>6.7831009987715631E-6</v>
      </c>
      <c r="M116" s="36">
        <f t="shared" si="8"/>
        <v>0.29438417491730728</v>
      </c>
      <c r="N116" s="36">
        <f t="shared" si="9"/>
        <v>53.67296004858536</v>
      </c>
      <c r="O116" s="1">
        <f t="shared" si="10"/>
        <v>326.82296004858534</v>
      </c>
      <c r="P116" s="5">
        <f t="shared" si="11"/>
        <v>551.56915315147376</v>
      </c>
    </row>
    <row r="117" spans="2:16" x14ac:dyDescent="0.2">
      <c r="C117" s="7"/>
      <c r="O117" t="s">
        <v>30</v>
      </c>
      <c r="P117" s="6">
        <f>SUM(P4:P116)</f>
        <v>8298.6193194911848</v>
      </c>
    </row>
  </sheetData>
  <mergeCells count="32">
    <mergeCell ref="T20:T21"/>
    <mergeCell ref="U20:V21"/>
    <mergeCell ref="B70:B89"/>
    <mergeCell ref="B90:B116"/>
    <mergeCell ref="E2:P2"/>
    <mergeCell ref="T9:T10"/>
    <mergeCell ref="U9:V10"/>
    <mergeCell ref="T12:T13"/>
    <mergeCell ref="U12:V13"/>
    <mergeCell ref="C2:C3"/>
    <mergeCell ref="D2:D3"/>
    <mergeCell ref="B4:B25"/>
    <mergeCell ref="B26:B46"/>
    <mergeCell ref="B47:B69"/>
    <mergeCell ref="T29:T30"/>
    <mergeCell ref="U29:V30"/>
    <mergeCell ref="Y12:Z12"/>
    <mergeCell ref="X15:X16"/>
    <mergeCell ref="Y15:Z16"/>
    <mergeCell ref="T17:T18"/>
    <mergeCell ref="U17:V18"/>
    <mergeCell ref="T37:T38"/>
    <mergeCell ref="U37:V38"/>
    <mergeCell ref="T40:T41"/>
    <mergeCell ref="U40:V41"/>
    <mergeCell ref="Y32:Z33"/>
    <mergeCell ref="X32:X33"/>
    <mergeCell ref="T32:T33"/>
    <mergeCell ref="U32:V33"/>
    <mergeCell ref="X35:X36"/>
    <mergeCell ref="Y35:Z36"/>
    <mergeCell ref="U36:V3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B7852-200A-4D98-BFAA-ACEB42420C18}">
  <dimension ref="C3:Q29"/>
  <sheetViews>
    <sheetView zoomScale="85" zoomScaleNormal="85" workbookViewId="0">
      <selection activeCell="D7" sqref="D7:G8"/>
    </sheetView>
  </sheetViews>
  <sheetFormatPr baseColWidth="10" defaultColWidth="11.5" defaultRowHeight="15" x14ac:dyDescent="0.2"/>
  <cols>
    <col min="1" max="15" width="11.5" style="10"/>
    <col min="16" max="17" width="14.5" style="10" bestFit="1" customWidth="1"/>
    <col min="18" max="16384" width="11.5" style="10"/>
  </cols>
  <sheetData>
    <row r="3" spans="3:14" ht="15" customHeight="1" x14ac:dyDescent="0.2">
      <c r="C3" s="187" t="s">
        <v>39</v>
      </c>
      <c r="D3" s="187"/>
      <c r="E3" s="187"/>
      <c r="F3" s="187"/>
      <c r="G3" s="187"/>
      <c r="H3" s="187"/>
      <c r="I3" s="187"/>
      <c r="J3" s="187"/>
      <c r="K3" s="187"/>
    </row>
    <row r="4" spans="3:14" ht="15" customHeight="1" x14ac:dyDescent="0.2">
      <c r="C4" s="187"/>
      <c r="D4" s="187"/>
      <c r="E4" s="187"/>
      <c r="F4" s="187"/>
      <c r="G4" s="187"/>
      <c r="H4" s="187"/>
      <c r="I4" s="187"/>
      <c r="J4" s="187"/>
      <c r="K4" s="187"/>
    </row>
    <row r="5" spans="3:14" ht="15.75" customHeight="1" thickBot="1" x14ac:dyDescent="0.25">
      <c r="C5" s="188"/>
      <c r="D5" s="188"/>
      <c r="E5" s="188"/>
      <c r="F5" s="188"/>
      <c r="G5" s="188"/>
      <c r="H5" s="188"/>
      <c r="I5" s="188"/>
      <c r="J5" s="188"/>
      <c r="K5" s="188"/>
    </row>
    <row r="6" spans="3:14" x14ac:dyDescent="0.2">
      <c r="M6" s="181" t="s">
        <v>50</v>
      </c>
      <c r="N6" s="182"/>
    </row>
    <row r="7" spans="3:14" ht="15" customHeight="1" x14ac:dyDescent="0.2">
      <c r="D7" s="180">
        <f>SUM('PC C1'!Y13:Z14,'PC C2'!Y13:Z14)</f>
        <v>0.49804383593060175</v>
      </c>
      <c r="E7" s="180"/>
      <c r="F7" s="180"/>
      <c r="G7" s="180"/>
      <c r="H7" s="46"/>
      <c r="I7" s="189" t="s">
        <v>40</v>
      </c>
      <c r="J7" s="189"/>
      <c r="K7" s="189"/>
      <c r="M7" s="183">
        <f>100-((D10/D7)*100)</f>
        <v>89.687588150105469</v>
      </c>
      <c r="N7" s="185" t="s">
        <v>49</v>
      </c>
    </row>
    <row r="8" spans="3:14" ht="15" customHeight="1" x14ac:dyDescent="0.2">
      <c r="D8" s="180"/>
      <c r="E8" s="180"/>
      <c r="F8" s="180"/>
      <c r="G8" s="180"/>
      <c r="H8" s="46"/>
      <c r="I8" s="189"/>
      <c r="J8" s="189"/>
      <c r="K8" s="189"/>
      <c r="M8" s="184"/>
      <c r="N8" s="186"/>
    </row>
    <row r="10" spans="3:14" ht="15" customHeight="1" x14ac:dyDescent="0.2">
      <c r="D10" s="179">
        <f>SUM('PC C2 aislante'!U12:V13,'PC C1 aislante'!U12:V13)</f>
        <v>5.1360331554176665E-2</v>
      </c>
      <c r="E10" s="179"/>
      <c r="F10" s="179"/>
      <c r="G10" s="179"/>
      <c r="I10" s="178" t="s">
        <v>51</v>
      </c>
      <c r="J10" s="178"/>
      <c r="K10" s="178"/>
    </row>
    <row r="11" spans="3:14" ht="15" customHeight="1" x14ac:dyDescent="0.2">
      <c r="C11"/>
      <c r="D11" s="179"/>
      <c r="E11" s="179"/>
      <c r="F11" s="179"/>
      <c r="G11" s="179"/>
      <c r="I11" s="178"/>
      <c r="J11" s="178"/>
      <c r="K11" s="178"/>
    </row>
    <row r="12" spans="3:14" ht="16" thickBot="1" x14ac:dyDescent="0.25">
      <c r="C12" s="45"/>
      <c r="D12" s="45"/>
      <c r="E12" s="45"/>
      <c r="F12" s="45"/>
      <c r="G12" s="45"/>
      <c r="H12" s="45"/>
      <c r="I12" s="45"/>
      <c r="J12" s="45"/>
      <c r="K12" s="45"/>
      <c r="N12" s="77">
        <f>D7-D10</f>
        <v>0.44668350437642507</v>
      </c>
    </row>
    <row r="19" spans="4:17" x14ac:dyDescent="0.2">
      <c r="E19" s="10" t="s">
        <v>61</v>
      </c>
      <c r="F19" s="10" t="s">
        <v>62</v>
      </c>
    </row>
    <row r="20" spans="4:17" x14ac:dyDescent="0.2">
      <c r="D20" s="10" t="s">
        <v>59</v>
      </c>
      <c r="E20" s="88">
        <f>D7</f>
        <v>0.49804383593060175</v>
      </c>
      <c r="F20" s="88"/>
      <c r="P20" s="10" t="s">
        <v>61</v>
      </c>
      <c r="Q20" s="10" t="s">
        <v>62</v>
      </c>
    </row>
    <row r="21" spans="4:17" x14ac:dyDescent="0.2">
      <c r="D21" s="10" t="s">
        <v>60</v>
      </c>
      <c r="E21" s="88">
        <f>D10</f>
        <v>5.1360331554176665E-2</v>
      </c>
      <c r="F21" s="88">
        <f>E20-E21</f>
        <v>0.44668350437642507</v>
      </c>
      <c r="O21" s="10" t="s">
        <v>59</v>
      </c>
      <c r="P21" s="98">
        <f>P28*206000*31</f>
        <v>3180507.936252824</v>
      </c>
      <c r="Q21" s="98"/>
    </row>
    <row r="22" spans="4:17" x14ac:dyDescent="0.2">
      <c r="O22" s="10" t="s">
        <v>60</v>
      </c>
      <c r="P22" s="98">
        <f>P29*206000*31</f>
        <v>327987.07730497222</v>
      </c>
      <c r="Q22" s="98">
        <f>206000*31*Q29</f>
        <v>2852520.8589478503</v>
      </c>
    </row>
    <row r="28" spans="4:17" x14ac:dyDescent="0.2">
      <c r="P28" s="10">
        <v>0.49804383593060197</v>
      </c>
    </row>
    <row r="29" spans="4:17" x14ac:dyDescent="0.2">
      <c r="P29" s="10">
        <v>5.1360331554176665E-2</v>
      </c>
      <c r="Q29" s="10">
        <v>0.44668350437642507</v>
      </c>
    </row>
  </sheetData>
  <mergeCells count="8">
    <mergeCell ref="C3:K5"/>
    <mergeCell ref="I7:K8"/>
    <mergeCell ref="I10:K11"/>
    <mergeCell ref="D10:G11"/>
    <mergeCell ref="D7:G8"/>
    <mergeCell ref="M6:N6"/>
    <mergeCell ref="M7:M8"/>
    <mergeCell ref="N7:N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DDBDB-27CB-4993-AFA0-83C6BAA79065}">
  <dimension ref="A5:V34"/>
  <sheetViews>
    <sheetView tabSelected="1" topLeftCell="L12" zoomScale="139" zoomScaleNormal="100" workbookViewId="0">
      <selection activeCell="X30" sqref="X30"/>
    </sheetView>
  </sheetViews>
  <sheetFormatPr baseColWidth="10" defaultColWidth="11.5" defaultRowHeight="15" x14ac:dyDescent="0.2"/>
  <cols>
    <col min="1" max="6" width="11.5" style="10"/>
    <col min="7" max="7" width="12" style="10" bestFit="1" customWidth="1"/>
    <col min="8" max="8" width="11.5" style="10"/>
    <col min="9" max="9" width="16.6640625" style="10" customWidth="1"/>
    <col min="10" max="11" width="11.5" style="10"/>
    <col min="12" max="12" width="17.6640625" style="10" customWidth="1"/>
    <col min="13" max="20" width="11.5" style="10"/>
    <col min="21" max="21" width="15.6640625" style="10" customWidth="1"/>
    <col min="22" max="22" width="16.33203125" style="10" customWidth="1"/>
    <col min="23" max="16384" width="11.5" style="10"/>
  </cols>
  <sheetData>
    <row r="5" spans="1:22" x14ac:dyDescent="0.2">
      <c r="A5" s="77" t="s">
        <v>65</v>
      </c>
      <c r="B5" s="77" t="s">
        <v>64</v>
      </c>
      <c r="C5" s="77"/>
      <c r="D5" s="77"/>
      <c r="E5" s="77"/>
    </row>
    <row r="6" spans="1:22" x14ac:dyDescent="0.2">
      <c r="A6" s="77">
        <v>1</v>
      </c>
      <c r="B6" s="77">
        <f>SUM('PC C1'!Y8:Z9)</f>
        <v>88051.581296278731</v>
      </c>
      <c r="C6" s="77">
        <f>B6/1000</f>
        <v>88.051581296278727</v>
      </c>
      <c r="D6" s="77"/>
      <c r="E6" s="77">
        <f>B6+B7</f>
        <v>172272.90914384637</v>
      </c>
    </row>
    <row r="7" spans="1:22" x14ac:dyDescent="0.2">
      <c r="A7" s="77">
        <v>2</v>
      </c>
      <c r="B7" s="77">
        <f>SUM('PC C2'!Y8:Z9)</f>
        <v>84221.32784756762</v>
      </c>
      <c r="C7" s="77">
        <f>B7/1000</f>
        <v>84.221327847567622</v>
      </c>
      <c r="D7" s="77"/>
      <c r="E7" s="77">
        <f>E6/1000</f>
        <v>172.27290914384636</v>
      </c>
    </row>
    <row r="9" spans="1:22" ht="16" thickBot="1" x14ac:dyDescent="0.25"/>
    <row r="10" spans="1:22" x14ac:dyDescent="0.2">
      <c r="I10" s="201" t="s">
        <v>66</v>
      </c>
      <c r="J10" s="202"/>
      <c r="S10" s="10" t="s">
        <v>66</v>
      </c>
    </row>
    <row r="11" spans="1:22" ht="15" customHeight="1" x14ac:dyDescent="0.2">
      <c r="I11" s="203"/>
      <c r="J11" s="204"/>
    </row>
    <row r="12" spans="1:22" x14ac:dyDescent="0.2">
      <c r="I12" s="205">
        <f>E7</f>
        <v>172.27290914384636</v>
      </c>
      <c r="J12" s="200"/>
    </row>
    <row r="13" spans="1:22" ht="16" thickBot="1" x14ac:dyDescent="0.25">
      <c r="I13" s="206"/>
      <c r="J13" s="207"/>
    </row>
    <row r="14" spans="1:22" ht="15" customHeight="1" thickTop="1" x14ac:dyDescent="0.2">
      <c r="F14" s="192" t="s">
        <v>71</v>
      </c>
      <c r="G14" s="197" t="s">
        <v>67</v>
      </c>
      <c r="H14" s="197"/>
      <c r="I14" s="208" t="s">
        <v>70</v>
      </c>
      <c r="J14" s="208" t="s">
        <v>68</v>
      </c>
      <c r="K14" s="197"/>
      <c r="L14" s="209" t="s">
        <v>69</v>
      </c>
      <c r="P14" s="10" t="s">
        <v>71</v>
      </c>
      <c r="Q14" s="10" t="s">
        <v>67</v>
      </c>
      <c r="S14" s="10" t="s">
        <v>70</v>
      </c>
      <c r="T14" s="10" t="s">
        <v>68</v>
      </c>
      <c r="V14" s="10" t="s">
        <v>69</v>
      </c>
    </row>
    <row r="15" spans="1:22" ht="15" customHeight="1" x14ac:dyDescent="0.2">
      <c r="F15" s="193"/>
      <c r="G15" s="198"/>
      <c r="H15" s="198"/>
      <c r="I15" s="198"/>
      <c r="J15" s="198"/>
      <c r="K15" s="198"/>
      <c r="L15" s="210"/>
    </row>
    <row r="16" spans="1:22" ht="15" customHeight="1" x14ac:dyDescent="0.2">
      <c r="F16" s="193"/>
      <c r="G16" s="199">
        <f>C6</f>
        <v>88.051581296278727</v>
      </c>
      <c r="H16" s="199"/>
      <c r="I16" s="199">
        <f>SUM('PC C1'!I4:I102)</f>
        <v>97.897999999999996</v>
      </c>
      <c r="J16" s="199">
        <f>C7</f>
        <v>84.221327847567622</v>
      </c>
      <c r="K16" s="199"/>
      <c r="L16" s="200">
        <f>SUM('PC C2'!Q4:Q116)</f>
        <v>70.899119999999996</v>
      </c>
      <c r="Q16" s="10">
        <v>88.051581296278727</v>
      </c>
      <c r="S16" s="10">
        <v>97.897999999999996</v>
      </c>
      <c r="T16" s="10">
        <v>84.221327847567622</v>
      </c>
      <c r="V16" s="10">
        <v>70.899119999999996</v>
      </c>
    </row>
    <row r="17" spans="6:22" ht="15" customHeight="1" x14ac:dyDescent="0.2">
      <c r="F17" s="193"/>
      <c r="G17" s="199"/>
      <c r="H17" s="199"/>
      <c r="I17" s="199"/>
      <c r="J17" s="199"/>
      <c r="K17" s="199"/>
      <c r="L17" s="200"/>
      <c r="O17" s="89"/>
    </row>
    <row r="18" spans="6:22" ht="15" customHeight="1" x14ac:dyDescent="0.2">
      <c r="F18" s="78">
        <v>1</v>
      </c>
      <c r="G18" s="196">
        <f>((SUM('PC C1'!K4:K22))+(SUM('PC C1'!T4:T22)))/1000</f>
        <v>1.6966979832182632</v>
      </c>
      <c r="H18" s="196"/>
      <c r="I18" s="79">
        <f>SUM('PC C1'!Q4:Q22)</f>
        <v>2.6074999999999999</v>
      </c>
      <c r="J18" s="196">
        <f>((SUM('PC C2'!K4:K25))+(SUM('PC C2'!T4:T25)))/1000</f>
        <v>2.0787837651971954</v>
      </c>
      <c r="K18" s="196"/>
      <c r="L18" s="80">
        <f>SUM('PC C2'!Q4:Q25)</f>
        <v>3.2813000000000003</v>
      </c>
      <c r="P18" s="10">
        <v>1</v>
      </c>
      <c r="Q18" s="10">
        <v>1.6966979832182632</v>
      </c>
      <c r="S18" s="10">
        <v>2.6074999999999999</v>
      </c>
      <c r="T18" s="10">
        <v>2.0787837651971954</v>
      </c>
      <c r="V18" s="10">
        <v>3.2813000000000003</v>
      </c>
    </row>
    <row r="19" spans="6:22" ht="15" customHeight="1" x14ac:dyDescent="0.2">
      <c r="F19" s="78">
        <v>2</v>
      </c>
      <c r="G19" s="196">
        <f>((SUM('PC C1'!K23:K41))+(SUM('PC C1'!T23:T41)))/1000</f>
        <v>4.206756361273901</v>
      </c>
      <c r="H19" s="196"/>
      <c r="I19" s="79">
        <f>SUM('PC C1'!Q23:Q41)</f>
        <v>5.2546999999999988</v>
      </c>
      <c r="J19" s="196">
        <f>((SUM('PC C2'!K26:K46))+(SUM('PC C2'!T26:T46)))/1000</f>
        <v>2.3140138190425885</v>
      </c>
      <c r="K19" s="196"/>
      <c r="L19" s="80">
        <f>SUM('PC C2'!Q26:Q46)</f>
        <v>3.909920000000001</v>
      </c>
      <c r="P19" s="10">
        <v>2</v>
      </c>
      <c r="Q19" s="10">
        <v>4.206756361273901</v>
      </c>
      <c r="S19" s="10">
        <v>5.2546999999999988</v>
      </c>
      <c r="T19" s="10">
        <v>2.3140138190425885</v>
      </c>
      <c r="V19" s="10">
        <v>3.909920000000001</v>
      </c>
    </row>
    <row r="20" spans="6:22" ht="15" customHeight="1" x14ac:dyDescent="0.2">
      <c r="F20" s="78">
        <v>3</v>
      </c>
      <c r="G20" s="196">
        <f>((SUM('PC C1'!K42:K64))+(SUM('PC C1'!T42:T64)))/1000</f>
        <v>3.602094505875256</v>
      </c>
      <c r="H20" s="196"/>
      <c r="I20" s="79">
        <f>SUM('PC C1'!Q42:Q64)</f>
        <v>4.4742000000000006</v>
      </c>
      <c r="J20" s="196">
        <f>((SUM('PC C2'!K47:K69))+(SUM('PC C2'!T47:T69)))/1000</f>
        <v>3.6388206355006809</v>
      </c>
      <c r="K20" s="196"/>
      <c r="L20" s="80">
        <f>SUM('PC C2'!Q47:Q69)</f>
        <v>5.1015999999999995</v>
      </c>
      <c r="P20" s="10">
        <v>3</v>
      </c>
      <c r="Q20" s="10">
        <v>3.602094505875256</v>
      </c>
      <c r="S20" s="10">
        <v>4.4742000000000006</v>
      </c>
      <c r="T20" s="10">
        <v>3.6388206355006809</v>
      </c>
      <c r="V20" s="10">
        <v>5.1015999999999995</v>
      </c>
    </row>
    <row r="21" spans="6:22" ht="15" customHeight="1" x14ac:dyDescent="0.2">
      <c r="F21" s="78">
        <v>4</v>
      </c>
      <c r="G21" s="196">
        <f>((SUM('PC C1'!K65:K75))+(SUM('PC C1'!T65:T75)))/1000</f>
        <v>0.90718112006487961</v>
      </c>
      <c r="H21" s="196"/>
      <c r="I21" s="79">
        <f>SUM('PC C1'!Q65:Q75)</f>
        <v>1.2338000000000002</v>
      </c>
      <c r="J21" s="196">
        <f>((SUM('PC C2'!K70:K89))+(SUM('PC C2'!T70:T89)))/1000</f>
        <v>1.4565787109694524</v>
      </c>
      <c r="K21" s="196"/>
      <c r="L21" s="80">
        <f>SUM('PC C2'!Q70:Q89)</f>
        <v>2.620000000000001</v>
      </c>
      <c r="P21" s="10">
        <v>4</v>
      </c>
      <c r="Q21" s="10">
        <v>0.90718112006487961</v>
      </c>
      <c r="S21" s="10">
        <v>1.2338000000000002</v>
      </c>
      <c r="T21" s="10">
        <v>1.4565787109694524</v>
      </c>
      <c r="V21" s="10">
        <v>2.620000000000001</v>
      </c>
    </row>
    <row r="22" spans="6:22" ht="15" customHeight="1" thickBot="1" x14ac:dyDescent="0.25">
      <c r="F22" s="81">
        <v>5</v>
      </c>
      <c r="G22" s="191">
        <f>((SUM('PC C1'!K76:K102))+(SUM('PC C1'!T76:T102)))/1000</f>
        <v>77.638851325846417</v>
      </c>
      <c r="H22" s="191"/>
      <c r="I22" s="82">
        <f>SUM('PC C1'!Q76:Q102)</f>
        <v>84.327799999999996</v>
      </c>
      <c r="J22" s="191">
        <f>((SUM('PC C2'!K90:K116))+(SUM('PC C2'!T90:T116)))/1000</f>
        <v>74.733130916857704</v>
      </c>
      <c r="K22" s="191"/>
      <c r="L22" s="83">
        <f>SUM('PC C2'!Q90:Q116)</f>
        <v>55.986299999999986</v>
      </c>
      <c r="P22" s="10">
        <v>5</v>
      </c>
      <c r="Q22" s="10">
        <v>77.638851325846417</v>
      </c>
      <c r="S22" s="10">
        <v>84.327799999999996</v>
      </c>
      <c r="T22" s="10">
        <v>74.733130916857704</v>
      </c>
      <c r="V22" s="10">
        <v>55.986299999999986</v>
      </c>
    </row>
    <row r="23" spans="6:22" ht="15" customHeight="1" x14ac:dyDescent="0.2">
      <c r="F23" s="84"/>
      <c r="J23" s="190"/>
      <c r="K23" s="190"/>
    </row>
    <row r="24" spans="6:22" ht="15" customHeight="1" thickBot="1" x14ac:dyDescent="0.25">
      <c r="F24" s="84"/>
    </row>
    <row r="25" spans="6:22" ht="15" customHeight="1" x14ac:dyDescent="0.2">
      <c r="F25" s="85"/>
      <c r="G25" s="194"/>
      <c r="H25" s="195"/>
      <c r="I25" s="190"/>
      <c r="M25" s="10">
        <v>169</v>
      </c>
      <c r="N25" s="10">
        <v>100</v>
      </c>
    </row>
    <row r="26" spans="6:22" ht="15" customHeight="1" thickBot="1" x14ac:dyDescent="0.25">
      <c r="F26" s="86"/>
      <c r="G26" s="194"/>
      <c r="H26" s="195"/>
      <c r="I26" s="190"/>
      <c r="M26" s="10">
        <f>SUM(I22,L22)</f>
        <v>140.3141</v>
      </c>
      <c r="N26" s="10">
        <f>M26*N25/M25</f>
        <v>83.026094674556205</v>
      </c>
    </row>
    <row r="27" spans="6:22" ht="15" customHeight="1" thickBot="1" x14ac:dyDescent="0.25">
      <c r="F27" s="86"/>
      <c r="T27" s="246" t="s">
        <v>187</v>
      </c>
      <c r="U27" s="247"/>
      <c r="V27" s="248"/>
    </row>
    <row r="28" spans="6:22" ht="15" customHeight="1" x14ac:dyDescent="0.2">
      <c r="F28" s="86"/>
      <c r="G28" s="10" t="s">
        <v>72</v>
      </c>
      <c r="H28" s="10" t="s">
        <v>73</v>
      </c>
      <c r="T28" s="235" t="s">
        <v>71</v>
      </c>
      <c r="U28" s="237" t="s">
        <v>185</v>
      </c>
      <c r="V28" s="237" t="s">
        <v>186</v>
      </c>
    </row>
    <row r="29" spans="6:22" ht="17" thickBot="1" x14ac:dyDescent="0.25">
      <c r="F29" s="78">
        <v>1</v>
      </c>
      <c r="G29" s="10">
        <f>G18*0.002891016576</f>
        <v>4.9051819939497686E-3</v>
      </c>
      <c r="H29" s="10">
        <f>J18*0.002891016576</f>
        <v>6.0097983231047836E-3</v>
      </c>
      <c r="Q29" s="10" t="s">
        <v>184</v>
      </c>
      <c r="T29" s="236"/>
      <c r="U29" s="238"/>
      <c r="V29" s="238"/>
    </row>
    <row r="30" spans="6:22" ht="16" x14ac:dyDescent="0.2">
      <c r="F30" s="78">
        <v>2</v>
      </c>
      <c r="G30" s="10">
        <f t="shared" ref="G30:G33" si="0">G19*0.002891016576</f>
        <v>1.2161802371636292E-2</v>
      </c>
      <c r="H30" s="10">
        <f>J19*0.002891016576</f>
        <v>6.6898523079451881E-3</v>
      </c>
      <c r="N30" s="231">
        <f>206000*31</f>
        <v>6386000</v>
      </c>
      <c r="P30" s="10">
        <v>1</v>
      </c>
      <c r="Q30" s="10">
        <f>((Q18*$N$31*$N$32)/($N$33*$N$34))</f>
        <v>4.8962827571829631E-3</v>
      </c>
      <c r="R30" s="10">
        <f>(T18*$N$31*$N$32)/($N$33*$N$34)</f>
        <v>5.9988950338355938E-3</v>
      </c>
      <c r="T30" s="234">
        <v>1</v>
      </c>
      <c r="U30" s="240">
        <f>Q30*$N$30</f>
        <v>31267.661687370401</v>
      </c>
      <c r="V30" s="243">
        <f>R30*$N$30</f>
        <v>38308.943686074104</v>
      </c>
    </row>
    <row r="31" spans="6:22" ht="16" x14ac:dyDescent="0.2">
      <c r="F31" s="78">
        <v>3</v>
      </c>
      <c r="G31" s="10">
        <f t="shared" si="0"/>
        <v>1.0413714924803894E-2</v>
      </c>
      <c r="H31" s="10">
        <f>J20*0.002891016576</f>
        <v>1.0519890774323323E-2</v>
      </c>
      <c r="N31" s="10">
        <v>1E-3</v>
      </c>
      <c r="P31" s="10">
        <v>2</v>
      </c>
      <c r="Q31" s="10">
        <f t="shared" ref="Q31:Q34" si="1">((Q19*$N$31*$N$32)/($N$33*$N$34))</f>
        <v>1.2139737796060958E-2</v>
      </c>
      <c r="R31" s="10">
        <f t="shared" ref="R31:R34" si="2">(T19*$N$31*$N$32)/($N$33*$N$34)</f>
        <v>6.6777152293012575E-3</v>
      </c>
      <c r="T31" s="239">
        <v>2</v>
      </c>
      <c r="U31" s="241">
        <f t="shared" ref="U31:U34" si="3">Q31*$N$30</f>
        <v>77524.365565645276</v>
      </c>
      <c r="V31" s="244">
        <f t="shared" ref="V31:V34" si="4">R31*$N$30</f>
        <v>42643.889454317832</v>
      </c>
    </row>
    <row r="32" spans="6:22" ht="16" x14ac:dyDescent="0.2">
      <c r="F32" s="78">
        <v>4</v>
      </c>
      <c r="G32" s="10">
        <f t="shared" si="0"/>
        <v>2.6226756555418132E-3</v>
      </c>
      <c r="H32" s="10">
        <f>J21*0.002891016576</f>
        <v>4.2109931976613999E-3</v>
      </c>
      <c r="N32" s="10">
        <v>86400</v>
      </c>
      <c r="P32" s="10">
        <v>3</v>
      </c>
      <c r="Q32" s="10">
        <f t="shared" si="1"/>
        <v>1.0394821820561862E-2</v>
      </c>
      <c r="R32" s="10">
        <f t="shared" si="2"/>
        <v>1.0500805040322605E-2</v>
      </c>
      <c r="T32" s="239">
        <v>3</v>
      </c>
      <c r="U32" s="241">
        <f t="shared" si="3"/>
        <v>66381.332146108049</v>
      </c>
      <c r="V32" s="244">
        <f t="shared" si="4"/>
        <v>67058.140987500155</v>
      </c>
    </row>
    <row r="33" spans="6:22" ht="17" thickBot="1" x14ac:dyDescent="0.25">
      <c r="F33" s="81">
        <v>5</v>
      </c>
      <c r="G33" s="10">
        <f t="shared" si="0"/>
        <v>0.22445520612462158</v>
      </c>
      <c r="H33" s="10">
        <f>J22*0.002891016576</f>
        <v>0.21605472025701369</v>
      </c>
      <c r="N33" s="10">
        <v>29.94</v>
      </c>
      <c r="P33" s="10">
        <v>4</v>
      </c>
      <c r="Q33" s="10">
        <f t="shared" si="1"/>
        <v>2.6179174607082701E-3</v>
      </c>
      <c r="R33" s="10">
        <f t="shared" si="2"/>
        <v>4.2033533943807841E-3</v>
      </c>
      <c r="T33" s="239">
        <v>4</v>
      </c>
      <c r="U33" s="241">
        <f t="shared" si="3"/>
        <v>16718.020904083012</v>
      </c>
      <c r="V33" s="244">
        <f t="shared" si="4"/>
        <v>26842.614776515686</v>
      </c>
    </row>
    <row r="34" spans="6:22" ht="16" thickBot="1" x14ac:dyDescent="0.25">
      <c r="N34" s="10">
        <v>1000</v>
      </c>
      <c r="P34" s="10">
        <v>5</v>
      </c>
      <c r="Q34" s="10">
        <f t="shared" si="1"/>
        <v>0.22404798779402571</v>
      </c>
      <c r="R34" s="10">
        <f t="shared" si="2"/>
        <v>0.21566274252560141</v>
      </c>
      <c r="T34" s="233">
        <v>5</v>
      </c>
      <c r="U34" s="242">
        <f t="shared" si="3"/>
        <v>1430770.4500526481</v>
      </c>
      <c r="V34" s="245">
        <f t="shared" si="4"/>
        <v>1377222.2737684906</v>
      </c>
    </row>
  </sheetData>
  <mergeCells count="28">
    <mergeCell ref="U28:U29"/>
    <mergeCell ref="V28:V29"/>
    <mergeCell ref="T28:T29"/>
    <mergeCell ref="T27:V27"/>
    <mergeCell ref="I10:J11"/>
    <mergeCell ref="I12:J13"/>
    <mergeCell ref="I14:I15"/>
    <mergeCell ref="J14:K15"/>
    <mergeCell ref="L14:L15"/>
    <mergeCell ref="L16:L17"/>
    <mergeCell ref="J18:K18"/>
    <mergeCell ref="J19:K19"/>
    <mergeCell ref="J20:K20"/>
    <mergeCell ref="J16:K17"/>
    <mergeCell ref="I25:I26"/>
    <mergeCell ref="J22:K22"/>
    <mergeCell ref="J23:K23"/>
    <mergeCell ref="F14:F17"/>
    <mergeCell ref="G25:H26"/>
    <mergeCell ref="G18:H18"/>
    <mergeCell ref="G19:H19"/>
    <mergeCell ref="G20:H20"/>
    <mergeCell ref="G21:H21"/>
    <mergeCell ref="G22:H22"/>
    <mergeCell ref="J21:K21"/>
    <mergeCell ref="G14:H15"/>
    <mergeCell ref="G16:H17"/>
    <mergeCell ref="I16:I17"/>
  </mergeCells>
  <pageMargins left="0.7" right="0.7" top="0.75" bottom="0.75" header="0.3" footer="0.3"/>
  <pageSetup orientation="portrait" horizontalDpi="4294967292" verticalDpi="0" r:id="rId1"/>
  <ignoredErrors>
    <ignoredError sqref="I18:I22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F0825-1209-4406-9084-F9F538E546ED}">
  <dimension ref="A1:R33"/>
  <sheetViews>
    <sheetView topLeftCell="C7" zoomScale="109" zoomScaleNormal="100" workbookViewId="0">
      <selection activeCell="D29" sqref="D29"/>
    </sheetView>
  </sheetViews>
  <sheetFormatPr baseColWidth="10" defaultColWidth="11.5" defaultRowHeight="15" x14ac:dyDescent="0.2"/>
  <cols>
    <col min="1" max="6" width="11.5" style="10"/>
    <col min="7" max="7" width="12" style="10" bestFit="1" customWidth="1"/>
    <col min="8" max="8" width="11.5" style="10"/>
    <col min="9" max="9" width="20.5" style="10" customWidth="1"/>
    <col min="10" max="11" width="11.5" style="10"/>
    <col min="12" max="12" width="21.1640625" style="10" customWidth="1"/>
    <col min="13" max="15" width="11.5" style="10"/>
    <col min="16" max="16" width="12.1640625" style="10" bestFit="1" customWidth="1"/>
    <col min="17" max="17" width="11.83203125" style="10" bestFit="1" customWidth="1"/>
    <col min="18" max="16384" width="11.5" style="10"/>
  </cols>
  <sheetData>
    <row r="1" spans="1:17" x14ac:dyDescent="0.2">
      <c r="A1" s="93"/>
      <c r="B1" s="93"/>
      <c r="C1" s="93"/>
      <c r="D1" s="93"/>
      <c r="E1" s="93"/>
      <c r="F1" s="93"/>
      <c r="G1" s="93"/>
      <c r="H1" s="93"/>
    </row>
    <row r="2" spans="1:17" x14ac:dyDescent="0.2">
      <c r="A2" s="93"/>
      <c r="B2" s="93"/>
      <c r="C2" s="93"/>
      <c r="D2" s="93"/>
      <c r="E2" s="93"/>
      <c r="F2" s="93"/>
      <c r="G2" s="93"/>
      <c r="H2" s="93"/>
    </row>
    <row r="3" spans="1:17" x14ac:dyDescent="0.2">
      <c r="A3" s="93"/>
      <c r="B3" s="93"/>
      <c r="C3" s="93"/>
      <c r="D3" s="93"/>
      <c r="E3" s="93"/>
      <c r="F3" s="93"/>
      <c r="G3" s="93"/>
      <c r="H3" s="93"/>
    </row>
    <row r="4" spans="1:17" x14ac:dyDescent="0.2">
      <c r="A4" s="77"/>
      <c r="B4" s="77"/>
      <c r="C4" s="77"/>
      <c r="D4" s="77"/>
      <c r="E4" s="77"/>
      <c r="F4" s="77"/>
      <c r="G4" s="93"/>
      <c r="H4" s="93"/>
    </row>
    <row r="5" spans="1:17" x14ac:dyDescent="0.2">
      <c r="A5" s="77" t="s">
        <v>65</v>
      </c>
      <c r="B5" s="77" t="s">
        <v>64</v>
      </c>
      <c r="C5" s="77"/>
      <c r="D5" s="77"/>
      <c r="E5" s="77"/>
      <c r="F5" s="77"/>
      <c r="G5" s="93"/>
      <c r="H5" s="93"/>
    </row>
    <row r="6" spans="1:17" x14ac:dyDescent="0.2">
      <c r="A6" s="77">
        <v>1</v>
      </c>
      <c r="B6" s="77">
        <f>SUM('PC C1 aislante'!U9:V10)</f>
        <v>9466.8725772168691</v>
      </c>
      <c r="C6" s="77">
        <f>B6/1000</f>
        <v>9.4668725772168685</v>
      </c>
      <c r="D6" s="77"/>
      <c r="E6" s="77">
        <f>B6+B7</f>
        <v>17765.491896708052</v>
      </c>
      <c r="F6" s="77"/>
      <c r="G6" s="93"/>
      <c r="H6" s="93"/>
    </row>
    <row r="7" spans="1:17" x14ac:dyDescent="0.2">
      <c r="A7" s="77">
        <v>2</v>
      </c>
      <c r="B7" s="77">
        <f>SUM('PC C2 aislante'!U9:V10)</f>
        <v>8298.6193194911848</v>
      </c>
      <c r="C7" s="77">
        <f>B7/1000</f>
        <v>8.2986193194911841</v>
      </c>
      <c r="D7" s="77"/>
      <c r="E7" s="77">
        <f>E6/1000</f>
        <v>17.765491896708053</v>
      </c>
      <c r="F7" s="77"/>
      <c r="G7" s="93"/>
      <c r="H7" s="93"/>
    </row>
    <row r="8" spans="1:17" x14ac:dyDescent="0.2">
      <c r="A8" s="77"/>
      <c r="B8" s="77"/>
      <c r="C8" s="77"/>
      <c r="D8" s="77"/>
      <c r="E8" s="77"/>
      <c r="F8" s="77"/>
      <c r="G8" s="93"/>
      <c r="H8" s="93"/>
    </row>
    <row r="9" spans="1:17" ht="16" thickBot="1" x14ac:dyDescent="0.25">
      <c r="A9" s="93"/>
      <c r="B9" s="93"/>
      <c r="C9" s="93"/>
      <c r="D9" s="93"/>
      <c r="E9" s="93"/>
      <c r="F9" s="93"/>
      <c r="G9" s="93"/>
      <c r="H9" s="93"/>
    </row>
    <row r="10" spans="1:17" x14ac:dyDescent="0.2">
      <c r="A10" s="93"/>
      <c r="B10" s="93"/>
      <c r="C10" s="93"/>
      <c r="D10" s="93"/>
      <c r="E10" s="93"/>
      <c r="F10" s="93"/>
      <c r="G10" s="93"/>
      <c r="H10" s="93"/>
      <c r="I10" s="201" t="s">
        <v>66</v>
      </c>
      <c r="J10" s="202"/>
    </row>
    <row r="11" spans="1:17" ht="15" customHeight="1" x14ac:dyDescent="0.2">
      <c r="A11" s="93"/>
      <c r="B11" s="93"/>
      <c r="C11" s="93"/>
      <c r="D11" s="93"/>
      <c r="E11" s="93"/>
      <c r="F11" s="93"/>
      <c r="G11" s="93"/>
      <c r="H11" s="93"/>
      <c r="I11" s="203"/>
      <c r="J11" s="204"/>
    </row>
    <row r="12" spans="1:17" x14ac:dyDescent="0.2">
      <c r="A12" s="93"/>
      <c r="B12" s="93"/>
      <c r="C12" s="93"/>
      <c r="D12" s="93"/>
      <c r="E12" s="93"/>
      <c r="F12" s="93"/>
      <c r="G12" s="93"/>
      <c r="H12" s="93"/>
      <c r="I12" s="205">
        <f>E7</f>
        <v>17.765491896708053</v>
      </c>
      <c r="J12" s="200"/>
      <c r="Q12" s="10">
        <f>206000*31</f>
        <v>6386000</v>
      </c>
    </row>
    <row r="13" spans="1:17" ht="16" thickBot="1" x14ac:dyDescent="0.25">
      <c r="A13" s="93"/>
      <c r="B13" s="93"/>
      <c r="C13" s="93"/>
      <c r="D13" s="93"/>
      <c r="E13" s="93"/>
      <c r="F13" s="93"/>
      <c r="G13" s="93"/>
      <c r="H13" s="93"/>
      <c r="I13" s="211"/>
      <c r="J13" s="212"/>
    </row>
    <row r="14" spans="1:17" ht="15" customHeight="1" x14ac:dyDescent="0.2">
      <c r="F14" s="192" t="s">
        <v>71</v>
      </c>
      <c r="G14" s="197" t="s">
        <v>67</v>
      </c>
      <c r="H14" s="197"/>
      <c r="I14" s="197" t="s">
        <v>79</v>
      </c>
      <c r="J14" s="197" t="s">
        <v>68</v>
      </c>
      <c r="K14" s="197"/>
      <c r="L14" s="209" t="s">
        <v>79</v>
      </c>
    </row>
    <row r="15" spans="1:17" ht="15" customHeight="1" x14ac:dyDescent="0.2">
      <c r="F15" s="193"/>
      <c r="G15" s="198"/>
      <c r="H15" s="198"/>
      <c r="I15" s="198"/>
      <c r="J15" s="198"/>
      <c r="K15" s="198"/>
      <c r="L15" s="210"/>
    </row>
    <row r="16" spans="1:17" ht="15" customHeight="1" x14ac:dyDescent="0.2">
      <c r="F16" s="193"/>
      <c r="G16" s="199">
        <f>C6</f>
        <v>9.4668725772168685</v>
      </c>
      <c r="H16" s="199"/>
      <c r="I16" s="213">
        <f>100-(($G$16*100)/(SUM('Cuantificación PC niveles'!G16:H17)))</f>
        <v>89.248492261186726</v>
      </c>
      <c r="J16" s="199">
        <f>C7</f>
        <v>8.2986193194911841</v>
      </c>
      <c r="K16" s="199"/>
      <c r="L16" s="215">
        <f>100-(($J$16*100)/(SUM('Cuantificación PC niveles'!J16:K17)))</f>
        <v>90.146653429032995</v>
      </c>
    </row>
    <row r="17" spans="6:18" ht="15" customHeight="1" x14ac:dyDescent="0.2">
      <c r="F17" s="193"/>
      <c r="G17" s="199"/>
      <c r="H17" s="199"/>
      <c r="I17" s="214"/>
      <c r="J17" s="199"/>
      <c r="K17" s="199"/>
      <c r="L17" s="215"/>
      <c r="Q17" s="230"/>
      <c r="R17" s="229"/>
    </row>
    <row r="18" spans="6:18" ht="15" customHeight="1" x14ac:dyDescent="0.2">
      <c r="F18" s="78">
        <v>1</v>
      </c>
      <c r="G18" s="196">
        <f>(SUM('PC C1 aislante'!P4:P22))/1000</f>
        <v>0.19044227182992041</v>
      </c>
      <c r="H18" s="196"/>
      <c r="I18" s="94">
        <f>100-(G18*100/(SUM('Cuantificación PC niveles'!G18:H18)))</f>
        <v>88.77571178173423</v>
      </c>
      <c r="J18" s="196">
        <f>(SUM('PC C2 aislante'!P4:P25))/1000</f>
        <v>0.19477430560270689</v>
      </c>
      <c r="K18" s="196"/>
      <c r="L18" s="96">
        <f>100-(J18*100/(SUM('Cuantificación PC niveles'!J18:K18)))</f>
        <v>90.630372005804531</v>
      </c>
      <c r="P18" s="231"/>
      <c r="Q18" s="232"/>
      <c r="R18" s="229"/>
    </row>
    <row r="19" spans="6:18" ht="15" customHeight="1" x14ac:dyDescent="0.2">
      <c r="F19" s="78">
        <v>2</v>
      </c>
      <c r="G19" s="196">
        <f>(SUM('PC C1 aislante'!P23:P41))/1000</f>
        <v>0.46312805345204311</v>
      </c>
      <c r="H19" s="196"/>
      <c r="I19" s="94">
        <f>100-(G19*100/(SUM('Cuantificación PC niveles'!G19:H19)))</f>
        <v>88.990851533132343</v>
      </c>
      <c r="J19" s="196">
        <f>(SUM('PC C2 aislante'!P26:P46))/1000</f>
        <v>0.21209145217781358</v>
      </c>
      <c r="K19" s="196"/>
      <c r="L19" s="96">
        <f>100-(J19*100/(SUM('Cuantificación PC niveles'!J19:K19)))</f>
        <v>90.834477718652295</v>
      </c>
      <c r="P19" s="231"/>
      <c r="Q19" s="232"/>
    </row>
    <row r="20" spans="6:18" ht="15" customHeight="1" x14ac:dyDescent="0.2">
      <c r="F20" s="78">
        <v>3</v>
      </c>
      <c r="G20" s="196">
        <f>(SUM('PC C1 aislante'!P42:P64))/1000</f>
        <v>0.39587074204331724</v>
      </c>
      <c r="H20" s="196"/>
      <c r="I20" s="94">
        <f>100-(G20*100/(SUM('Cuantificación PC niveles'!G20:H20)))</f>
        <v>89.009984568766157</v>
      </c>
      <c r="J20" s="196">
        <f>(SUM('PC C2 aislante'!P47:P69))/1000</f>
        <v>0.34233489798380229</v>
      </c>
      <c r="K20" s="196"/>
      <c r="L20" s="96">
        <f>100-(J20*100/(SUM('Cuantificación PC niveles'!J20:K20)))</f>
        <v>90.592146954319475</v>
      </c>
      <c r="P20" s="231"/>
      <c r="Q20" s="232"/>
    </row>
    <row r="21" spans="6:18" ht="15" customHeight="1" x14ac:dyDescent="0.2">
      <c r="F21" s="78">
        <v>4</v>
      </c>
      <c r="G21" s="196">
        <f>(SUM('PC C1 aislante'!P65:P75))/1000</f>
        <v>9.7665187854039687E-2</v>
      </c>
      <c r="H21" s="196"/>
      <c r="I21" s="94">
        <f>100-(G21*100/(SUM('Cuantificación PC niveles'!G21:H21)))</f>
        <v>89.23421291582271</v>
      </c>
      <c r="J21" s="196">
        <v>0.139282005907544</v>
      </c>
      <c r="K21" s="196"/>
      <c r="L21" s="96">
        <f>100-(J21*100/(SUM('Cuantificación PC niveles'!J21:K21)))</f>
        <v>90.437728846466371</v>
      </c>
      <c r="P21" s="231"/>
      <c r="Q21" s="232"/>
    </row>
    <row r="22" spans="6:18" ht="15" customHeight="1" thickBot="1" x14ac:dyDescent="0.25">
      <c r="F22" s="81">
        <v>5</v>
      </c>
      <c r="G22" s="191">
        <f>(SUM('PC C1 aislante'!P76:P102))/1000</f>
        <v>8.31976632203755</v>
      </c>
      <c r="H22" s="191"/>
      <c r="I22" s="95">
        <f>100-(G22*100/(SUM('Cuantificación PC niveles'!G22:H22)))</f>
        <v>89.28401672621365</v>
      </c>
      <c r="J22" s="191">
        <f>(SUM('PC C2 aislante'!P90:P116))/1000</f>
        <v>7.1001366578193181</v>
      </c>
      <c r="K22" s="191"/>
      <c r="L22" s="97">
        <f>100-(J22*100/(SUM('Cuantificación PC niveles'!J22:K22)))</f>
        <v>90.499345376392199</v>
      </c>
      <c r="P22" s="231"/>
      <c r="Q22" s="232"/>
    </row>
    <row r="23" spans="6:18" ht="15" customHeight="1" x14ac:dyDescent="0.2">
      <c r="F23" s="84"/>
      <c r="J23" s="190"/>
      <c r="K23" s="190"/>
    </row>
    <row r="24" spans="6:18" ht="15" customHeight="1" thickBot="1" x14ac:dyDescent="0.25">
      <c r="F24" s="84"/>
    </row>
    <row r="25" spans="6:18" ht="15" customHeight="1" x14ac:dyDescent="0.2">
      <c r="F25" s="85"/>
      <c r="G25" s="194"/>
      <c r="H25" s="195"/>
      <c r="I25" s="190"/>
    </row>
    <row r="26" spans="6:18" ht="15" customHeight="1" x14ac:dyDescent="0.2">
      <c r="F26" s="86"/>
      <c r="G26" s="194"/>
      <c r="H26" s="195"/>
      <c r="I26" s="190"/>
    </row>
    <row r="27" spans="6:18" ht="15" customHeight="1" x14ac:dyDescent="0.2">
      <c r="F27" s="86"/>
      <c r="N27" s="10" t="s">
        <v>72</v>
      </c>
      <c r="O27" s="10" t="s">
        <v>80</v>
      </c>
      <c r="P27" s="10" t="s">
        <v>73</v>
      </c>
      <c r="Q27" s="10" t="s">
        <v>81</v>
      </c>
    </row>
    <row r="28" spans="6:18" ht="15" customHeight="1" x14ac:dyDescent="0.2">
      <c r="F28" s="86"/>
      <c r="G28" s="10" t="s">
        <v>72</v>
      </c>
      <c r="H28" s="10" t="s">
        <v>73</v>
      </c>
      <c r="M28" s="10">
        <v>1</v>
      </c>
      <c r="N28" s="88">
        <v>4.9051819939497686E-3</v>
      </c>
      <c r="O28" s="88">
        <v>5.5057176463139772E-4</v>
      </c>
      <c r="P28" s="88">
        <v>6.0097983231047836E-3</v>
      </c>
      <c r="Q28" s="88">
        <v>5.6309574607631531E-4</v>
      </c>
    </row>
    <row r="29" spans="6:18" ht="16" x14ac:dyDescent="0.2">
      <c r="F29" s="78">
        <v>1</v>
      </c>
      <c r="G29" s="10">
        <f>G18*0.002891016576</f>
        <v>5.5057176463139772E-4</v>
      </c>
      <c r="H29" s="10">
        <f>J18*0.002891016576</f>
        <v>5.6309574607631531E-4</v>
      </c>
      <c r="M29" s="10">
        <v>2</v>
      </c>
      <c r="N29" s="88">
        <v>1.2161802371636292E-2</v>
      </c>
      <c r="O29" s="88">
        <v>1.3389108793404707E-3</v>
      </c>
      <c r="P29" s="88">
        <v>6.6898523079451881E-3</v>
      </c>
      <c r="Q29" s="88">
        <v>6.1315990387397041E-4</v>
      </c>
    </row>
    <row r="30" spans="6:18" ht="16" x14ac:dyDescent="0.2">
      <c r="F30" s="78">
        <v>2</v>
      </c>
      <c r="G30" s="10">
        <f t="shared" ref="G30:G33" si="0">G19*0.002891016576</f>
        <v>1.3389108793404707E-3</v>
      </c>
      <c r="H30" s="10">
        <f>J19*0.002891016576</f>
        <v>6.1315990387397041E-4</v>
      </c>
      <c r="M30" s="10">
        <v>3</v>
      </c>
      <c r="N30" s="88">
        <v>1.0413714924803894E-2</v>
      </c>
      <c r="O30" s="88">
        <v>1.1444688772006503E-3</v>
      </c>
      <c r="P30" s="88">
        <v>1.0519890774323323E-2</v>
      </c>
      <c r="Q30" s="88">
        <v>9.8969586461444131E-4</v>
      </c>
    </row>
    <row r="31" spans="6:18" ht="16" x14ac:dyDescent="0.2">
      <c r="F31" s="78">
        <v>3</v>
      </c>
      <c r="G31" s="10">
        <f>G20*0.002891016576</f>
        <v>1.1444688772006503E-3</v>
      </c>
      <c r="H31" s="10">
        <f>J20*0.002891016576</f>
        <v>9.8969586461444131E-4</v>
      </c>
      <c r="M31" s="10">
        <v>4</v>
      </c>
      <c r="N31" s="88">
        <v>2.6226756555418132E-3</v>
      </c>
      <c r="O31" s="88">
        <v>2.823516769841826E-4</v>
      </c>
      <c r="P31" s="88">
        <v>4.2109931976613999E-3</v>
      </c>
      <c r="Q31" s="88">
        <v>4.0266658781723964E-4</v>
      </c>
    </row>
    <row r="32" spans="6:18" ht="16" x14ac:dyDescent="0.2">
      <c r="F32" s="78">
        <v>4</v>
      </c>
      <c r="G32" s="10">
        <f t="shared" si="0"/>
        <v>2.823516769841826E-4</v>
      </c>
      <c r="H32" s="10">
        <f>J21*0.002891016576</f>
        <v>4.0266658781723964E-4</v>
      </c>
      <c r="M32" s="10">
        <v>5</v>
      </c>
      <c r="N32" s="89">
        <v>0.22445520612462158</v>
      </c>
      <c r="O32" s="89">
        <v>2.405258234545711E-2</v>
      </c>
      <c r="P32" s="89">
        <v>0.21605472025701369</v>
      </c>
      <c r="Q32" s="89">
        <v>2.0526612769620887E-2</v>
      </c>
    </row>
    <row r="33" spans="6:8" ht="17" thickBot="1" x14ac:dyDescent="0.25">
      <c r="F33" s="81">
        <v>5</v>
      </c>
      <c r="G33" s="10">
        <f t="shared" si="0"/>
        <v>2.405258234545711E-2</v>
      </c>
      <c r="H33" s="10">
        <f>J22*0.002891016576</f>
        <v>2.0526612769620887E-2</v>
      </c>
    </row>
  </sheetData>
  <mergeCells count="24">
    <mergeCell ref="G22:H22"/>
    <mergeCell ref="J22:K22"/>
    <mergeCell ref="J23:K23"/>
    <mergeCell ref="G25:H26"/>
    <mergeCell ref="I25:I26"/>
    <mergeCell ref="G19:H19"/>
    <mergeCell ref="J19:K19"/>
    <mergeCell ref="G20:H20"/>
    <mergeCell ref="J20:K20"/>
    <mergeCell ref="G21:H21"/>
    <mergeCell ref="J21:K21"/>
    <mergeCell ref="L14:L15"/>
    <mergeCell ref="G16:H17"/>
    <mergeCell ref="I16:I17"/>
    <mergeCell ref="J16:K17"/>
    <mergeCell ref="L16:L17"/>
    <mergeCell ref="G18:H18"/>
    <mergeCell ref="J18:K18"/>
    <mergeCell ref="I10:J11"/>
    <mergeCell ref="I12:J13"/>
    <mergeCell ref="F14:F17"/>
    <mergeCell ref="G14:H15"/>
    <mergeCell ref="I14:I15"/>
    <mergeCell ref="J14:K15"/>
  </mergeCells>
  <pageMargins left="0.7" right="0.7" top="0.75" bottom="0.75" header="0.3" footer="0.3"/>
  <pageSetup orientation="portrait" horizontalDpi="4294967292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E642E-ED93-457C-8AA4-2FEB72FC95CA}">
  <dimension ref="B2:T21"/>
  <sheetViews>
    <sheetView topLeftCell="A4" zoomScale="70" zoomScaleNormal="70" workbookViewId="0">
      <selection activeCell="R10" sqref="R10"/>
    </sheetView>
  </sheetViews>
  <sheetFormatPr baseColWidth="10" defaultColWidth="11.5" defaultRowHeight="15" x14ac:dyDescent="0.2"/>
  <cols>
    <col min="1" max="7" width="11.5" style="10"/>
    <col min="8" max="8" width="23.6640625" style="10" bestFit="1" customWidth="1"/>
    <col min="9" max="16384" width="11.5" style="10"/>
  </cols>
  <sheetData>
    <row r="2" spans="2:20" x14ac:dyDescent="0.2">
      <c r="B2" s="218" t="s">
        <v>41</v>
      </c>
      <c r="C2" s="218"/>
      <c r="D2" s="218"/>
      <c r="E2" s="218"/>
      <c r="F2" s="218"/>
      <c r="G2" s="218"/>
      <c r="H2" s="218"/>
      <c r="I2" s="218"/>
    </row>
    <row r="3" spans="2:20" x14ac:dyDescent="0.2">
      <c r="B3" s="218"/>
      <c r="C3" s="218"/>
      <c r="D3" s="218"/>
      <c r="E3" s="218"/>
      <c r="F3" s="218"/>
      <c r="G3" s="218"/>
      <c r="H3" s="218"/>
      <c r="I3" s="218"/>
    </row>
    <row r="4" spans="2:20" x14ac:dyDescent="0.2">
      <c r="B4" s="218"/>
      <c r="C4" s="218"/>
      <c r="D4" s="218"/>
      <c r="E4" s="218"/>
      <c r="F4" s="218"/>
      <c r="G4" s="218"/>
      <c r="H4" s="218"/>
      <c r="I4" s="218"/>
      <c r="L4" s="220" t="s">
        <v>42</v>
      </c>
      <c r="M4" s="220"/>
      <c r="N4" s="220"/>
      <c r="O4" s="220"/>
      <c r="P4" s="220"/>
      <c r="Q4" s="220"/>
      <c r="R4" s="220"/>
      <c r="S4" s="220"/>
      <c r="T4" s="220"/>
    </row>
    <row r="5" spans="2:20" ht="16" thickBot="1" x14ac:dyDescent="0.25">
      <c r="B5" s="219"/>
      <c r="C5" s="219"/>
      <c r="D5" s="219"/>
      <c r="E5" s="219"/>
      <c r="F5" s="219"/>
      <c r="G5" s="219"/>
      <c r="H5" s="219"/>
      <c r="I5" s="219"/>
      <c r="L5" s="220"/>
      <c r="M5" s="220"/>
      <c r="N5" s="220"/>
      <c r="O5" s="220"/>
      <c r="P5" s="220"/>
      <c r="Q5" s="220"/>
      <c r="R5" s="220"/>
      <c r="S5" s="220"/>
      <c r="T5" s="220"/>
    </row>
    <row r="6" spans="2:20" ht="16" thickBot="1" x14ac:dyDescent="0.25">
      <c r="L6" s="221"/>
      <c r="M6" s="221"/>
      <c r="N6" s="221"/>
      <c r="O6" s="221"/>
      <c r="P6" s="221"/>
      <c r="Q6" s="221"/>
      <c r="R6" s="221"/>
      <c r="S6" s="221"/>
      <c r="T6" s="221"/>
    </row>
    <row r="7" spans="2:20" ht="21" x14ac:dyDescent="0.2">
      <c r="B7" s="222" t="s">
        <v>43</v>
      </c>
      <c r="C7" s="222"/>
      <c r="D7" s="222"/>
      <c r="E7" s="222"/>
      <c r="H7" s="47">
        <v>42972000</v>
      </c>
    </row>
    <row r="8" spans="2:20" ht="31" x14ac:dyDescent="0.2">
      <c r="B8" s="222"/>
      <c r="C8" s="222"/>
      <c r="D8" s="222"/>
      <c r="E8" s="222"/>
      <c r="H8" s="47"/>
      <c r="L8" s="223" t="s">
        <v>44</v>
      </c>
      <c r="M8" s="223"/>
      <c r="N8" s="223"/>
      <c r="Q8" s="48"/>
      <c r="R8" s="224">
        <f>SUM('Perdidas y recuperacion de carb'!D7:G8)*206000*31</f>
        <v>3180507.9362528231</v>
      </c>
      <c r="S8" s="224"/>
      <c r="T8" s="224"/>
    </row>
    <row r="9" spans="2:20" ht="31" x14ac:dyDescent="0.2">
      <c r="B9" s="49"/>
      <c r="C9" s="49"/>
      <c r="D9" s="49"/>
      <c r="E9" s="49"/>
      <c r="L9" s="223"/>
      <c r="M9" s="223"/>
      <c r="N9" s="223"/>
      <c r="Q9" s="48"/>
      <c r="R9" s="224"/>
      <c r="S9" s="224"/>
      <c r="T9" s="224"/>
    </row>
    <row r="10" spans="2:20" ht="21" x14ac:dyDescent="0.25">
      <c r="B10" s="222" t="s">
        <v>45</v>
      </c>
      <c r="C10" s="222"/>
      <c r="D10" s="222"/>
      <c r="E10" s="222"/>
      <c r="H10" s="50">
        <v>1523000</v>
      </c>
    </row>
    <row r="11" spans="2:20" ht="21" customHeight="1" x14ac:dyDescent="0.25">
      <c r="B11" s="222"/>
      <c r="C11" s="222"/>
      <c r="D11" s="222"/>
      <c r="E11" s="222"/>
      <c r="H11" s="50"/>
      <c r="L11" s="226" t="s">
        <v>56</v>
      </c>
      <c r="M11" s="226"/>
      <c r="N11" s="226"/>
      <c r="R11" s="225">
        <f>(SUM('Perdidas y recuperacion de carb'!D10:G11))*206000*31</f>
        <v>327987.07730497222</v>
      </c>
      <c r="S11" s="225"/>
      <c r="T11" s="225"/>
    </row>
    <row r="12" spans="2:20" ht="15" customHeight="1" x14ac:dyDescent="0.2">
      <c r="B12" s="49"/>
      <c r="C12" s="49"/>
      <c r="D12" s="49"/>
      <c r="E12" s="49"/>
      <c r="L12" s="226"/>
      <c r="M12" s="226"/>
      <c r="N12" s="226"/>
      <c r="R12" s="225"/>
      <c r="S12" s="225"/>
      <c r="T12" s="225"/>
    </row>
    <row r="13" spans="2:20" ht="21" x14ac:dyDescent="0.2">
      <c r="B13" s="216" t="s">
        <v>46</v>
      </c>
      <c r="C13" s="216"/>
      <c r="D13" s="216"/>
      <c r="E13" s="216"/>
      <c r="H13" s="47">
        <v>5746408</v>
      </c>
      <c r="L13" s="226"/>
      <c r="M13" s="226"/>
      <c r="N13" s="226"/>
    </row>
    <row r="14" spans="2:20" ht="21" x14ac:dyDescent="0.2">
      <c r="B14" s="216"/>
      <c r="C14" s="216"/>
      <c r="D14" s="216"/>
      <c r="E14" s="216"/>
      <c r="H14" s="47"/>
    </row>
    <row r="15" spans="2:20" x14ac:dyDescent="0.2">
      <c r="B15" s="51"/>
      <c r="C15" s="51"/>
      <c r="D15" s="51"/>
      <c r="E15" s="51"/>
    </row>
    <row r="16" spans="2:20" ht="21" x14ac:dyDescent="0.25">
      <c r="B16" s="216" t="s">
        <v>47</v>
      </c>
      <c r="C16" s="216"/>
      <c r="D16" s="216"/>
      <c r="E16" s="216"/>
      <c r="H16" s="50">
        <v>14900250</v>
      </c>
      <c r="L16" s="226" t="s">
        <v>63</v>
      </c>
      <c r="M16" s="226"/>
      <c r="N16" s="226"/>
    </row>
    <row r="17" spans="2:20" ht="21" x14ac:dyDescent="0.25">
      <c r="B17" s="216"/>
      <c r="C17" s="216"/>
      <c r="D17" s="216"/>
      <c r="E17" s="216"/>
      <c r="G17" s="50"/>
      <c r="H17" s="50"/>
      <c r="L17" s="226"/>
      <c r="M17" s="226"/>
      <c r="N17" s="226"/>
      <c r="R17" s="227">
        <f>R8-R11</f>
        <v>2852520.8589478508</v>
      </c>
      <c r="S17" s="228"/>
      <c r="T17" s="228"/>
    </row>
    <row r="18" spans="2:20" x14ac:dyDescent="0.2">
      <c r="G18" s="11"/>
      <c r="H18" s="11"/>
      <c r="I18" s="11"/>
      <c r="L18" s="226"/>
      <c r="M18" s="226"/>
      <c r="N18" s="226"/>
      <c r="R18" s="228"/>
      <c r="S18" s="228"/>
      <c r="T18" s="228"/>
    </row>
    <row r="19" spans="2:20" x14ac:dyDescent="0.2">
      <c r="L19" s="226"/>
      <c r="M19" s="226"/>
      <c r="N19" s="226"/>
    </row>
    <row r="20" spans="2:20" ht="21" thickBot="1" x14ac:dyDescent="0.25">
      <c r="G20" s="217" t="s">
        <v>48</v>
      </c>
      <c r="H20" s="52">
        <f>SUM(G7:H17)</f>
        <v>65141658</v>
      </c>
      <c r="J20" s="53"/>
      <c r="L20" s="45"/>
      <c r="M20" s="45"/>
      <c r="N20" s="45"/>
      <c r="O20" s="45"/>
      <c r="P20" s="45"/>
      <c r="Q20" s="45"/>
      <c r="R20" s="45"/>
      <c r="S20" s="45"/>
      <c r="T20" s="45"/>
    </row>
    <row r="21" spans="2:20" ht="20" x14ac:dyDescent="0.2">
      <c r="G21" s="217"/>
      <c r="H21" s="53"/>
      <c r="I21" s="53"/>
      <c r="J21" s="53"/>
    </row>
  </sheetData>
  <mergeCells count="13">
    <mergeCell ref="B13:E14"/>
    <mergeCell ref="B16:E17"/>
    <mergeCell ref="G20:G21"/>
    <mergeCell ref="B2:I5"/>
    <mergeCell ref="L4:T6"/>
    <mergeCell ref="B7:E8"/>
    <mergeCell ref="L8:N9"/>
    <mergeCell ref="R8:T9"/>
    <mergeCell ref="B10:E11"/>
    <mergeCell ref="R11:T12"/>
    <mergeCell ref="L11:N13"/>
    <mergeCell ref="L16:N19"/>
    <mergeCell ref="R17:T1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F3430-520C-4E52-8321-39AA0F818D49}">
  <dimension ref="B2:U124"/>
  <sheetViews>
    <sheetView topLeftCell="B1" zoomScale="125" workbookViewId="0">
      <selection activeCell="L7" sqref="L7"/>
    </sheetView>
  </sheetViews>
  <sheetFormatPr baseColWidth="10" defaultRowHeight="15" x14ac:dyDescent="0.2"/>
  <cols>
    <col min="11" max="11" width="14.5" bestFit="1" customWidth="1"/>
    <col min="12" max="12" width="18.33203125" bestFit="1" customWidth="1"/>
  </cols>
  <sheetData>
    <row r="2" spans="2:21" ht="16" thickBot="1" x14ac:dyDescent="0.25">
      <c r="G2" t="s">
        <v>84</v>
      </c>
      <c r="H2" t="s">
        <v>85</v>
      </c>
      <c r="S2" t="s">
        <v>84</v>
      </c>
      <c r="T2" t="s">
        <v>85</v>
      </c>
    </row>
    <row r="3" spans="2:21" ht="16" thickBot="1" x14ac:dyDescent="0.25">
      <c r="C3" s="121" t="s">
        <v>32</v>
      </c>
      <c r="D3" s="121"/>
      <c r="E3">
        <v>88051.581296278731</v>
      </c>
      <c r="G3">
        <v>88963.529688298731</v>
      </c>
      <c r="H3">
        <v>86774.455617823784</v>
      </c>
      <c r="K3" s="103" t="s">
        <v>87</v>
      </c>
      <c r="L3" s="103" t="s">
        <v>88</v>
      </c>
      <c r="O3" s="121" t="s">
        <v>32</v>
      </c>
      <c r="P3" s="121"/>
      <c r="Q3">
        <v>84221.32784756762</v>
      </c>
      <c r="S3">
        <v>84816.938536323723</v>
      </c>
      <c r="T3">
        <v>83247.275829317616</v>
      </c>
    </row>
    <row r="4" spans="2:21" ht="15" customHeight="1" x14ac:dyDescent="0.2">
      <c r="C4" s="144" t="s">
        <v>33</v>
      </c>
      <c r="D4" s="144"/>
      <c r="E4">
        <v>0.25455858107055335</v>
      </c>
      <c r="G4">
        <v>0.25719503898833973</v>
      </c>
      <c r="H4">
        <v>0.25086638956450485</v>
      </c>
      <c r="K4" s="104">
        <v>0.49804383593060175</v>
      </c>
      <c r="L4" s="100">
        <f>G5+S5</f>
        <v>0.49696892905816553</v>
      </c>
      <c r="O4" s="144" t="s">
        <v>33</v>
      </c>
      <c r="P4" s="144"/>
      <c r="Q4">
        <v>0.24348525486004838</v>
      </c>
      <c r="S4">
        <v>0.24520717523408506</v>
      </c>
      <c r="T4">
        <v>0.24066925432940137</v>
      </c>
    </row>
    <row r="5" spans="2:21" ht="15" customHeight="1" thickBot="1" x14ac:dyDescent="0.25">
      <c r="C5" s="144"/>
      <c r="D5" s="144"/>
      <c r="G5">
        <f>(G4+H4)/2</f>
        <v>0.25403071427642232</v>
      </c>
      <c r="K5" s="105">
        <f>K4*206000*31</f>
        <v>3180507.9362528231</v>
      </c>
      <c r="L5" s="101">
        <f>L4*206000*31</f>
        <v>3173643.5809654454</v>
      </c>
      <c r="O5" s="144"/>
      <c r="P5" s="144"/>
      <c r="S5">
        <f>(S4+T4)/2</f>
        <v>0.24293821478174321</v>
      </c>
    </row>
    <row r="7" spans="2:21" ht="19" x14ac:dyDescent="0.25">
      <c r="K7" s="106" t="s">
        <v>86</v>
      </c>
      <c r="L7" s="107">
        <f>((K4-L4)/L4)</f>
        <v>2.1629257073945024E-3</v>
      </c>
    </row>
    <row r="9" spans="2:21" x14ac:dyDescent="0.2">
      <c r="L9" s="102"/>
    </row>
    <row r="10" spans="2:21" x14ac:dyDescent="0.2">
      <c r="H10" t="s">
        <v>82</v>
      </c>
      <c r="I10" t="s">
        <v>83</v>
      </c>
      <c r="T10" t="s">
        <v>82</v>
      </c>
      <c r="U10" t="s">
        <v>83</v>
      </c>
    </row>
    <row r="11" spans="2:21" x14ac:dyDescent="0.2">
      <c r="B11">
        <v>93.3</v>
      </c>
      <c r="C11">
        <v>21.9</v>
      </c>
      <c r="D11">
        <v>366.45</v>
      </c>
      <c r="E11">
        <v>295.04999999999995</v>
      </c>
      <c r="F11">
        <v>0.06</v>
      </c>
      <c r="G11">
        <v>6</v>
      </c>
      <c r="H11">
        <v>25.704000000000011</v>
      </c>
      <c r="I11">
        <v>2.4895480978458457</v>
      </c>
      <c r="N11">
        <v>73.8</v>
      </c>
      <c r="O11">
        <v>20</v>
      </c>
      <c r="P11">
        <v>346.95</v>
      </c>
      <c r="Q11">
        <v>293.14999999999998</v>
      </c>
      <c r="R11">
        <v>0.04</v>
      </c>
      <c r="S11">
        <v>6</v>
      </c>
      <c r="T11">
        <v>12.912000000000003</v>
      </c>
      <c r="U11">
        <v>1.1279609141880278</v>
      </c>
    </row>
    <row r="12" spans="2:21" x14ac:dyDescent="0.2">
      <c r="B12">
        <v>98.5</v>
      </c>
      <c r="C12">
        <v>21.9</v>
      </c>
      <c r="D12">
        <v>371.65</v>
      </c>
      <c r="E12">
        <v>295.04999999999995</v>
      </c>
      <c r="F12">
        <v>7.1999999999999995E-2</v>
      </c>
      <c r="G12">
        <v>6</v>
      </c>
      <c r="H12">
        <v>33.091200000000008</v>
      </c>
      <c r="I12">
        <v>3.2862395002517433</v>
      </c>
      <c r="N12">
        <v>94.7</v>
      </c>
      <c r="O12">
        <v>20</v>
      </c>
      <c r="P12">
        <v>367.84999999999997</v>
      </c>
      <c r="Q12">
        <v>293.14999999999998</v>
      </c>
      <c r="R12">
        <v>7.1999999999999995E-2</v>
      </c>
      <c r="S12">
        <v>6</v>
      </c>
      <c r="T12">
        <v>32.270399999999988</v>
      </c>
      <c r="U12">
        <v>3.1219073183420374</v>
      </c>
    </row>
    <row r="13" spans="2:21" x14ac:dyDescent="0.2">
      <c r="B13">
        <v>95.9</v>
      </c>
      <c r="C13">
        <v>21.9</v>
      </c>
      <c r="D13">
        <v>369.04999999999995</v>
      </c>
      <c r="E13">
        <v>295.04999999999995</v>
      </c>
      <c r="F13">
        <v>0.28899999999999998</v>
      </c>
      <c r="G13">
        <v>6</v>
      </c>
      <c r="H13">
        <v>128.316</v>
      </c>
      <c r="I13">
        <v>12.584625255810748</v>
      </c>
      <c r="N13">
        <v>92.6</v>
      </c>
      <c r="O13">
        <v>20</v>
      </c>
      <c r="P13">
        <v>365.75</v>
      </c>
      <c r="Q13">
        <v>293.14999999999998</v>
      </c>
      <c r="R13">
        <v>0.28899999999999998</v>
      </c>
      <c r="S13">
        <v>6</v>
      </c>
      <c r="T13">
        <v>125.88840000000003</v>
      </c>
      <c r="U13">
        <v>12.05548992251269</v>
      </c>
    </row>
    <row r="14" spans="2:21" x14ac:dyDescent="0.2">
      <c r="B14">
        <v>91.5</v>
      </c>
      <c r="C14">
        <v>21.9</v>
      </c>
      <c r="D14">
        <v>364.65</v>
      </c>
      <c r="E14">
        <v>295.04999999999995</v>
      </c>
      <c r="F14">
        <v>0.14399999999999999</v>
      </c>
      <c r="G14">
        <v>6</v>
      </c>
      <c r="H14">
        <v>60.134400000000014</v>
      </c>
      <c r="I14">
        <v>5.7739047770749883</v>
      </c>
      <c r="N14">
        <v>85.3</v>
      </c>
      <c r="O14">
        <v>20</v>
      </c>
      <c r="P14">
        <v>358.45</v>
      </c>
      <c r="Q14">
        <v>293.14999999999998</v>
      </c>
      <c r="R14">
        <v>0.14399999999999999</v>
      </c>
      <c r="S14">
        <v>6</v>
      </c>
      <c r="T14">
        <v>56.419200000000004</v>
      </c>
      <c r="U14">
        <v>5.2144664089171329</v>
      </c>
    </row>
    <row r="15" spans="2:21" x14ac:dyDescent="0.2">
      <c r="B15">
        <v>88.2</v>
      </c>
      <c r="C15">
        <v>21.9</v>
      </c>
      <c r="D15">
        <v>361.34999999999997</v>
      </c>
      <c r="E15">
        <v>295.04999999999995</v>
      </c>
      <c r="F15">
        <v>0.125</v>
      </c>
      <c r="G15">
        <v>6</v>
      </c>
      <c r="H15">
        <v>49.725000000000009</v>
      </c>
      <c r="I15">
        <v>4.6988180910921358</v>
      </c>
      <c r="N15">
        <v>92.3</v>
      </c>
      <c r="O15">
        <v>20</v>
      </c>
      <c r="P15">
        <v>365.45</v>
      </c>
      <c r="Q15">
        <v>293.14999999999998</v>
      </c>
      <c r="R15">
        <v>0.125</v>
      </c>
      <c r="S15">
        <v>6</v>
      </c>
      <c r="T15">
        <v>54.225000000000009</v>
      </c>
      <c r="U15">
        <v>5.1852190837333358</v>
      </c>
    </row>
    <row r="16" spans="2:21" x14ac:dyDescent="0.2">
      <c r="B16">
        <v>98.839999999999989</v>
      </c>
      <c r="C16">
        <v>19.100000000000001</v>
      </c>
      <c r="D16">
        <v>371.98999999999995</v>
      </c>
      <c r="E16">
        <v>292.25</v>
      </c>
      <c r="F16">
        <v>9.8000000000000004E-2</v>
      </c>
      <c r="G16">
        <v>6</v>
      </c>
      <c r="H16">
        <v>46.887119999999982</v>
      </c>
      <c r="I16">
        <v>4.6104418924874579</v>
      </c>
      <c r="N16">
        <v>75</v>
      </c>
      <c r="O16">
        <v>20</v>
      </c>
      <c r="P16">
        <v>348.15</v>
      </c>
      <c r="Q16">
        <v>293.14999999999998</v>
      </c>
      <c r="R16">
        <v>0.125</v>
      </c>
      <c r="S16">
        <v>6</v>
      </c>
      <c r="T16">
        <v>41.25</v>
      </c>
      <c r="U16">
        <v>3.6248515008186004</v>
      </c>
    </row>
    <row r="17" spans="2:21" x14ac:dyDescent="0.2">
      <c r="B17">
        <v>115.60000000000001</v>
      </c>
      <c r="C17">
        <v>19.100000000000001</v>
      </c>
      <c r="D17">
        <v>388.75</v>
      </c>
      <c r="E17">
        <v>292.25</v>
      </c>
      <c r="F17">
        <v>1.4999999999999999E-2</v>
      </c>
      <c r="G17">
        <v>6</v>
      </c>
      <c r="H17">
        <v>8.6850000000000005</v>
      </c>
      <c r="I17">
        <v>0.92543342001943207</v>
      </c>
      <c r="N17">
        <v>90</v>
      </c>
      <c r="O17">
        <v>22.6</v>
      </c>
      <c r="P17">
        <v>363.15</v>
      </c>
      <c r="Q17">
        <v>295.75</v>
      </c>
      <c r="R17">
        <v>0.19700000000000001</v>
      </c>
      <c r="S17">
        <v>6</v>
      </c>
      <c r="T17">
        <v>79.666799999999967</v>
      </c>
      <c r="U17">
        <v>7.6165170472723212</v>
      </c>
    </row>
    <row r="18" spans="2:21" x14ac:dyDescent="0.2">
      <c r="B18">
        <v>123.53999999999999</v>
      </c>
      <c r="C18">
        <v>19.100000000000001</v>
      </c>
      <c r="D18">
        <v>396.68999999999994</v>
      </c>
      <c r="E18">
        <v>292.25</v>
      </c>
      <c r="F18">
        <v>0.04</v>
      </c>
      <c r="G18">
        <v>6</v>
      </c>
      <c r="H18">
        <v>25.065599999999986</v>
      </c>
      <c r="I18">
        <v>2.7732547939456742</v>
      </c>
      <c r="N18">
        <v>94.4</v>
      </c>
      <c r="O18">
        <v>22.6</v>
      </c>
      <c r="P18">
        <v>367.54999999999995</v>
      </c>
      <c r="Q18">
        <v>295.75</v>
      </c>
      <c r="R18">
        <v>0.01</v>
      </c>
      <c r="S18">
        <v>6</v>
      </c>
      <c r="T18">
        <v>4.3079999999999972</v>
      </c>
      <c r="U18">
        <v>0.42069246289468581</v>
      </c>
    </row>
    <row r="19" spans="2:21" x14ac:dyDescent="0.2">
      <c r="B19">
        <v>117.52000000000001</v>
      </c>
      <c r="C19">
        <v>24.4</v>
      </c>
      <c r="D19">
        <v>390.66999999999996</v>
      </c>
      <c r="E19">
        <v>297.54999999999995</v>
      </c>
      <c r="F19">
        <v>0.1</v>
      </c>
      <c r="G19">
        <v>6</v>
      </c>
      <c r="H19">
        <v>55.872000000000014</v>
      </c>
      <c r="I19">
        <v>6.1341574956584717</v>
      </c>
      <c r="N19">
        <v>81.900000000000006</v>
      </c>
      <c r="O19">
        <v>22.6</v>
      </c>
      <c r="P19">
        <v>355.04999999999995</v>
      </c>
      <c r="Q19">
        <v>295.75</v>
      </c>
      <c r="R19">
        <v>0.09</v>
      </c>
      <c r="S19">
        <v>6</v>
      </c>
      <c r="T19">
        <v>32.021999999999977</v>
      </c>
      <c r="U19">
        <v>2.9436205584482877</v>
      </c>
    </row>
    <row r="20" spans="2:21" x14ac:dyDescent="0.2">
      <c r="B20">
        <v>116.73333333333333</v>
      </c>
      <c r="C20">
        <v>24.4</v>
      </c>
      <c r="D20">
        <v>389.88333333333333</v>
      </c>
      <c r="E20">
        <v>297.54999999999995</v>
      </c>
      <c r="F20">
        <v>3.7999999999999999E-2</v>
      </c>
      <c r="G20">
        <v>6</v>
      </c>
      <c r="H20">
        <v>21.052000000000007</v>
      </c>
      <c r="I20">
        <v>2.3027678637982851</v>
      </c>
      <c r="N20">
        <v>75.099999999999994</v>
      </c>
      <c r="O20">
        <v>22.6</v>
      </c>
      <c r="P20">
        <v>348.25</v>
      </c>
      <c r="Q20">
        <v>295.75</v>
      </c>
      <c r="R20">
        <v>0.1</v>
      </c>
      <c r="S20">
        <v>6</v>
      </c>
      <c r="T20">
        <v>31.500000000000004</v>
      </c>
      <c r="U20">
        <v>2.8012037043926248</v>
      </c>
    </row>
    <row r="21" spans="2:21" x14ac:dyDescent="0.2">
      <c r="B21">
        <v>83.166666666666671</v>
      </c>
      <c r="C21">
        <v>24.4</v>
      </c>
      <c r="D21">
        <v>356.31666666666666</v>
      </c>
      <c r="E21">
        <v>297.54999999999995</v>
      </c>
      <c r="F21">
        <v>3.1E-2</v>
      </c>
      <c r="G21">
        <v>6</v>
      </c>
      <c r="H21">
        <v>10.930600000000007</v>
      </c>
      <c r="I21">
        <v>1.0188386803179132</v>
      </c>
      <c r="N21">
        <v>90</v>
      </c>
      <c r="O21">
        <v>22.6</v>
      </c>
      <c r="P21">
        <v>363.15</v>
      </c>
      <c r="Q21">
        <v>295.75</v>
      </c>
      <c r="R21">
        <v>3.7999999999999999E-2</v>
      </c>
      <c r="S21">
        <v>6</v>
      </c>
      <c r="T21">
        <v>15.367199999999993</v>
      </c>
      <c r="U21">
        <v>1.4691758771388235</v>
      </c>
    </row>
    <row r="22" spans="2:21" x14ac:dyDescent="0.2">
      <c r="B22">
        <v>144.19999999999999</v>
      </c>
      <c r="C22">
        <v>24.4</v>
      </c>
      <c r="D22">
        <v>417.34999999999997</v>
      </c>
      <c r="E22">
        <v>297.54999999999995</v>
      </c>
      <c r="F22">
        <v>0.17199999999999999</v>
      </c>
      <c r="G22">
        <v>6</v>
      </c>
      <c r="H22">
        <v>123.63360000000002</v>
      </c>
      <c r="I22">
        <v>15.360306385284256</v>
      </c>
      <c r="N22">
        <v>94.4</v>
      </c>
      <c r="O22">
        <v>22.6</v>
      </c>
      <c r="P22">
        <v>367.54999999999995</v>
      </c>
      <c r="Q22">
        <v>295.75</v>
      </c>
      <c r="R22">
        <v>3.7999999999999999E-2</v>
      </c>
      <c r="S22">
        <v>6</v>
      </c>
      <c r="T22">
        <v>16.370399999999989</v>
      </c>
      <c r="U22">
        <v>1.598631358999806</v>
      </c>
    </row>
    <row r="23" spans="2:21" x14ac:dyDescent="0.2">
      <c r="B23">
        <v>120.7</v>
      </c>
      <c r="C23">
        <v>28.3</v>
      </c>
      <c r="D23">
        <v>393.84999999999997</v>
      </c>
      <c r="E23">
        <v>301.45</v>
      </c>
      <c r="F23">
        <v>0.155</v>
      </c>
      <c r="G23">
        <v>6</v>
      </c>
      <c r="H23">
        <v>85.931999999999974</v>
      </c>
      <c r="I23">
        <v>9.7224186452578127</v>
      </c>
      <c r="N23">
        <v>132.5</v>
      </c>
      <c r="O23">
        <v>20.399999999999999</v>
      </c>
      <c r="P23">
        <v>405.65</v>
      </c>
      <c r="Q23">
        <v>293.54999999999995</v>
      </c>
      <c r="R23">
        <v>0.17199999999999999</v>
      </c>
      <c r="S23">
        <v>6</v>
      </c>
      <c r="T23">
        <v>115.68720000000003</v>
      </c>
      <c r="U23">
        <v>13.415648258341943</v>
      </c>
    </row>
    <row r="24" spans="2:21" x14ac:dyDescent="0.2">
      <c r="B24">
        <v>116.86666666666667</v>
      </c>
      <c r="C24">
        <v>28.3</v>
      </c>
      <c r="D24">
        <v>390.01666666666665</v>
      </c>
      <c r="E24">
        <v>301.45</v>
      </c>
      <c r="F24">
        <v>0.17760000000000001</v>
      </c>
      <c r="G24">
        <v>6</v>
      </c>
      <c r="H24">
        <v>94.376640000000009</v>
      </c>
      <c r="I24">
        <v>10.489269823630599</v>
      </c>
      <c r="N24">
        <v>89.1</v>
      </c>
      <c r="O24">
        <v>20.399999999999999</v>
      </c>
      <c r="P24">
        <v>362.25</v>
      </c>
      <c r="Q24">
        <v>293.54999999999995</v>
      </c>
      <c r="R24">
        <v>0.155</v>
      </c>
      <c r="S24">
        <v>6</v>
      </c>
      <c r="T24">
        <v>63.891000000000041</v>
      </c>
      <c r="U24">
        <v>6.0255101717175936</v>
      </c>
    </row>
    <row r="25" spans="2:21" x14ac:dyDescent="0.2">
      <c r="B25">
        <v>71.56</v>
      </c>
      <c r="C25">
        <v>28.3</v>
      </c>
      <c r="D25">
        <v>344.71</v>
      </c>
      <c r="E25">
        <v>301.45</v>
      </c>
      <c r="F25">
        <v>3.7499999999999999E-2</v>
      </c>
      <c r="G25">
        <v>6</v>
      </c>
      <c r="H25">
        <v>9.7334999999999976</v>
      </c>
      <c r="I25">
        <v>0.87243152105765764</v>
      </c>
      <c r="N25">
        <v>152.1</v>
      </c>
      <c r="O25">
        <v>20.399999999999999</v>
      </c>
      <c r="P25">
        <v>425.25</v>
      </c>
      <c r="Q25">
        <v>293.54999999999995</v>
      </c>
      <c r="R25">
        <v>0.17760000000000001</v>
      </c>
      <c r="S25">
        <v>6</v>
      </c>
      <c r="T25">
        <v>140.33952000000005</v>
      </c>
      <c r="U25">
        <v>17.81738943083862</v>
      </c>
    </row>
    <row r="26" spans="2:21" x14ac:dyDescent="0.2">
      <c r="B26">
        <v>147.1</v>
      </c>
      <c r="C26">
        <v>19.399999999999999</v>
      </c>
      <c r="D26">
        <v>420.25</v>
      </c>
      <c r="E26">
        <v>292.54999999999995</v>
      </c>
      <c r="F26">
        <v>0.29399999999999998</v>
      </c>
      <c r="G26">
        <v>6</v>
      </c>
      <c r="H26">
        <v>225.26280000000006</v>
      </c>
      <c r="I26">
        <v>27.849176588838219</v>
      </c>
      <c r="N26">
        <v>152.1</v>
      </c>
      <c r="O26">
        <v>20.399999999999999</v>
      </c>
      <c r="P26">
        <v>425.25</v>
      </c>
      <c r="Q26">
        <v>293.54999999999995</v>
      </c>
      <c r="R26">
        <v>0.17760000000000001</v>
      </c>
      <c r="S26">
        <v>6</v>
      </c>
      <c r="T26">
        <v>140.33952000000005</v>
      </c>
      <c r="U26">
        <v>17.81738943083862</v>
      </c>
    </row>
    <row r="27" spans="2:21" x14ac:dyDescent="0.2">
      <c r="B27">
        <v>102.05000000000001</v>
      </c>
      <c r="C27">
        <v>19.399999999999999</v>
      </c>
      <c r="D27">
        <v>375.2</v>
      </c>
      <c r="E27">
        <v>292.54999999999995</v>
      </c>
      <c r="F27">
        <v>0.09</v>
      </c>
      <c r="G27">
        <v>6</v>
      </c>
      <c r="H27">
        <v>44.631000000000022</v>
      </c>
      <c r="I27">
        <v>4.4625293866964535</v>
      </c>
      <c r="N27">
        <v>78.400000000000006</v>
      </c>
      <c r="O27">
        <v>20.399999999999999</v>
      </c>
      <c r="P27">
        <v>351.54999999999995</v>
      </c>
      <c r="Q27">
        <v>293.54999999999995</v>
      </c>
      <c r="R27">
        <v>0.04</v>
      </c>
      <c r="S27">
        <v>6</v>
      </c>
      <c r="T27">
        <v>13.92</v>
      </c>
      <c r="U27">
        <v>1.2459962634703334</v>
      </c>
    </row>
    <row r="28" spans="2:21" x14ac:dyDescent="0.2">
      <c r="B28">
        <v>84.300000000000011</v>
      </c>
      <c r="C28">
        <v>24.7</v>
      </c>
      <c r="D28">
        <v>357.45</v>
      </c>
      <c r="E28">
        <v>297.84999999999997</v>
      </c>
      <c r="F28">
        <v>0.1694</v>
      </c>
      <c r="G28">
        <v>6</v>
      </c>
      <c r="H28">
        <v>60.577440000000024</v>
      </c>
      <c r="I28">
        <v>5.6847188858119546</v>
      </c>
      <c r="N28">
        <v>152.1</v>
      </c>
      <c r="O28">
        <v>20.399999999999999</v>
      </c>
      <c r="P28">
        <v>425.25</v>
      </c>
      <c r="Q28">
        <v>293.54999999999995</v>
      </c>
      <c r="R28">
        <v>3.7499999999999999E-2</v>
      </c>
      <c r="S28">
        <v>6</v>
      </c>
      <c r="T28">
        <v>29.632500000000007</v>
      </c>
      <c r="U28">
        <v>3.7621177007682891</v>
      </c>
    </row>
    <row r="29" spans="2:21" x14ac:dyDescent="0.2">
      <c r="B29">
        <v>150.78</v>
      </c>
      <c r="C29">
        <v>24.7</v>
      </c>
      <c r="D29">
        <v>423.92999999999995</v>
      </c>
      <c r="E29">
        <v>297.84999999999997</v>
      </c>
      <c r="F29">
        <v>0.5</v>
      </c>
      <c r="G29">
        <v>6</v>
      </c>
      <c r="H29">
        <v>378.23999999999995</v>
      </c>
      <c r="I29">
        <v>48.476945700354023</v>
      </c>
      <c r="N29">
        <v>152.1</v>
      </c>
      <c r="O29">
        <v>17.3</v>
      </c>
      <c r="P29">
        <v>425.25</v>
      </c>
      <c r="Q29">
        <v>290.45</v>
      </c>
      <c r="R29">
        <v>0.29399999999999998</v>
      </c>
      <c r="S29">
        <v>6</v>
      </c>
      <c r="T29">
        <v>237.78719999999998</v>
      </c>
      <c r="U29">
        <v>29.855258511238826</v>
      </c>
    </row>
    <row r="30" spans="2:21" x14ac:dyDescent="0.2">
      <c r="B30">
        <v>80.7</v>
      </c>
      <c r="C30">
        <v>24.4</v>
      </c>
      <c r="D30">
        <v>353.84999999999997</v>
      </c>
      <c r="E30">
        <v>297.54999999999995</v>
      </c>
      <c r="F30">
        <v>7.0000000000000007E-2</v>
      </c>
      <c r="G30">
        <v>6</v>
      </c>
      <c r="H30">
        <v>23.646000000000008</v>
      </c>
      <c r="I30">
        <v>2.1778748945758108</v>
      </c>
      <c r="N30">
        <v>136.30000000000001</v>
      </c>
      <c r="O30">
        <v>17.3</v>
      </c>
      <c r="P30">
        <v>409.45</v>
      </c>
      <c r="Q30">
        <v>290.45</v>
      </c>
      <c r="R30">
        <v>0.1694</v>
      </c>
      <c r="S30">
        <v>6</v>
      </c>
      <c r="T30">
        <v>120.9516</v>
      </c>
      <c r="U30">
        <v>14.112244898464537</v>
      </c>
    </row>
    <row r="31" spans="2:21" x14ac:dyDescent="0.2">
      <c r="B31">
        <v>101.9</v>
      </c>
      <c r="C31">
        <v>24.4</v>
      </c>
      <c r="D31">
        <v>375.04999999999995</v>
      </c>
      <c r="E31">
        <v>297.54999999999995</v>
      </c>
      <c r="F31">
        <v>0.08</v>
      </c>
      <c r="G31">
        <v>6</v>
      </c>
      <c r="H31">
        <v>37.199999999999996</v>
      </c>
      <c r="I31">
        <v>3.7935117353226113</v>
      </c>
      <c r="N31">
        <v>142.1</v>
      </c>
      <c r="O31">
        <v>17.3</v>
      </c>
      <c r="P31">
        <v>415.25</v>
      </c>
      <c r="Q31">
        <v>290.45</v>
      </c>
      <c r="R31">
        <v>0.45900000000000002</v>
      </c>
      <c r="S31">
        <v>6</v>
      </c>
      <c r="T31">
        <v>343.69920000000002</v>
      </c>
      <c r="U31">
        <v>41.201493791902081</v>
      </c>
    </row>
    <row r="32" spans="2:21" x14ac:dyDescent="0.2">
      <c r="B32">
        <v>137.4</v>
      </c>
      <c r="C32">
        <v>24.4</v>
      </c>
      <c r="D32">
        <v>410.54999999999995</v>
      </c>
      <c r="E32">
        <v>297.54999999999995</v>
      </c>
      <c r="F32">
        <v>3.1399999999999997E-2</v>
      </c>
      <c r="G32">
        <v>6</v>
      </c>
      <c r="H32">
        <v>21.289199999999997</v>
      </c>
      <c r="I32">
        <v>2.5636835487509364</v>
      </c>
      <c r="N32">
        <v>117.3</v>
      </c>
      <c r="O32">
        <v>17.3</v>
      </c>
      <c r="P32">
        <v>390.45</v>
      </c>
      <c r="Q32">
        <v>290.45</v>
      </c>
      <c r="R32">
        <v>0.33119999999999999</v>
      </c>
      <c r="S32">
        <v>6</v>
      </c>
      <c r="T32">
        <v>198.72</v>
      </c>
      <c r="U32">
        <v>21.196258610361852</v>
      </c>
    </row>
    <row r="33" spans="2:21" x14ac:dyDescent="0.2">
      <c r="B33">
        <v>193</v>
      </c>
      <c r="C33">
        <v>24.4</v>
      </c>
      <c r="D33">
        <v>466.15</v>
      </c>
      <c r="E33">
        <v>297.54999999999995</v>
      </c>
      <c r="F33">
        <v>0.35</v>
      </c>
      <c r="G33">
        <v>6</v>
      </c>
      <c r="H33">
        <v>354.06</v>
      </c>
      <c r="I33">
        <v>54.703130501680697</v>
      </c>
      <c r="N33">
        <v>195</v>
      </c>
      <c r="O33">
        <v>24.2</v>
      </c>
      <c r="P33">
        <v>468.15</v>
      </c>
      <c r="Q33">
        <v>297.34999999999997</v>
      </c>
      <c r="R33">
        <v>4.9000000000000002E-2</v>
      </c>
      <c r="S33">
        <v>6</v>
      </c>
      <c r="T33">
        <v>50.21520000000001</v>
      </c>
      <c r="U33">
        <v>7.8211456421674193</v>
      </c>
    </row>
    <row r="34" spans="2:21" x14ac:dyDescent="0.2">
      <c r="B34">
        <v>193</v>
      </c>
      <c r="C34">
        <v>24.4</v>
      </c>
      <c r="D34">
        <v>466.15</v>
      </c>
      <c r="E34">
        <v>297.54999999999995</v>
      </c>
      <c r="F34">
        <v>0.35</v>
      </c>
      <c r="G34">
        <v>6</v>
      </c>
      <c r="H34">
        <v>354.06</v>
      </c>
      <c r="I34">
        <v>54.703130501680697</v>
      </c>
      <c r="N34">
        <v>88.5</v>
      </c>
      <c r="O34">
        <v>24.2</v>
      </c>
      <c r="P34">
        <v>361.65</v>
      </c>
      <c r="Q34">
        <v>297.34999999999997</v>
      </c>
      <c r="R34">
        <v>0.19089999999999999</v>
      </c>
      <c r="S34">
        <v>6</v>
      </c>
      <c r="T34">
        <v>73.649220000000014</v>
      </c>
      <c r="U34">
        <v>7.0378387043433195</v>
      </c>
    </row>
    <row r="35" spans="2:21" x14ac:dyDescent="0.2">
      <c r="B35">
        <v>141.6</v>
      </c>
      <c r="C35">
        <v>24.4</v>
      </c>
      <c r="D35">
        <v>414.75</v>
      </c>
      <c r="E35">
        <v>297.54999999999995</v>
      </c>
      <c r="F35">
        <v>3.1399999999999997E-2</v>
      </c>
      <c r="G35">
        <v>6</v>
      </c>
      <c r="H35">
        <v>22.080480000000005</v>
      </c>
      <c r="I35">
        <v>2.7108052792129267</v>
      </c>
      <c r="N35">
        <v>106</v>
      </c>
      <c r="O35">
        <v>24.2</v>
      </c>
      <c r="P35">
        <v>379.15</v>
      </c>
      <c r="Q35">
        <v>297.34999999999997</v>
      </c>
      <c r="R35">
        <v>0.3569</v>
      </c>
      <c r="S35">
        <v>6</v>
      </c>
      <c r="T35">
        <v>175.16652000000002</v>
      </c>
      <c r="U35">
        <v>18.199443861158795</v>
      </c>
    </row>
    <row r="36" spans="2:21" x14ac:dyDescent="0.2">
      <c r="B36">
        <v>193</v>
      </c>
      <c r="C36">
        <v>24.4</v>
      </c>
      <c r="D36">
        <v>466.15</v>
      </c>
      <c r="E36">
        <v>297.54999999999995</v>
      </c>
      <c r="F36">
        <v>0.64</v>
      </c>
      <c r="G36">
        <v>6</v>
      </c>
      <c r="H36">
        <v>647.42400000000009</v>
      </c>
      <c r="I36">
        <v>100.02858148878758</v>
      </c>
      <c r="N36">
        <v>76.2</v>
      </c>
      <c r="O36">
        <v>23.4</v>
      </c>
      <c r="P36">
        <v>349.34999999999997</v>
      </c>
      <c r="Q36">
        <v>296.54999999999995</v>
      </c>
      <c r="R36">
        <v>1.5</v>
      </c>
      <c r="S36">
        <v>6</v>
      </c>
      <c r="T36">
        <v>475.2000000000001</v>
      </c>
      <c r="U36">
        <v>42.634840854692378</v>
      </c>
    </row>
    <row r="37" spans="2:21" x14ac:dyDescent="0.2">
      <c r="B37">
        <v>193</v>
      </c>
      <c r="C37">
        <v>24.4</v>
      </c>
      <c r="D37">
        <v>466.15</v>
      </c>
      <c r="E37">
        <v>297.54999999999995</v>
      </c>
      <c r="F37">
        <v>0.38479999999999998</v>
      </c>
      <c r="G37">
        <v>6</v>
      </c>
      <c r="H37">
        <v>389.26368000000002</v>
      </c>
      <c r="I37">
        <v>60.14218462013352</v>
      </c>
      <c r="N37">
        <v>85.4</v>
      </c>
      <c r="O37">
        <v>23.4</v>
      </c>
      <c r="P37">
        <v>358.54999999999995</v>
      </c>
      <c r="Q37">
        <v>296.54999999999995</v>
      </c>
      <c r="R37">
        <v>2.2599999999999999E-2</v>
      </c>
      <c r="S37">
        <v>6</v>
      </c>
      <c r="T37">
        <v>8.4071999999999996</v>
      </c>
      <c r="U37">
        <v>0.7887633769818635</v>
      </c>
    </row>
    <row r="38" spans="2:21" x14ac:dyDescent="0.2">
      <c r="B38">
        <v>73.8</v>
      </c>
      <c r="C38">
        <v>22</v>
      </c>
      <c r="D38">
        <v>346.95</v>
      </c>
      <c r="E38">
        <v>295.14999999999998</v>
      </c>
      <c r="F38">
        <v>0.25130000000000002</v>
      </c>
      <c r="G38">
        <v>6</v>
      </c>
      <c r="H38">
        <v>78.104040000000012</v>
      </c>
      <c r="I38">
        <v>6.8833307037704206</v>
      </c>
      <c r="N38">
        <v>195</v>
      </c>
      <c r="O38">
        <v>21.1</v>
      </c>
      <c r="P38">
        <v>468.15</v>
      </c>
      <c r="Q38">
        <v>294.25</v>
      </c>
      <c r="R38">
        <v>0.38479999999999998</v>
      </c>
      <c r="S38">
        <v>6</v>
      </c>
      <c r="T38">
        <v>401.50031999999987</v>
      </c>
      <c r="U38">
        <v>61.910102812415012</v>
      </c>
    </row>
    <row r="39" spans="2:21" x14ac:dyDescent="0.2">
      <c r="B39">
        <v>82.8</v>
      </c>
      <c r="C39">
        <v>25.2</v>
      </c>
      <c r="D39">
        <v>355.95</v>
      </c>
      <c r="E39">
        <v>298.34999999999997</v>
      </c>
      <c r="F39">
        <v>0.69</v>
      </c>
      <c r="G39">
        <v>6</v>
      </c>
      <c r="H39">
        <v>238.46400000000008</v>
      </c>
      <c r="I39">
        <v>22.264152280586753</v>
      </c>
      <c r="N39">
        <v>149.6</v>
      </c>
      <c r="O39">
        <v>21.1</v>
      </c>
      <c r="P39">
        <v>422.75</v>
      </c>
      <c r="Q39">
        <v>294.25</v>
      </c>
      <c r="R39">
        <v>3.1399999999999997E-2</v>
      </c>
      <c r="S39">
        <v>6</v>
      </c>
      <c r="T39">
        <v>24.209399999999999</v>
      </c>
      <c r="U39">
        <v>3.0462904109397333</v>
      </c>
    </row>
    <row r="40" spans="2:21" x14ac:dyDescent="0.2">
      <c r="B40">
        <v>92.7</v>
      </c>
      <c r="C40">
        <v>25.2</v>
      </c>
      <c r="D40">
        <v>365.84999999999997</v>
      </c>
      <c r="E40">
        <v>298.34999999999997</v>
      </c>
      <c r="F40">
        <v>0.127</v>
      </c>
      <c r="G40">
        <v>6</v>
      </c>
      <c r="H40">
        <v>51.435000000000002</v>
      </c>
      <c r="I40">
        <v>5.0363689088015509</v>
      </c>
      <c r="N40">
        <v>150.6</v>
      </c>
      <c r="O40">
        <v>25.1</v>
      </c>
      <c r="P40">
        <v>423.75</v>
      </c>
      <c r="Q40">
        <v>298.25</v>
      </c>
      <c r="R40">
        <v>4.9079999999999999E-2</v>
      </c>
      <c r="S40">
        <v>6</v>
      </c>
      <c r="T40">
        <v>36.957239999999999</v>
      </c>
      <c r="U40">
        <v>4.7395658862697339</v>
      </c>
    </row>
    <row r="41" spans="2:21" x14ac:dyDescent="0.2">
      <c r="B41">
        <v>193</v>
      </c>
      <c r="C41">
        <v>25.5</v>
      </c>
      <c r="D41">
        <v>466.15</v>
      </c>
      <c r="E41">
        <v>298.64999999999998</v>
      </c>
      <c r="F41">
        <v>0.12759999999999999</v>
      </c>
      <c r="G41">
        <v>6</v>
      </c>
      <c r="H41">
        <v>128.238</v>
      </c>
      <c r="I41">
        <v>19.884168560321918</v>
      </c>
      <c r="N41">
        <v>135.69999999999999</v>
      </c>
      <c r="O41">
        <v>25.1</v>
      </c>
      <c r="P41">
        <v>408.84999999999997</v>
      </c>
      <c r="Q41">
        <v>298.25</v>
      </c>
      <c r="R41">
        <v>4.9079999999999999E-2</v>
      </c>
      <c r="S41">
        <v>6</v>
      </c>
      <c r="T41">
        <v>32.569487999999986</v>
      </c>
      <c r="U41">
        <v>3.9016697085209859</v>
      </c>
    </row>
    <row r="42" spans="2:21" x14ac:dyDescent="0.2">
      <c r="B42">
        <v>90.1</v>
      </c>
      <c r="C42">
        <v>25</v>
      </c>
      <c r="D42">
        <v>363.25</v>
      </c>
      <c r="E42">
        <v>298.14999999999998</v>
      </c>
      <c r="F42">
        <v>0.35</v>
      </c>
      <c r="G42">
        <v>6</v>
      </c>
      <c r="H42">
        <v>136.71000000000004</v>
      </c>
      <c r="I42">
        <v>13.209302854797775</v>
      </c>
      <c r="N42">
        <v>139</v>
      </c>
      <c r="O42">
        <v>25.1</v>
      </c>
      <c r="P42">
        <v>412.15</v>
      </c>
      <c r="Q42">
        <v>298.25</v>
      </c>
      <c r="R42">
        <v>4.9079999999999999E-2</v>
      </c>
      <c r="S42">
        <v>6</v>
      </c>
      <c r="T42">
        <v>33.541271999999992</v>
      </c>
      <c r="U42">
        <v>4.0795410928416826</v>
      </c>
    </row>
    <row r="43" spans="2:21" x14ac:dyDescent="0.2">
      <c r="B43">
        <v>114.9</v>
      </c>
      <c r="C43">
        <v>25</v>
      </c>
      <c r="D43">
        <v>388.04999999999995</v>
      </c>
      <c r="E43">
        <v>298.14999999999998</v>
      </c>
      <c r="F43">
        <v>0.35</v>
      </c>
      <c r="G43">
        <v>6</v>
      </c>
      <c r="H43">
        <v>188.78999999999991</v>
      </c>
      <c r="I43">
        <v>20.522107215668537</v>
      </c>
      <c r="N43">
        <v>122.8</v>
      </c>
      <c r="O43">
        <v>25.1</v>
      </c>
      <c r="P43">
        <v>395.95</v>
      </c>
      <c r="Q43">
        <v>298.25</v>
      </c>
      <c r="R43">
        <v>4.9079999999999999E-2</v>
      </c>
      <c r="S43">
        <v>6</v>
      </c>
      <c r="T43">
        <v>28.770695999999994</v>
      </c>
      <c r="U43">
        <v>3.2465497407027937</v>
      </c>
    </row>
    <row r="44" spans="2:21" x14ac:dyDescent="0.2">
      <c r="B44">
        <v>193</v>
      </c>
      <c r="C44">
        <v>25</v>
      </c>
      <c r="D44">
        <v>466.15</v>
      </c>
      <c r="E44">
        <v>298.14999999999998</v>
      </c>
      <c r="F44">
        <v>0.35</v>
      </c>
      <c r="G44">
        <v>6</v>
      </c>
      <c r="H44">
        <v>352.79999999999995</v>
      </c>
      <c r="I44">
        <v>54.61503501911595</v>
      </c>
      <c r="N44">
        <v>123.1</v>
      </c>
      <c r="O44">
        <v>21</v>
      </c>
      <c r="P44">
        <v>396.25</v>
      </c>
      <c r="Q44">
        <v>294.14999999999998</v>
      </c>
      <c r="R44">
        <v>0.06</v>
      </c>
      <c r="S44">
        <v>6</v>
      </c>
      <c r="T44">
        <v>36.756000000000007</v>
      </c>
      <c r="U44">
        <v>4.0881433654229005</v>
      </c>
    </row>
    <row r="45" spans="2:21" x14ac:dyDescent="0.2">
      <c r="B45">
        <v>84.3</v>
      </c>
      <c r="C45">
        <v>19.5</v>
      </c>
      <c r="D45">
        <v>357.45</v>
      </c>
      <c r="E45">
        <v>292.64999999999998</v>
      </c>
      <c r="F45">
        <v>2.87E-2</v>
      </c>
      <c r="G45">
        <v>6</v>
      </c>
      <c r="H45">
        <v>11.158560000000001</v>
      </c>
      <c r="I45">
        <v>1.0240994708560025</v>
      </c>
      <c r="N45">
        <v>122.7</v>
      </c>
      <c r="O45">
        <v>23.2</v>
      </c>
      <c r="P45">
        <v>395.84999999999997</v>
      </c>
      <c r="Q45">
        <v>296.34999999999997</v>
      </c>
      <c r="R45">
        <v>0.08</v>
      </c>
      <c r="S45">
        <v>6</v>
      </c>
      <c r="T45">
        <v>47.76</v>
      </c>
      <c r="U45">
        <v>5.3473808533287546</v>
      </c>
    </row>
    <row r="46" spans="2:21" x14ac:dyDescent="0.2">
      <c r="B46">
        <v>193</v>
      </c>
      <c r="C46">
        <v>19.5</v>
      </c>
      <c r="D46">
        <v>466.15</v>
      </c>
      <c r="E46">
        <v>292.64999999999998</v>
      </c>
      <c r="F46">
        <v>0.1225</v>
      </c>
      <c r="G46">
        <v>6</v>
      </c>
      <c r="H46">
        <v>127.52249999999999</v>
      </c>
      <c r="I46">
        <v>19.391008102198811</v>
      </c>
      <c r="N46">
        <v>195</v>
      </c>
      <c r="O46">
        <v>23.2</v>
      </c>
      <c r="P46">
        <v>468.15</v>
      </c>
      <c r="Q46">
        <v>296.34999999999997</v>
      </c>
      <c r="R46">
        <v>3.1399999999999997E-2</v>
      </c>
      <c r="S46">
        <v>6</v>
      </c>
      <c r="T46">
        <v>32.36712</v>
      </c>
      <c r="U46">
        <v>5.024957985982363</v>
      </c>
    </row>
    <row r="47" spans="2:21" x14ac:dyDescent="0.2">
      <c r="B47">
        <v>145.80000000000001</v>
      </c>
      <c r="C47">
        <v>19.5</v>
      </c>
      <c r="D47">
        <v>418.95</v>
      </c>
      <c r="E47">
        <v>292.64999999999998</v>
      </c>
      <c r="F47">
        <v>0.32</v>
      </c>
      <c r="G47">
        <v>6</v>
      </c>
      <c r="H47">
        <v>242.49600000000001</v>
      </c>
      <c r="I47">
        <v>29.81138984011994</v>
      </c>
      <c r="N47">
        <v>195</v>
      </c>
      <c r="O47">
        <v>22.1</v>
      </c>
      <c r="P47">
        <v>468.15</v>
      </c>
      <c r="Q47">
        <v>295.25</v>
      </c>
      <c r="R47">
        <v>3.1399999999999997E-2</v>
      </c>
      <c r="S47">
        <v>6</v>
      </c>
      <c r="T47">
        <v>32.574359999999992</v>
      </c>
      <c r="U47">
        <v>5.0391505033354074</v>
      </c>
    </row>
    <row r="48" spans="2:21" x14ac:dyDescent="0.2">
      <c r="B48">
        <v>86.8</v>
      </c>
      <c r="C48">
        <v>20</v>
      </c>
      <c r="D48">
        <v>359.95</v>
      </c>
      <c r="E48">
        <v>293.14999999999998</v>
      </c>
      <c r="F48">
        <v>0.6</v>
      </c>
      <c r="G48">
        <v>6</v>
      </c>
      <c r="H48">
        <v>240.48000000000002</v>
      </c>
      <c r="I48">
        <v>22.389151452749683</v>
      </c>
      <c r="N48">
        <v>142.5</v>
      </c>
      <c r="O48">
        <v>22.1</v>
      </c>
      <c r="P48">
        <v>415.65</v>
      </c>
      <c r="Q48">
        <v>295.25</v>
      </c>
      <c r="R48">
        <v>0.64</v>
      </c>
      <c r="S48">
        <v>6</v>
      </c>
      <c r="T48">
        <v>462.3359999999999</v>
      </c>
      <c r="U48">
        <v>56.515163281828045</v>
      </c>
    </row>
    <row r="49" spans="2:21" x14ac:dyDescent="0.2">
      <c r="B49">
        <v>126.30000000000001</v>
      </c>
      <c r="C49">
        <v>20</v>
      </c>
      <c r="D49">
        <v>399.45</v>
      </c>
      <c r="E49">
        <v>293.14999999999998</v>
      </c>
      <c r="F49">
        <v>0.31</v>
      </c>
      <c r="G49">
        <v>6</v>
      </c>
      <c r="H49">
        <v>197.71800000000002</v>
      </c>
      <c r="I49">
        <v>22.238481637537408</v>
      </c>
      <c r="N49">
        <v>151.5</v>
      </c>
      <c r="O49">
        <v>22.1</v>
      </c>
      <c r="P49">
        <v>424.65</v>
      </c>
      <c r="Q49">
        <v>295.25</v>
      </c>
      <c r="R49">
        <v>2.2599999999999999E-2</v>
      </c>
      <c r="S49">
        <v>6</v>
      </c>
      <c r="T49">
        <v>17.546639999999996</v>
      </c>
      <c r="U49">
        <v>2.2352189703991718</v>
      </c>
    </row>
    <row r="50" spans="2:21" x14ac:dyDescent="0.2">
      <c r="B50">
        <v>107.5</v>
      </c>
      <c r="C50">
        <v>20</v>
      </c>
      <c r="D50">
        <v>380.65</v>
      </c>
      <c r="E50">
        <v>293.14999999999998</v>
      </c>
      <c r="F50">
        <v>0.05</v>
      </c>
      <c r="G50">
        <v>6</v>
      </c>
      <c r="H50">
        <v>26.250000000000004</v>
      </c>
      <c r="I50">
        <v>2.7007534840821013</v>
      </c>
      <c r="N50">
        <v>195</v>
      </c>
      <c r="O50">
        <v>22.1</v>
      </c>
      <c r="P50">
        <v>468.15</v>
      </c>
      <c r="Q50">
        <v>295.25</v>
      </c>
      <c r="R50">
        <v>2.2599999999999999E-2</v>
      </c>
      <c r="S50">
        <v>6</v>
      </c>
      <c r="T50">
        <v>23.445239999999998</v>
      </c>
      <c r="U50">
        <v>3.626904502400643</v>
      </c>
    </row>
    <row r="51" spans="2:21" x14ac:dyDescent="0.2">
      <c r="B51">
        <v>93.1</v>
      </c>
      <c r="C51">
        <v>23</v>
      </c>
      <c r="D51">
        <v>366.25</v>
      </c>
      <c r="E51">
        <v>296.14999999999998</v>
      </c>
      <c r="F51">
        <v>0.112</v>
      </c>
      <c r="G51">
        <v>6</v>
      </c>
      <c r="H51">
        <v>47.10720000000002</v>
      </c>
      <c r="I51">
        <v>4.5791505845492191</v>
      </c>
      <c r="N51">
        <v>103.4</v>
      </c>
      <c r="O51">
        <v>20.3</v>
      </c>
      <c r="P51">
        <v>376.54999999999995</v>
      </c>
      <c r="Q51">
        <v>293.45</v>
      </c>
      <c r="R51">
        <v>0.08</v>
      </c>
      <c r="S51">
        <v>6</v>
      </c>
      <c r="T51">
        <v>39.887999999999984</v>
      </c>
      <c r="U51">
        <v>4.0289936493797143</v>
      </c>
    </row>
    <row r="52" spans="2:21" x14ac:dyDescent="0.2">
      <c r="B52">
        <v>72.900000000000006</v>
      </c>
      <c r="C52">
        <v>23</v>
      </c>
      <c r="D52">
        <v>346.04999999999995</v>
      </c>
      <c r="E52">
        <v>296.14999999999998</v>
      </c>
      <c r="F52">
        <v>0.04</v>
      </c>
      <c r="G52">
        <v>6</v>
      </c>
      <c r="H52">
        <v>11.975999999999994</v>
      </c>
      <c r="I52">
        <v>1.0554477375694371</v>
      </c>
      <c r="N52">
        <v>72</v>
      </c>
      <c r="O52">
        <v>20.3</v>
      </c>
      <c r="P52">
        <v>345.15</v>
      </c>
      <c r="Q52">
        <v>293.45</v>
      </c>
      <c r="R52">
        <v>0.05</v>
      </c>
      <c r="S52">
        <v>6</v>
      </c>
      <c r="T52">
        <v>15.509999999999998</v>
      </c>
      <c r="U52">
        <v>1.3447315112228084</v>
      </c>
    </row>
    <row r="53" spans="2:21" x14ac:dyDescent="0.2">
      <c r="B53">
        <v>118.6</v>
      </c>
      <c r="C53">
        <v>21.2</v>
      </c>
      <c r="D53">
        <v>391.75</v>
      </c>
      <c r="E53">
        <v>294.34999999999997</v>
      </c>
      <c r="F53">
        <v>0.05</v>
      </c>
      <c r="G53">
        <v>6</v>
      </c>
      <c r="H53">
        <v>29.220000000000013</v>
      </c>
      <c r="I53">
        <v>3.1842539782184183</v>
      </c>
      <c r="N53">
        <v>84.2</v>
      </c>
      <c r="O53">
        <v>20.100000000000001</v>
      </c>
      <c r="P53">
        <v>357.34999999999997</v>
      </c>
      <c r="Q53">
        <v>293.25</v>
      </c>
      <c r="R53">
        <v>0.16</v>
      </c>
      <c r="S53">
        <v>6</v>
      </c>
      <c r="T53">
        <v>61.535999999999966</v>
      </c>
      <c r="U53">
        <v>5.6593517440233096</v>
      </c>
    </row>
    <row r="54" spans="2:21" x14ac:dyDescent="0.2">
      <c r="B54">
        <v>82.8</v>
      </c>
      <c r="C54">
        <v>21.2</v>
      </c>
      <c r="D54">
        <v>355.95</v>
      </c>
      <c r="E54">
        <v>294.34999999999997</v>
      </c>
      <c r="F54">
        <v>0.05</v>
      </c>
      <c r="G54">
        <v>6</v>
      </c>
      <c r="H54">
        <v>18.480000000000011</v>
      </c>
      <c r="I54">
        <v>1.6959872894814927</v>
      </c>
      <c r="N54">
        <v>121.6</v>
      </c>
      <c r="O54">
        <v>21.2</v>
      </c>
      <c r="P54">
        <v>394.75</v>
      </c>
      <c r="Q54">
        <v>294.34999999999997</v>
      </c>
      <c r="R54">
        <v>0.08</v>
      </c>
      <c r="S54">
        <v>6</v>
      </c>
      <c r="T54">
        <v>48.192000000000014</v>
      </c>
      <c r="U54">
        <v>5.3265270719420439</v>
      </c>
    </row>
    <row r="55" spans="2:21" x14ac:dyDescent="0.2">
      <c r="B55">
        <v>116.9</v>
      </c>
      <c r="C55">
        <v>21.2</v>
      </c>
      <c r="D55">
        <v>390.04999999999995</v>
      </c>
      <c r="E55">
        <v>294.34999999999997</v>
      </c>
      <c r="F55">
        <v>0.05</v>
      </c>
      <c r="G55">
        <v>6</v>
      </c>
      <c r="H55">
        <v>28.71</v>
      </c>
      <c r="I55">
        <v>3.1036495167516405</v>
      </c>
      <c r="N55">
        <v>116.8</v>
      </c>
      <c r="O55">
        <v>21.2</v>
      </c>
      <c r="P55">
        <v>389.95</v>
      </c>
      <c r="Q55">
        <v>294.34999999999997</v>
      </c>
      <c r="R55">
        <v>0.31</v>
      </c>
      <c r="S55">
        <v>6</v>
      </c>
      <c r="T55">
        <v>177.81600000000003</v>
      </c>
      <c r="U55">
        <v>19.213432801616328</v>
      </c>
    </row>
    <row r="56" spans="2:21" x14ac:dyDescent="0.2">
      <c r="B56">
        <v>84.6</v>
      </c>
      <c r="C56">
        <v>21.2</v>
      </c>
      <c r="D56">
        <v>357.75</v>
      </c>
      <c r="E56">
        <v>294.34999999999997</v>
      </c>
      <c r="F56">
        <v>0.05</v>
      </c>
      <c r="G56">
        <v>6</v>
      </c>
      <c r="H56">
        <v>19.020000000000014</v>
      </c>
      <c r="I56">
        <v>1.7609169998191994</v>
      </c>
      <c r="N56">
        <v>84.2</v>
      </c>
      <c r="O56">
        <v>21.2</v>
      </c>
      <c r="P56">
        <v>357.34999999999997</v>
      </c>
      <c r="Q56">
        <v>294.34999999999997</v>
      </c>
      <c r="R56">
        <v>0.05</v>
      </c>
      <c r="S56">
        <v>6</v>
      </c>
      <c r="T56">
        <v>18.900000000000002</v>
      </c>
      <c r="U56">
        <v>1.7464031852918118</v>
      </c>
    </row>
    <row r="57" spans="2:21" x14ac:dyDescent="0.2">
      <c r="B57">
        <v>148.1</v>
      </c>
      <c r="C57">
        <v>20</v>
      </c>
      <c r="D57">
        <v>421.25</v>
      </c>
      <c r="E57">
        <v>293.14999999999998</v>
      </c>
      <c r="F57">
        <v>0.70599999999999996</v>
      </c>
      <c r="G57">
        <v>6</v>
      </c>
      <c r="H57">
        <v>542.63160000000005</v>
      </c>
      <c r="I57">
        <v>67.541882327418833</v>
      </c>
      <c r="N57">
        <v>152.1</v>
      </c>
      <c r="O57">
        <v>23.4</v>
      </c>
      <c r="P57">
        <v>425.25</v>
      </c>
      <c r="Q57">
        <v>296.54999999999995</v>
      </c>
      <c r="R57">
        <v>0.70599999999999996</v>
      </c>
      <c r="S57">
        <v>6</v>
      </c>
      <c r="T57">
        <v>545.17320000000018</v>
      </c>
      <c r="U57">
        <v>69.964431522153276</v>
      </c>
    </row>
    <row r="58" spans="2:21" x14ac:dyDescent="0.2">
      <c r="B58">
        <v>120.4</v>
      </c>
      <c r="C58">
        <v>24</v>
      </c>
      <c r="D58">
        <v>393.54999999999995</v>
      </c>
      <c r="E58">
        <v>297.14999999999998</v>
      </c>
      <c r="F58">
        <v>9.6199999999999994E-2</v>
      </c>
      <c r="G58">
        <v>6</v>
      </c>
      <c r="H58">
        <v>55.642079999999979</v>
      </c>
      <c r="I58">
        <v>6.1822992626909672</v>
      </c>
      <c r="N58">
        <v>116.5</v>
      </c>
      <c r="O58">
        <v>21.6</v>
      </c>
      <c r="P58">
        <v>389.65</v>
      </c>
      <c r="Q58">
        <v>294.75</v>
      </c>
      <c r="R58">
        <v>0.12</v>
      </c>
      <c r="S58">
        <v>6</v>
      </c>
      <c r="T58">
        <v>68.327999999999975</v>
      </c>
      <c r="U58">
        <v>7.3841328420807608</v>
      </c>
    </row>
    <row r="59" spans="2:21" x14ac:dyDescent="0.2">
      <c r="B59">
        <v>102.9</v>
      </c>
      <c r="C59">
        <v>24.4</v>
      </c>
      <c r="D59">
        <v>376.04999999999995</v>
      </c>
      <c r="E59">
        <v>297.54999999999995</v>
      </c>
      <c r="F59">
        <v>0.12</v>
      </c>
      <c r="G59">
        <v>6</v>
      </c>
      <c r="H59">
        <v>56.519999999999996</v>
      </c>
      <c r="I59">
        <v>5.7911757903789844</v>
      </c>
      <c r="N59">
        <v>111.1</v>
      </c>
      <c r="O59">
        <v>21.6</v>
      </c>
      <c r="P59">
        <v>384.25</v>
      </c>
      <c r="Q59">
        <v>294.75</v>
      </c>
      <c r="R59">
        <v>0.05</v>
      </c>
      <c r="S59">
        <v>6</v>
      </c>
      <c r="T59">
        <v>26.850000000000005</v>
      </c>
      <c r="U59">
        <v>2.8283569275967029</v>
      </c>
    </row>
    <row r="60" spans="2:21" x14ac:dyDescent="0.2">
      <c r="B60">
        <v>91.8</v>
      </c>
      <c r="C60">
        <v>24.4</v>
      </c>
      <c r="D60">
        <v>364.95</v>
      </c>
      <c r="E60">
        <v>297.54999999999995</v>
      </c>
      <c r="F60">
        <v>0.1</v>
      </c>
      <c r="G60">
        <v>6</v>
      </c>
      <c r="H60">
        <v>40.440000000000026</v>
      </c>
      <c r="I60">
        <v>3.9295296680805145</v>
      </c>
      <c r="N60">
        <v>114.3</v>
      </c>
      <c r="O60">
        <v>21.6</v>
      </c>
      <c r="P60">
        <v>387.45</v>
      </c>
      <c r="Q60">
        <v>294.75</v>
      </c>
      <c r="R60">
        <v>0.05</v>
      </c>
      <c r="S60">
        <v>6</v>
      </c>
      <c r="T60">
        <v>27.810000000000002</v>
      </c>
      <c r="U60">
        <v>2.9742800299583307</v>
      </c>
    </row>
    <row r="61" spans="2:21" x14ac:dyDescent="0.2">
      <c r="B61">
        <v>87.3</v>
      </c>
      <c r="C61">
        <v>24.4</v>
      </c>
      <c r="D61">
        <v>360.45</v>
      </c>
      <c r="E61">
        <v>297.54999999999995</v>
      </c>
      <c r="F61">
        <v>0.08</v>
      </c>
      <c r="G61">
        <v>6</v>
      </c>
      <c r="H61">
        <v>30.192000000000014</v>
      </c>
      <c r="I61">
        <v>2.8709125369575994</v>
      </c>
      <c r="N61">
        <v>113.2</v>
      </c>
      <c r="O61">
        <v>21.6</v>
      </c>
      <c r="P61">
        <v>386.34999999999997</v>
      </c>
      <c r="Q61">
        <v>294.75</v>
      </c>
      <c r="R61">
        <v>0.05</v>
      </c>
      <c r="S61">
        <v>6</v>
      </c>
      <c r="T61">
        <v>27.479999999999993</v>
      </c>
      <c r="U61">
        <v>2.9237091108880833</v>
      </c>
    </row>
    <row r="62" spans="2:21" x14ac:dyDescent="0.2">
      <c r="B62">
        <v>76.599999999999994</v>
      </c>
      <c r="C62">
        <v>24.6</v>
      </c>
      <c r="D62">
        <v>349.75</v>
      </c>
      <c r="E62">
        <v>297.75</v>
      </c>
      <c r="F62">
        <v>0.04</v>
      </c>
      <c r="G62">
        <v>6</v>
      </c>
      <c r="H62">
        <v>12.48</v>
      </c>
      <c r="I62">
        <v>1.1277835403971501</v>
      </c>
      <c r="N62">
        <v>105.9</v>
      </c>
      <c r="O62">
        <v>25.6</v>
      </c>
      <c r="P62">
        <v>379.04999999999995</v>
      </c>
      <c r="Q62">
        <v>298.75</v>
      </c>
      <c r="R62">
        <v>0.23100000000000001</v>
      </c>
      <c r="S62">
        <v>6</v>
      </c>
      <c r="T62">
        <v>111.29579999999994</v>
      </c>
      <c r="U62">
        <v>11.623488285391302</v>
      </c>
    </row>
    <row r="63" spans="2:21" x14ac:dyDescent="0.2">
      <c r="B63">
        <v>90.7</v>
      </c>
      <c r="C63">
        <v>24.6</v>
      </c>
      <c r="D63">
        <v>363.84999999999997</v>
      </c>
      <c r="E63">
        <v>297.75</v>
      </c>
      <c r="F63">
        <v>7.0000000000000007E-2</v>
      </c>
      <c r="G63">
        <v>6</v>
      </c>
      <c r="H63">
        <v>27.76199999999999</v>
      </c>
      <c r="I63">
        <v>2.6856577711923806</v>
      </c>
      <c r="N63">
        <v>219.6</v>
      </c>
      <c r="O63">
        <v>25.5</v>
      </c>
      <c r="P63">
        <v>492.75</v>
      </c>
      <c r="Q63">
        <v>298.64999999999998</v>
      </c>
      <c r="R63">
        <v>3.1399999999999997E-2</v>
      </c>
      <c r="S63">
        <v>6</v>
      </c>
      <c r="T63">
        <v>36.568440000000002</v>
      </c>
      <c r="U63">
        <v>6.3556952774235258</v>
      </c>
    </row>
    <row r="64" spans="2:21" x14ac:dyDescent="0.2">
      <c r="B64">
        <v>75.2</v>
      </c>
      <c r="C64">
        <v>24.4</v>
      </c>
      <c r="D64">
        <v>348.34999999999997</v>
      </c>
      <c r="E64">
        <v>297.54999999999995</v>
      </c>
      <c r="F64">
        <v>0.15</v>
      </c>
      <c r="G64">
        <v>6</v>
      </c>
      <c r="H64">
        <v>45.720000000000006</v>
      </c>
      <c r="I64">
        <v>4.0999647063739539</v>
      </c>
      <c r="N64">
        <v>219.6</v>
      </c>
      <c r="O64">
        <v>25.6</v>
      </c>
      <c r="P64">
        <v>492.75</v>
      </c>
      <c r="Q64">
        <v>298.75</v>
      </c>
      <c r="R64">
        <v>3.1399999999999997E-2</v>
      </c>
      <c r="S64">
        <v>6</v>
      </c>
      <c r="T64">
        <v>36.549599999999998</v>
      </c>
      <c r="U64">
        <v>6.3543667319676382</v>
      </c>
    </row>
    <row r="65" spans="2:21" x14ac:dyDescent="0.2">
      <c r="B65">
        <v>89.3</v>
      </c>
      <c r="C65">
        <v>24.4</v>
      </c>
      <c r="D65">
        <v>362.45</v>
      </c>
      <c r="E65">
        <v>297.54999999999995</v>
      </c>
      <c r="F65">
        <v>0.32</v>
      </c>
      <c r="G65">
        <v>6</v>
      </c>
      <c r="H65">
        <v>124.60800000000006</v>
      </c>
      <c r="I65">
        <v>11.963459905381361</v>
      </c>
      <c r="N65">
        <v>71.099999999999994</v>
      </c>
      <c r="O65">
        <v>25.6</v>
      </c>
      <c r="P65">
        <v>344.25</v>
      </c>
      <c r="Q65">
        <v>298.75</v>
      </c>
      <c r="R65">
        <v>2.7099999999999999E-2</v>
      </c>
      <c r="S65">
        <v>6</v>
      </c>
      <c r="T65">
        <v>7.3982999999999999</v>
      </c>
      <c r="U65">
        <v>0.65378343423352558</v>
      </c>
    </row>
    <row r="66" spans="2:21" x14ac:dyDescent="0.2">
      <c r="B66">
        <v>217</v>
      </c>
      <c r="C66">
        <v>24.4</v>
      </c>
      <c r="D66">
        <v>490.15</v>
      </c>
      <c r="E66">
        <v>297.54999999999995</v>
      </c>
      <c r="F66">
        <v>7.0000000000000007E-2</v>
      </c>
      <c r="G66">
        <v>6</v>
      </c>
      <c r="H66">
        <v>80.892000000000024</v>
      </c>
      <c r="I66">
        <v>13.858162645265226</v>
      </c>
      <c r="N66">
        <v>109.6</v>
      </c>
      <c r="O66">
        <v>27.1</v>
      </c>
      <c r="P66">
        <v>382.75</v>
      </c>
      <c r="Q66">
        <v>300.25</v>
      </c>
      <c r="R66">
        <v>0.12759999999999999</v>
      </c>
      <c r="S66">
        <v>6</v>
      </c>
      <c r="T66">
        <v>63.161999999999999</v>
      </c>
      <c r="U66">
        <v>6.753183889852755</v>
      </c>
    </row>
    <row r="67" spans="2:21" x14ac:dyDescent="0.2">
      <c r="B67">
        <v>134.4</v>
      </c>
      <c r="C67">
        <v>26.1</v>
      </c>
      <c r="D67">
        <v>407.54999999999995</v>
      </c>
      <c r="E67">
        <v>299.25</v>
      </c>
      <c r="F67">
        <v>0.22500000000000001</v>
      </c>
      <c r="G67">
        <v>6</v>
      </c>
      <c r="H67">
        <v>146.20499999999996</v>
      </c>
      <c r="I67">
        <v>17.475526741683687</v>
      </c>
      <c r="N67">
        <v>105.4</v>
      </c>
      <c r="O67">
        <v>26.5</v>
      </c>
      <c r="P67">
        <v>378.54999999999995</v>
      </c>
      <c r="Q67">
        <v>299.64999999999998</v>
      </c>
      <c r="R67">
        <v>0.22500000000000001</v>
      </c>
      <c r="S67">
        <v>6</v>
      </c>
      <c r="T67">
        <v>106.51499999999997</v>
      </c>
      <c r="U67">
        <v>11.138391193537281</v>
      </c>
    </row>
    <row r="68" spans="2:21" x14ac:dyDescent="0.2">
      <c r="B68">
        <v>96.05</v>
      </c>
      <c r="C68">
        <v>26.1</v>
      </c>
      <c r="D68">
        <v>369.2</v>
      </c>
      <c r="E68">
        <v>299.25</v>
      </c>
      <c r="F68">
        <v>7.0000000000000007E-2</v>
      </c>
      <c r="G68">
        <v>6</v>
      </c>
      <c r="H68">
        <v>29.378999999999998</v>
      </c>
      <c r="I68">
        <v>2.934090976138048</v>
      </c>
      <c r="N68">
        <v>92.6</v>
      </c>
      <c r="O68">
        <v>26.5</v>
      </c>
      <c r="P68">
        <v>365.75</v>
      </c>
      <c r="Q68">
        <v>299.64999999999998</v>
      </c>
      <c r="R68">
        <v>0.22500000000000001</v>
      </c>
      <c r="S68">
        <v>6</v>
      </c>
      <c r="T68">
        <v>89.235000000000042</v>
      </c>
      <c r="U68">
        <v>8.7810845979468688</v>
      </c>
    </row>
    <row r="69" spans="2:21" x14ac:dyDescent="0.2">
      <c r="B69">
        <v>140.1</v>
      </c>
      <c r="C69">
        <v>26.1</v>
      </c>
      <c r="D69">
        <v>413.25</v>
      </c>
      <c r="E69">
        <v>299.25</v>
      </c>
      <c r="F69">
        <v>0.26500000000000001</v>
      </c>
      <c r="G69">
        <v>6</v>
      </c>
      <c r="H69">
        <v>181.26000000000002</v>
      </c>
      <c r="I69">
        <v>22.239982784544328</v>
      </c>
      <c r="N69">
        <v>88.3</v>
      </c>
      <c r="O69">
        <v>26.5</v>
      </c>
      <c r="P69">
        <v>361.45</v>
      </c>
      <c r="Q69">
        <v>299.64999999999998</v>
      </c>
      <c r="R69">
        <v>0.51800000000000002</v>
      </c>
      <c r="S69">
        <v>6</v>
      </c>
      <c r="T69">
        <v>192.07440000000005</v>
      </c>
      <c r="U69">
        <v>18.516097371740035</v>
      </c>
    </row>
    <row r="70" spans="2:21" x14ac:dyDescent="0.2">
      <c r="B70">
        <v>74.8</v>
      </c>
      <c r="C70">
        <v>26.4</v>
      </c>
      <c r="D70">
        <v>347.95</v>
      </c>
      <c r="E70">
        <v>299.54999999999995</v>
      </c>
      <c r="F70">
        <v>0.35</v>
      </c>
      <c r="G70">
        <v>6</v>
      </c>
      <c r="H70">
        <v>101.64000000000006</v>
      </c>
      <c r="I70">
        <v>9.1770618429097492</v>
      </c>
      <c r="N70">
        <v>120.2</v>
      </c>
      <c r="O70">
        <v>23.1</v>
      </c>
      <c r="P70">
        <v>393.34999999999997</v>
      </c>
      <c r="Q70">
        <v>296.25</v>
      </c>
      <c r="R70">
        <v>0.27100000000000002</v>
      </c>
      <c r="S70">
        <v>6</v>
      </c>
      <c r="T70">
        <v>157.88459999999995</v>
      </c>
      <c r="U70">
        <v>17.464559434417687</v>
      </c>
    </row>
    <row r="71" spans="2:21" x14ac:dyDescent="0.2">
      <c r="B71">
        <v>217</v>
      </c>
      <c r="C71">
        <v>26.5</v>
      </c>
      <c r="D71">
        <v>490.15</v>
      </c>
      <c r="E71">
        <v>299.64999999999998</v>
      </c>
      <c r="F71">
        <v>1.1000000000000001</v>
      </c>
      <c r="G71">
        <v>6</v>
      </c>
      <c r="H71">
        <v>1257.3000000000002</v>
      </c>
      <c r="I71">
        <v>216.79472710371735</v>
      </c>
      <c r="N71">
        <v>219.6</v>
      </c>
      <c r="O71">
        <v>23.1</v>
      </c>
      <c r="P71">
        <v>492.75</v>
      </c>
      <c r="Q71">
        <v>296.25</v>
      </c>
      <c r="R71">
        <v>0.62829999999999997</v>
      </c>
      <c r="S71">
        <v>6</v>
      </c>
      <c r="T71">
        <v>740.76570000000004</v>
      </c>
      <c r="U71">
        <v>127.80466912447761</v>
      </c>
    </row>
    <row r="72" spans="2:21" x14ac:dyDescent="0.2">
      <c r="B72">
        <v>87.9</v>
      </c>
      <c r="C72">
        <v>25.5</v>
      </c>
      <c r="D72">
        <v>361.04999999999995</v>
      </c>
      <c r="E72">
        <v>298.64999999999998</v>
      </c>
      <c r="F72">
        <v>0.13100000000000001</v>
      </c>
      <c r="G72">
        <v>6</v>
      </c>
      <c r="H72">
        <v>49.046399999999984</v>
      </c>
      <c r="I72">
        <v>4.6991010397172257</v>
      </c>
      <c r="N72">
        <v>135.1</v>
      </c>
      <c r="O72">
        <v>25.5</v>
      </c>
      <c r="P72">
        <v>408.25</v>
      </c>
      <c r="Q72">
        <v>298.64999999999998</v>
      </c>
      <c r="R72">
        <v>0.86</v>
      </c>
      <c r="S72">
        <v>6</v>
      </c>
      <c r="T72">
        <v>565.53600000000017</v>
      </c>
      <c r="U72">
        <v>67.66284995771764</v>
      </c>
    </row>
    <row r="73" spans="2:21" x14ac:dyDescent="0.2">
      <c r="B73">
        <v>73.599999999999994</v>
      </c>
      <c r="C73">
        <v>25.5</v>
      </c>
      <c r="D73">
        <v>346.75</v>
      </c>
      <c r="E73">
        <v>298.64999999999998</v>
      </c>
      <c r="F73">
        <v>0.16</v>
      </c>
      <c r="G73">
        <v>6</v>
      </c>
      <c r="H73">
        <v>46.176000000000023</v>
      </c>
      <c r="I73">
        <v>4.1286549547721911</v>
      </c>
      <c r="N73">
        <v>79.8</v>
      </c>
      <c r="O73">
        <v>23.8</v>
      </c>
      <c r="P73">
        <v>352.95</v>
      </c>
      <c r="Q73">
        <v>296.95</v>
      </c>
      <c r="R73">
        <v>0.16</v>
      </c>
      <c r="S73">
        <v>6</v>
      </c>
      <c r="T73">
        <v>53.76</v>
      </c>
      <c r="U73">
        <v>4.9171261286028258</v>
      </c>
    </row>
    <row r="74" spans="2:21" x14ac:dyDescent="0.2">
      <c r="B74">
        <v>274.39999999999998</v>
      </c>
      <c r="C74">
        <v>25.7</v>
      </c>
      <c r="D74">
        <v>547.54999999999995</v>
      </c>
      <c r="E74">
        <v>298.84999999999997</v>
      </c>
      <c r="F74">
        <v>0.04</v>
      </c>
      <c r="G74">
        <v>6</v>
      </c>
      <c r="H74">
        <v>59.687999999999995</v>
      </c>
      <c r="I74">
        <v>13.004051428069195</v>
      </c>
      <c r="N74">
        <v>219.6</v>
      </c>
      <c r="O74">
        <v>23.8</v>
      </c>
      <c r="P74">
        <v>492.75</v>
      </c>
      <c r="Q74">
        <v>296.95</v>
      </c>
      <c r="R74">
        <v>3.1399999999999997E-2</v>
      </c>
      <c r="S74">
        <v>6</v>
      </c>
      <c r="T74">
        <v>36.888719999999999</v>
      </c>
      <c r="U74">
        <v>6.3780771942767425</v>
      </c>
    </row>
    <row r="75" spans="2:21" x14ac:dyDescent="0.2">
      <c r="B75">
        <v>274.39999999999998</v>
      </c>
      <c r="C75">
        <v>25.9</v>
      </c>
      <c r="D75">
        <v>547.54999999999995</v>
      </c>
      <c r="E75">
        <v>299.04999999999995</v>
      </c>
      <c r="F75">
        <v>0.16</v>
      </c>
      <c r="G75">
        <v>6</v>
      </c>
      <c r="H75">
        <v>238.56</v>
      </c>
      <c r="I75">
        <v>52.002632370323383</v>
      </c>
      <c r="N75">
        <v>219.6</v>
      </c>
      <c r="O75">
        <v>23.8</v>
      </c>
      <c r="P75">
        <v>492.75</v>
      </c>
      <c r="Q75">
        <v>296.95</v>
      </c>
      <c r="R75">
        <v>3.1399999999999997E-2</v>
      </c>
      <c r="S75">
        <v>6</v>
      </c>
      <c r="T75">
        <v>36.888719999999999</v>
      </c>
      <c r="U75">
        <v>6.3780771942767425</v>
      </c>
    </row>
    <row r="76" spans="2:21" x14ac:dyDescent="0.2">
      <c r="B76">
        <v>70.400000000000006</v>
      </c>
      <c r="C76">
        <v>25.9</v>
      </c>
      <c r="D76">
        <v>343.54999999999995</v>
      </c>
      <c r="E76">
        <v>299.04999999999995</v>
      </c>
      <c r="F76">
        <v>0.04</v>
      </c>
      <c r="G76">
        <v>6</v>
      </c>
      <c r="H76">
        <v>10.68</v>
      </c>
      <c r="I76">
        <v>0.94182664532265614</v>
      </c>
      <c r="N76">
        <v>83.6</v>
      </c>
      <c r="O76">
        <v>25.1</v>
      </c>
      <c r="P76">
        <v>356.75</v>
      </c>
      <c r="Q76">
        <v>298.25</v>
      </c>
      <c r="R76">
        <v>0.28699999999999998</v>
      </c>
      <c r="S76">
        <v>6</v>
      </c>
      <c r="T76">
        <v>100.73699999999999</v>
      </c>
      <c r="U76">
        <v>9.437637797639157</v>
      </c>
    </row>
    <row r="77" spans="2:21" x14ac:dyDescent="0.2">
      <c r="B77">
        <v>112.5</v>
      </c>
      <c r="C77">
        <v>26.1</v>
      </c>
      <c r="D77">
        <v>385.65</v>
      </c>
      <c r="E77">
        <v>299.25</v>
      </c>
      <c r="F77">
        <v>0.18</v>
      </c>
      <c r="G77">
        <v>6</v>
      </c>
      <c r="H77">
        <v>93.311999999999983</v>
      </c>
      <c r="I77">
        <v>10.073391141145802</v>
      </c>
      <c r="N77">
        <v>138.1</v>
      </c>
      <c r="O77">
        <v>26.5</v>
      </c>
      <c r="P77">
        <v>411.25</v>
      </c>
      <c r="Q77">
        <v>299.64999999999998</v>
      </c>
      <c r="R77">
        <v>0.13100000000000001</v>
      </c>
      <c r="S77">
        <v>6</v>
      </c>
      <c r="T77">
        <v>87.717600000000019</v>
      </c>
      <c r="U77">
        <v>10.680341549930015</v>
      </c>
    </row>
    <row r="78" spans="2:21" x14ac:dyDescent="0.2">
      <c r="B78">
        <v>136</v>
      </c>
      <c r="C78">
        <v>26.3</v>
      </c>
      <c r="D78">
        <v>409.15</v>
      </c>
      <c r="E78">
        <v>299.45</v>
      </c>
      <c r="F78">
        <v>0.14000000000000001</v>
      </c>
      <c r="G78">
        <v>6</v>
      </c>
      <c r="H78">
        <v>92.147999999999996</v>
      </c>
      <c r="I78">
        <v>11.103888892293833</v>
      </c>
      <c r="N78">
        <v>77.3</v>
      </c>
      <c r="O78">
        <v>26.4</v>
      </c>
      <c r="P78">
        <v>350.45</v>
      </c>
      <c r="Q78">
        <v>299.54999999999995</v>
      </c>
      <c r="R78">
        <v>0.13100000000000001</v>
      </c>
      <c r="S78">
        <v>6</v>
      </c>
      <c r="T78">
        <v>40.007400000000025</v>
      </c>
      <c r="U78">
        <v>3.6562447007528109</v>
      </c>
    </row>
    <row r="79" spans="2:21" x14ac:dyDescent="0.2">
      <c r="B79">
        <v>108.8</v>
      </c>
      <c r="C79">
        <v>25.9</v>
      </c>
      <c r="D79">
        <v>381.95</v>
      </c>
      <c r="E79">
        <v>299.04999999999995</v>
      </c>
      <c r="F79">
        <v>7.0000000000000007E-2</v>
      </c>
      <c r="G79">
        <v>6</v>
      </c>
      <c r="H79">
        <v>34.818000000000019</v>
      </c>
      <c r="I79">
        <v>3.6909107188727046</v>
      </c>
      <c r="N79">
        <v>147.69999999999999</v>
      </c>
      <c r="O79">
        <v>26.6</v>
      </c>
      <c r="P79">
        <v>420.84999999999997</v>
      </c>
      <c r="Q79">
        <v>299.75</v>
      </c>
      <c r="R79">
        <v>0.13100000000000001</v>
      </c>
      <c r="S79">
        <v>6</v>
      </c>
      <c r="T79">
        <v>95.184599999999975</v>
      </c>
      <c r="U79">
        <v>12.112806329336113</v>
      </c>
    </row>
    <row r="80" spans="2:21" x14ac:dyDescent="0.2">
      <c r="B80">
        <v>58.5</v>
      </c>
      <c r="C80">
        <v>26.5</v>
      </c>
      <c r="D80">
        <v>331.65</v>
      </c>
      <c r="E80">
        <v>299.64999999999998</v>
      </c>
      <c r="F80">
        <v>0.25</v>
      </c>
      <c r="G80">
        <v>6</v>
      </c>
      <c r="H80">
        <v>48</v>
      </c>
      <c r="I80">
        <v>4.0046345948223721</v>
      </c>
      <c r="N80">
        <v>70.7</v>
      </c>
      <c r="O80">
        <v>26.5</v>
      </c>
      <c r="P80">
        <v>343.84999999999997</v>
      </c>
      <c r="Q80">
        <v>299.64999999999998</v>
      </c>
      <c r="R80">
        <v>0.13100000000000001</v>
      </c>
      <c r="S80">
        <v>6</v>
      </c>
      <c r="T80">
        <v>34.741199999999992</v>
      </c>
      <c r="U80">
        <v>3.0763408724434962</v>
      </c>
    </row>
    <row r="81" spans="2:21" x14ac:dyDescent="0.2">
      <c r="B81">
        <v>274.39999999999998</v>
      </c>
      <c r="C81">
        <v>26.5</v>
      </c>
      <c r="D81">
        <v>547.54999999999995</v>
      </c>
      <c r="E81">
        <v>299.64999999999998</v>
      </c>
      <c r="F81">
        <v>3.1399999999999997E-2</v>
      </c>
      <c r="G81">
        <v>6</v>
      </c>
      <c r="H81">
        <v>46.704359999999994</v>
      </c>
      <c r="I81">
        <v>10.197493170009482</v>
      </c>
      <c r="N81">
        <v>94.2</v>
      </c>
      <c r="O81">
        <v>26.5</v>
      </c>
      <c r="P81">
        <v>367.34999999999997</v>
      </c>
      <c r="Q81">
        <v>299.64999999999998</v>
      </c>
      <c r="R81">
        <v>0.13100000000000001</v>
      </c>
      <c r="S81">
        <v>6</v>
      </c>
      <c r="T81">
        <v>53.212199999999996</v>
      </c>
      <c r="U81">
        <v>5.2764256648665659</v>
      </c>
    </row>
    <row r="82" spans="2:21" x14ac:dyDescent="0.2">
      <c r="B82">
        <v>274.39999999999998</v>
      </c>
      <c r="C82">
        <v>26.5</v>
      </c>
      <c r="D82">
        <v>547.54999999999995</v>
      </c>
      <c r="E82">
        <v>299.64999999999998</v>
      </c>
      <c r="F82">
        <v>3.1399999999999997E-2</v>
      </c>
      <c r="G82">
        <v>6</v>
      </c>
      <c r="H82">
        <v>46.704359999999994</v>
      </c>
      <c r="I82">
        <v>10.197493170009482</v>
      </c>
      <c r="N82">
        <v>60.6</v>
      </c>
      <c r="O82">
        <v>26.8</v>
      </c>
      <c r="P82">
        <v>333.75</v>
      </c>
      <c r="Q82">
        <v>299.95</v>
      </c>
      <c r="R82">
        <v>0.13100000000000001</v>
      </c>
      <c r="S82">
        <v>6</v>
      </c>
      <c r="T82">
        <v>26.566800000000011</v>
      </c>
      <c r="U82">
        <v>2.2424562970494475</v>
      </c>
    </row>
    <row r="83" spans="2:21" x14ac:dyDescent="0.2">
      <c r="B83">
        <v>128.6</v>
      </c>
      <c r="C83">
        <v>27.5</v>
      </c>
      <c r="D83">
        <v>401.75</v>
      </c>
      <c r="E83">
        <v>300.64999999999998</v>
      </c>
      <c r="F83">
        <v>0.2</v>
      </c>
      <c r="G83">
        <v>6</v>
      </c>
      <c r="H83">
        <v>121.32000000000005</v>
      </c>
      <c r="I83">
        <v>14.193556859071489</v>
      </c>
      <c r="N83">
        <v>83.9</v>
      </c>
      <c r="O83">
        <v>26.8</v>
      </c>
      <c r="P83">
        <v>357.04999999999995</v>
      </c>
      <c r="Q83">
        <v>299.95</v>
      </c>
      <c r="R83">
        <v>0.13100000000000001</v>
      </c>
      <c r="S83">
        <v>6</v>
      </c>
      <c r="T83">
        <v>44.880599999999973</v>
      </c>
      <c r="U83">
        <v>4.2415313486356947</v>
      </c>
    </row>
    <row r="84" spans="2:21" x14ac:dyDescent="0.2">
      <c r="B84">
        <v>283</v>
      </c>
      <c r="C84">
        <v>27.6</v>
      </c>
      <c r="D84">
        <v>556.15</v>
      </c>
      <c r="E84">
        <v>300.75</v>
      </c>
      <c r="F84">
        <v>0.05</v>
      </c>
      <c r="G84">
        <v>6</v>
      </c>
      <c r="H84">
        <v>76.62</v>
      </c>
      <c r="I84">
        <v>17.361781605767668</v>
      </c>
      <c r="N84">
        <v>122.1</v>
      </c>
      <c r="O84">
        <v>26.7</v>
      </c>
      <c r="P84">
        <v>395.25</v>
      </c>
      <c r="Q84">
        <v>299.84999999999997</v>
      </c>
      <c r="R84">
        <v>0.13100000000000001</v>
      </c>
      <c r="S84">
        <v>6</v>
      </c>
      <c r="T84">
        <v>74.984400000000036</v>
      </c>
      <c r="U84">
        <v>8.4862763595300947</v>
      </c>
    </row>
    <row r="85" spans="2:21" x14ac:dyDescent="0.2">
      <c r="B85">
        <v>283</v>
      </c>
      <c r="C85">
        <v>28.1</v>
      </c>
      <c r="D85">
        <v>556.15</v>
      </c>
      <c r="E85">
        <v>301.25</v>
      </c>
      <c r="F85">
        <v>0.05</v>
      </c>
      <c r="G85">
        <v>6</v>
      </c>
      <c r="H85">
        <v>76.47</v>
      </c>
      <c r="I85">
        <v>17.350957777694088</v>
      </c>
      <c r="N85">
        <v>275</v>
      </c>
      <c r="O85">
        <v>26.7</v>
      </c>
      <c r="P85">
        <v>548.15</v>
      </c>
      <c r="Q85">
        <v>299.84999999999997</v>
      </c>
      <c r="R85">
        <v>0.13100000000000001</v>
      </c>
      <c r="S85">
        <v>6</v>
      </c>
      <c r="T85">
        <v>195.16380000000001</v>
      </c>
      <c r="U85">
        <v>42.737665557210562</v>
      </c>
    </row>
    <row r="86" spans="2:21" x14ac:dyDescent="0.2">
      <c r="B86">
        <v>283</v>
      </c>
      <c r="C86">
        <v>28.1</v>
      </c>
      <c r="D86">
        <v>556.15</v>
      </c>
      <c r="E86">
        <v>301.25</v>
      </c>
      <c r="F86">
        <v>0.1963</v>
      </c>
      <c r="G86">
        <v>6</v>
      </c>
      <c r="H86">
        <v>300.22121999999996</v>
      </c>
      <c r="I86">
        <v>68.11986023522698</v>
      </c>
      <c r="N86">
        <v>86.9</v>
      </c>
      <c r="O86">
        <v>26.7</v>
      </c>
      <c r="P86">
        <v>360.04999999999995</v>
      </c>
      <c r="Q86">
        <v>299.84999999999997</v>
      </c>
      <c r="R86">
        <v>0.13100000000000001</v>
      </c>
      <c r="S86">
        <v>6</v>
      </c>
      <c r="T86">
        <v>47.317199999999993</v>
      </c>
      <c r="U86">
        <v>4.5347420965384453</v>
      </c>
    </row>
    <row r="87" spans="2:21" x14ac:dyDescent="0.2">
      <c r="B87">
        <v>283</v>
      </c>
      <c r="C87">
        <v>28.1</v>
      </c>
      <c r="D87">
        <v>556.15</v>
      </c>
      <c r="E87">
        <v>301.25</v>
      </c>
      <c r="F87">
        <v>1.57</v>
      </c>
      <c r="G87">
        <v>6</v>
      </c>
      <c r="H87">
        <v>2401.1579999999999</v>
      </c>
      <c r="I87">
        <v>544.82007421959429</v>
      </c>
      <c r="N87">
        <v>132</v>
      </c>
      <c r="O87">
        <v>26.6</v>
      </c>
      <c r="P87">
        <v>405.15</v>
      </c>
      <c r="Q87">
        <v>299.75</v>
      </c>
      <c r="R87">
        <v>0.13100000000000001</v>
      </c>
      <c r="S87">
        <v>6</v>
      </c>
      <c r="T87">
        <v>82.844399999999979</v>
      </c>
      <c r="U87">
        <v>9.8117933672721556</v>
      </c>
    </row>
    <row r="88" spans="2:21" x14ac:dyDescent="0.2">
      <c r="B88">
        <v>103.1</v>
      </c>
      <c r="C88">
        <v>28.1</v>
      </c>
      <c r="D88">
        <v>376.25</v>
      </c>
      <c r="E88">
        <v>301.25</v>
      </c>
      <c r="F88">
        <v>1.57</v>
      </c>
      <c r="G88">
        <v>6</v>
      </c>
      <c r="H88">
        <v>706.5</v>
      </c>
      <c r="I88">
        <v>73.557969876931637</v>
      </c>
      <c r="N88">
        <v>125</v>
      </c>
      <c r="O88">
        <v>26.6</v>
      </c>
      <c r="P88">
        <v>398.15</v>
      </c>
      <c r="Q88">
        <v>299.75</v>
      </c>
      <c r="R88">
        <v>0.13100000000000001</v>
      </c>
      <c r="S88">
        <v>6</v>
      </c>
      <c r="T88">
        <v>77.342399999999984</v>
      </c>
      <c r="U88">
        <v>8.868413254780247</v>
      </c>
    </row>
    <row r="89" spans="2:21" x14ac:dyDescent="0.2">
      <c r="B89">
        <v>112.8</v>
      </c>
      <c r="C89">
        <v>28.1</v>
      </c>
      <c r="D89">
        <v>385.95</v>
      </c>
      <c r="E89">
        <v>301.25</v>
      </c>
      <c r="F89">
        <v>0.94</v>
      </c>
      <c r="G89">
        <v>6</v>
      </c>
      <c r="H89">
        <v>477.70799999999991</v>
      </c>
      <c r="I89">
        <v>52.05468112134686</v>
      </c>
      <c r="N89">
        <v>113.9</v>
      </c>
      <c r="O89">
        <v>26.6</v>
      </c>
      <c r="P89">
        <v>387.04999999999995</v>
      </c>
      <c r="Q89">
        <v>299.75</v>
      </c>
      <c r="R89">
        <v>0.13100000000000001</v>
      </c>
      <c r="S89">
        <v>6</v>
      </c>
      <c r="T89">
        <v>68.617799999999974</v>
      </c>
      <c r="U89">
        <v>7.4711667503249624</v>
      </c>
    </row>
    <row r="90" spans="2:21" x14ac:dyDescent="0.2">
      <c r="B90">
        <v>297.39999999999998</v>
      </c>
      <c r="C90">
        <v>28.1</v>
      </c>
      <c r="D90">
        <v>570.54999999999995</v>
      </c>
      <c r="E90">
        <v>301.25</v>
      </c>
      <c r="F90">
        <v>0.94</v>
      </c>
      <c r="G90">
        <v>6</v>
      </c>
      <c r="H90">
        <v>1518.8519999999996</v>
      </c>
      <c r="I90">
        <v>364.62507576479771</v>
      </c>
      <c r="N90">
        <v>144.9</v>
      </c>
      <c r="O90">
        <v>26.6</v>
      </c>
      <c r="P90">
        <v>418.04999999999995</v>
      </c>
      <c r="Q90">
        <v>299.75</v>
      </c>
      <c r="R90">
        <v>0.13100000000000001</v>
      </c>
      <c r="S90">
        <v>6</v>
      </c>
      <c r="T90">
        <v>92.983799999999974</v>
      </c>
      <c r="U90">
        <v>11.68305636278032</v>
      </c>
    </row>
    <row r="91" spans="2:21" x14ac:dyDescent="0.2">
      <c r="B91">
        <v>283</v>
      </c>
      <c r="C91">
        <v>27.7</v>
      </c>
      <c r="D91">
        <v>556.15</v>
      </c>
      <c r="E91">
        <v>300.84999999999997</v>
      </c>
      <c r="F91">
        <v>2.19</v>
      </c>
      <c r="G91">
        <v>6</v>
      </c>
      <c r="H91">
        <v>3354.6420000000003</v>
      </c>
      <c r="I91">
        <v>760.35140653926305</v>
      </c>
      <c r="N91">
        <v>87.3</v>
      </c>
      <c r="O91">
        <v>24.5</v>
      </c>
      <c r="P91">
        <v>360.45</v>
      </c>
      <c r="Q91">
        <v>297.64999999999998</v>
      </c>
      <c r="R91">
        <v>0.13100000000000001</v>
      </c>
      <c r="S91">
        <v>6</v>
      </c>
      <c r="T91">
        <v>49.360800000000012</v>
      </c>
      <c r="U91">
        <v>4.6956376308316772</v>
      </c>
    </row>
    <row r="92" spans="2:21" x14ac:dyDescent="0.2">
      <c r="B92">
        <v>81.400000000000006</v>
      </c>
      <c r="C92">
        <v>27.5</v>
      </c>
      <c r="D92">
        <v>354.54999999999995</v>
      </c>
      <c r="E92">
        <v>300.64999999999998</v>
      </c>
      <c r="F92">
        <v>30.78</v>
      </c>
      <c r="G92">
        <v>6</v>
      </c>
      <c r="H92">
        <v>9954.2519999999968</v>
      </c>
      <c r="I92">
        <v>932.30786420502443</v>
      </c>
      <c r="N92">
        <v>91.8</v>
      </c>
      <c r="O92">
        <v>26.5</v>
      </c>
      <c r="P92">
        <v>364.95</v>
      </c>
      <c r="Q92">
        <v>299.64999999999998</v>
      </c>
      <c r="R92">
        <v>0.13100000000000001</v>
      </c>
      <c r="S92">
        <v>6</v>
      </c>
      <c r="T92">
        <v>51.325800000000008</v>
      </c>
      <c r="U92">
        <v>5.0314034802292253</v>
      </c>
    </row>
    <row r="93" spans="2:21" x14ac:dyDescent="0.2">
      <c r="B93">
        <v>229.5</v>
      </c>
      <c r="C93">
        <v>27.7</v>
      </c>
      <c r="D93">
        <v>502.65</v>
      </c>
      <c r="E93">
        <v>300.84999999999997</v>
      </c>
      <c r="F93">
        <v>0.15</v>
      </c>
      <c r="G93">
        <v>6</v>
      </c>
      <c r="H93">
        <v>181.62</v>
      </c>
      <c r="I93">
        <v>33.127286361046508</v>
      </c>
      <c r="N93">
        <v>86.6</v>
      </c>
      <c r="O93">
        <v>26.5</v>
      </c>
      <c r="P93">
        <v>359.75</v>
      </c>
      <c r="Q93">
        <v>299.64999999999998</v>
      </c>
      <c r="R93">
        <v>0.13100000000000001</v>
      </c>
      <c r="S93">
        <v>6</v>
      </c>
      <c r="T93">
        <v>47.238600000000019</v>
      </c>
      <c r="U93">
        <v>4.5168590445730139</v>
      </c>
    </row>
    <row r="94" spans="2:21" x14ac:dyDescent="0.2">
      <c r="B94">
        <v>229.5</v>
      </c>
      <c r="C94">
        <v>27.7</v>
      </c>
      <c r="D94">
        <v>502.65</v>
      </c>
      <c r="E94">
        <v>300.84999999999997</v>
      </c>
      <c r="F94">
        <v>0.12</v>
      </c>
      <c r="G94">
        <v>6</v>
      </c>
      <c r="H94">
        <v>145.29599999999999</v>
      </c>
      <c r="I94">
        <v>26.501829088837205</v>
      </c>
      <c r="N94">
        <v>101.9</v>
      </c>
      <c r="O94">
        <v>26.5</v>
      </c>
      <c r="P94">
        <v>375.04999999999995</v>
      </c>
      <c r="Q94">
        <v>299.64999999999998</v>
      </c>
      <c r="R94">
        <v>0.13100000000000001</v>
      </c>
      <c r="S94">
        <v>6</v>
      </c>
      <c r="T94">
        <v>59.264399999999988</v>
      </c>
      <c r="U94">
        <v>6.095595081634527</v>
      </c>
    </row>
    <row r="95" spans="2:21" x14ac:dyDescent="0.2">
      <c r="B95">
        <v>144.1</v>
      </c>
      <c r="C95">
        <v>27.7</v>
      </c>
      <c r="D95">
        <v>417.25</v>
      </c>
      <c r="E95">
        <v>300.84999999999997</v>
      </c>
      <c r="F95">
        <v>0.13</v>
      </c>
      <c r="G95">
        <v>6</v>
      </c>
      <c r="H95">
        <v>90.79200000000003</v>
      </c>
      <c r="I95">
        <v>11.412105983468786</v>
      </c>
      <c r="N95">
        <v>77.8</v>
      </c>
      <c r="O95">
        <v>26.5</v>
      </c>
      <c r="P95">
        <v>350.95</v>
      </c>
      <c r="Q95">
        <v>299.64999999999998</v>
      </c>
      <c r="R95">
        <v>0.13100000000000001</v>
      </c>
      <c r="S95">
        <v>6</v>
      </c>
      <c r="T95">
        <v>40.32180000000001</v>
      </c>
      <c r="U95">
        <v>3.695504626858896</v>
      </c>
    </row>
    <row r="96" spans="2:21" x14ac:dyDescent="0.2">
      <c r="B96">
        <v>229.5</v>
      </c>
      <c r="C96">
        <v>27.7</v>
      </c>
      <c r="D96">
        <v>502.65</v>
      </c>
      <c r="E96">
        <v>300.84999999999997</v>
      </c>
      <c r="F96">
        <v>1.75</v>
      </c>
      <c r="G96">
        <v>6</v>
      </c>
      <c r="H96">
        <v>2118.9</v>
      </c>
      <c r="I96">
        <v>386.4850075455426</v>
      </c>
      <c r="N96">
        <v>97.2</v>
      </c>
      <c r="O96">
        <v>26.5</v>
      </c>
      <c r="P96">
        <v>370.34999999999997</v>
      </c>
      <c r="Q96">
        <v>299.64999999999998</v>
      </c>
      <c r="R96">
        <v>0.13100000000000001</v>
      </c>
      <c r="S96">
        <v>6</v>
      </c>
      <c r="T96">
        <v>55.570199999999993</v>
      </c>
      <c r="U96">
        <v>5.5895307970446266</v>
      </c>
    </row>
    <row r="97" spans="2:21" x14ac:dyDescent="0.2">
      <c r="B97">
        <v>229.5</v>
      </c>
      <c r="C97">
        <v>28.1</v>
      </c>
      <c r="D97">
        <v>502.65</v>
      </c>
      <c r="E97">
        <v>301.25</v>
      </c>
      <c r="F97">
        <v>2.92</v>
      </c>
      <c r="G97">
        <v>6</v>
      </c>
      <c r="H97">
        <v>3528.5279999999993</v>
      </c>
      <c r="I97">
        <v>644.37189999335601</v>
      </c>
      <c r="N97">
        <v>139.30000000000001</v>
      </c>
      <c r="O97">
        <v>26.5</v>
      </c>
      <c r="P97">
        <v>412.45</v>
      </c>
      <c r="Q97">
        <v>299.64999999999998</v>
      </c>
      <c r="R97">
        <v>0.2</v>
      </c>
      <c r="S97">
        <v>6</v>
      </c>
      <c r="T97">
        <v>135.36000000000004</v>
      </c>
      <c r="U97">
        <v>16.572041924150543</v>
      </c>
    </row>
    <row r="98" spans="2:21" x14ac:dyDescent="0.2">
      <c r="B98">
        <v>79.5</v>
      </c>
      <c r="C98">
        <v>28.1</v>
      </c>
      <c r="D98">
        <v>352.65</v>
      </c>
      <c r="E98">
        <v>301.25</v>
      </c>
      <c r="F98">
        <v>2.92</v>
      </c>
      <c r="G98">
        <v>6</v>
      </c>
      <c r="H98">
        <v>900.52799999999957</v>
      </c>
      <c r="I98">
        <v>83.792711611505567</v>
      </c>
      <c r="N98">
        <v>285</v>
      </c>
      <c r="O98">
        <v>26.5</v>
      </c>
      <c r="P98">
        <v>558.15</v>
      </c>
      <c r="Q98">
        <v>299.64999999999998</v>
      </c>
      <c r="R98">
        <v>0.05</v>
      </c>
      <c r="S98">
        <v>6</v>
      </c>
      <c r="T98">
        <v>77.550000000000011</v>
      </c>
      <c r="U98">
        <v>17.659978401546923</v>
      </c>
    </row>
    <row r="99" spans="2:21" x14ac:dyDescent="0.2">
      <c r="B99">
        <v>101.3</v>
      </c>
      <c r="C99">
        <v>28.1</v>
      </c>
      <c r="D99">
        <v>374.45</v>
      </c>
      <c r="E99">
        <v>301.25</v>
      </c>
      <c r="F99">
        <v>3.1</v>
      </c>
      <c r="G99">
        <v>6</v>
      </c>
      <c r="H99">
        <v>1361.52</v>
      </c>
      <c r="I99">
        <v>140.55709458833093</v>
      </c>
      <c r="N99">
        <v>111.4</v>
      </c>
      <c r="O99">
        <v>26.5</v>
      </c>
      <c r="P99">
        <v>384.54999999999995</v>
      </c>
      <c r="Q99">
        <v>299.64999999999998</v>
      </c>
      <c r="R99">
        <v>0.05</v>
      </c>
      <c r="S99">
        <v>6</v>
      </c>
      <c r="T99">
        <v>25.469999999999995</v>
      </c>
      <c r="U99">
        <v>2.7397698518441942</v>
      </c>
    </row>
    <row r="100" spans="2:21" x14ac:dyDescent="0.2">
      <c r="B100">
        <v>91.2</v>
      </c>
      <c r="C100">
        <v>28.3</v>
      </c>
      <c r="D100">
        <v>364.34999999999997</v>
      </c>
      <c r="E100">
        <v>301.45</v>
      </c>
      <c r="F100">
        <v>0.11</v>
      </c>
      <c r="G100">
        <v>6</v>
      </c>
      <c r="H100">
        <v>41.513999999999989</v>
      </c>
      <c r="I100">
        <v>4.0886952179210772</v>
      </c>
      <c r="N100">
        <v>119.8</v>
      </c>
      <c r="O100">
        <v>26.5</v>
      </c>
      <c r="P100">
        <v>392.95</v>
      </c>
      <c r="Q100">
        <v>299.64999999999998</v>
      </c>
      <c r="R100">
        <v>0.05</v>
      </c>
      <c r="S100">
        <v>6</v>
      </c>
      <c r="T100">
        <v>27.990000000000009</v>
      </c>
      <c r="U100">
        <v>3.1315588858169607</v>
      </c>
    </row>
    <row r="101" spans="2:21" x14ac:dyDescent="0.2">
      <c r="B101">
        <v>99.1</v>
      </c>
      <c r="C101">
        <v>28.2</v>
      </c>
      <c r="D101">
        <v>372.25</v>
      </c>
      <c r="E101">
        <v>301.34999999999997</v>
      </c>
      <c r="F101">
        <v>3.1415000000000002</v>
      </c>
      <c r="G101">
        <v>6</v>
      </c>
      <c r="H101">
        <v>1336.3941000000007</v>
      </c>
      <c r="I101">
        <v>136.59210375571794</v>
      </c>
      <c r="N101">
        <v>285</v>
      </c>
      <c r="O101">
        <v>26.5</v>
      </c>
      <c r="P101">
        <v>558.15</v>
      </c>
      <c r="Q101">
        <v>299.64999999999998</v>
      </c>
      <c r="R101">
        <v>0.5</v>
      </c>
      <c r="S101">
        <v>6</v>
      </c>
      <c r="T101">
        <v>775.5</v>
      </c>
      <c r="U101">
        <v>176.59978401546923</v>
      </c>
    </row>
    <row r="102" spans="2:21" x14ac:dyDescent="0.2">
      <c r="B102">
        <v>229.5</v>
      </c>
      <c r="C102">
        <v>28.3</v>
      </c>
      <c r="D102">
        <v>502.65</v>
      </c>
      <c r="E102">
        <v>301.45</v>
      </c>
      <c r="F102">
        <v>2.0099999999999998</v>
      </c>
      <c r="G102">
        <v>6</v>
      </c>
      <c r="H102">
        <v>2426.4719999999998</v>
      </c>
      <c r="I102">
        <v>443.38271461431054</v>
      </c>
      <c r="N102">
        <v>108.5</v>
      </c>
      <c r="O102">
        <v>26.8</v>
      </c>
      <c r="P102">
        <v>381.65</v>
      </c>
      <c r="Q102">
        <v>299.95</v>
      </c>
      <c r="R102">
        <v>0.25</v>
      </c>
      <c r="S102">
        <v>6</v>
      </c>
      <c r="T102">
        <v>122.54999999999998</v>
      </c>
      <c r="U102">
        <v>13.019589543780155</v>
      </c>
    </row>
    <row r="103" spans="2:21" x14ac:dyDescent="0.2">
      <c r="B103">
        <v>229.5</v>
      </c>
      <c r="C103">
        <v>28.3</v>
      </c>
      <c r="D103">
        <v>502.65</v>
      </c>
      <c r="E103">
        <v>301.45</v>
      </c>
      <c r="F103">
        <v>2.0099999999999998</v>
      </c>
      <c r="G103">
        <v>6</v>
      </c>
      <c r="H103">
        <v>2426.4719999999998</v>
      </c>
      <c r="I103">
        <v>443.38271461431054</v>
      </c>
      <c r="N103">
        <v>285</v>
      </c>
      <c r="O103">
        <v>26.8</v>
      </c>
      <c r="P103">
        <v>558.15</v>
      </c>
      <c r="Q103">
        <v>299.95</v>
      </c>
      <c r="R103">
        <v>0.08</v>
      </c>
      <c r="S103">
        <v>6</v>
      </c>
      <c r="T103">
        <v>123.93599999999999</v>
      </c>
      <c r="U103">
        <v>28.245698353487061</v>
      </c>
    </row>
    <row r="104" spans="2:21" x14ac:dyDescent="0.2">
      <c r="B104">
        <v>229.5</v>
      </c>
      <c r="C104">
        <v>28.1</v>
      </c>
      <c r="D104">
        <v>502.65</v>
      </c>
      <c r="E104">
        <v>301.25</v>
      </c>
      <c r="F104">
        <v>0.47</v>
      </c>
      <c r="G104">
        <v>6</v>
      </c>
      <c r="H104">
        <v>567.94799999999987</v>
      </c>
      <c r="I104">
        <v>103.71739486194429</v>
      </c>
      <c r="N104">
        <v>285</v>
      </c>
      <c r="O104">
        <v>26.7</v>
      </c>
      <c r="P104">
        <v>558.15</v>
      </c>
      <c r="Q104">
        <v>299.84999999999997</v>
      </c>
      <c r="R104">
        <v>0.1963</v>
      </c>
      <c r="S104">
        <v>6</v>
      </c>
      <c r="T104">
        <v>304.22574000000003</v>
      </c>
      <c r="U104">
        <v>69.316288362228278</v>
      </c>
    </row>
    <row r="105" spans="2:21" x14ac:dyDescent="0.2">
      <c r="B105">
        <v>143.80000000000001</v>
      </c>
      <c r="C105">
        <v>28.3</v>
      </c>
      <c r="D105">
        <v>416.95</v>
      </c>
      <c r="E105">
        <v>301.45</v>
      </c>
      <c r="F105">
        <v>2.2999999999999998</v>
      </c>
      <c r="G105">
        <v>6</v>
      </c>
      <c r="H105">
        <v>1593.8999999999999</v>
      </c>
      <c r="I105">
        <v>200.51322439914637</v>
      </c>
      <c r="N105">
        <v>285</v>
      </c>
      <c r="O105">
        <v>28.1</v>
      </c>
      <c r="P105">
        <v>558.15</v>
      </c>
      <c r="Q105">
        <v>301.25</v>
      </c>
      <c r="R105">
        <v>2.92</v>
      </c>
      <c r="S105">
        <v>6</v>
      </c>
      <c r="T105">
        <v>4500.8879999999999</v>
      </c>
      <c r="U105">
        <v>1029.331036739449</v>
      </c>
    </row>
    <row r="106" spans="2:21" x14ac:dyDescent="0.2">
      <c r="B106">
        <v>229.5</v>
      </c>
      <c r="C106">
        <v>28.2</v>
      </c>
      <c r="D106">
        <v>502.65</v>
      </c>
      <c r="E106">
        <v>301.34999999999997</v>
      </c>
      <c r="F106">
        <v>3.95</v>
      </c>
      <c r="G106">
        <v>6</v>
      </c>
      <c r="H106">
        <v>4770.8100000000004</v>
      </c>
      <c r="I106">
        <v>871.49593923202337</v>
      </c>
      <c r="N106">
        <v>115.1</v>
      </c>
      <c r="O106">
        <v>28.1</v>
      </c>
      <c r="P106">
        <v>388.25</v>
      </c>
      <c r="Q106">
        <v>301.25</v>
      </c>
      <c r="R106">
        <v>2.92</v>
      </c>
      <c r="S106">
        <v>6</v>
      </c>
      <c r="T106">
        <v>1524.24</v>
      </c>
      <c r="U106">
        <v>167.88656776978155</v>
      </c>
    </row>
    <row r="107" spans="2:21" x14ac:dyDescent="0.2">
      <c r="B107">
        <v>229.5</v>
      </c>
      <c r="C107">
        <v>28.3</v>
      </c>
      <c r="D107">
        <v>502.65</v>
      </c>
      <c r="E107">
        <v>301.45</v>
      </c>
      <c r="F107">
        <v>0.21</v>
      </c>
      <c r="G107">
        <v>6</v>
      </c>
      <c r="H107">
        <v>253.512</v>
      </c>
      <c r="I107">
        <v>46.323567198510062</v>
      </c>
      <c r="N107">
        <v>103</v>
      </c>
      <c r="O107">
        <v>28.1</v>
      </c>
      <c r="P107">
        <v>376.15</v>
      </c>
      <c r="Q107">
        <v>301.25</v>
      </c>
      <c r="R107">
        <v>3.1</v>
      </c>
      <c r="S107">
        <v>6</v>
      </c>
      <c r="T107">
        <v>1393.1399999999996</v>
      </c>
      <c r="U107">
        <v>144.97981643292002</v>
      </c>
    </row>
    <row r="108" spans="2:21" x14ac:dyDescent="0.2">
      <c r="B108">
        <v>229.5</v>
      </c>
      <c r="C108">
        <v>28.3</v>
      </c>
      <c r="D108">
        <v>502.65</v>
      </c>
      <c r="E108">
        <v>301.45</v>
      </c>
      <c r="F108">
        <v>0.15</v>
      </c>
      <c r="G108">
        <v>6</v>
      </c>
      <c r="H108">
        <v>181.07999999999998</v>
      </c>
      <c r="I108">
        <v>33.088262284650035</v>
      </c>
      <c r="N108">
        <v>285</v>
      </c>
      <c r="O108">
        <v>26.6</v>
      </c>
      <c r="P108">
        <v>558.15</v>
      </c>
      <c r="Q108">
        <v>299.75</v>
      </c>
      <c r="R108">
        <v>0.11</v>
      </c>
      <c r="S108">
        <v>6</v>
      </c>
      <c r="T108">
        <v>170.54399999999998</v>
      </c>
      <c r="U108">
        <v>38.847251442647583</v>
      </c>
    </row>
    <row r="109" spans="2:21" x14ac:dyDescent="0.2">
      <c r="B109">
        <v>229.5</v>
      </c>
      <c r="C109">
        <v>27.9</v>
      </c>
      <c r="D109">
        <v>502.65</v>
      </c>
      <c r="E109">
        <v>301.04999999999995</v>
      </c>
      <c r="F109">
        <v>20.399999999999999</v>
      </c>
      <c r="G109">
        <v>6</v>
      </c>
      <c r="H109" s="99">
        <v>24675.84</v>
      </c>
      <c r="I109" s="99">
        <v>4503.5453775275846</v>
      </c>
      <c r="N109">
        <v>285</v>
      </c>
      <c r="O109">
        <v>26.6</v>
      </c>
      <c r="P109">
        <v>558.15</v>
      </c>
      <c r="Q109">
        <v>299.75</v>
      </c>
      <c r="R109">
        <v>2.91</v>
      </c>
      <c r="S109">
        <v>6</v>
      </c>
      <c r="T109">
        <v>4511.6639999999998</v>
      </c>
      <c r="U109">
        <v>1027.686379073677</v>
      </c>
    </row>
    <row r="110" spans="2:21" x14ac:dyDescent="0.2">
      <c r="H110">
        <v>74598.93067999999</v>
      </c>
      <c r="I110">
        <v>12175.524937823786</v>
      </c>
      <c r="N110">
        <v>285</v>
      </c>
      <c r="O110">
        <v>26.6</v>
      </c>
      <c r="P110">
        <v>558.15</v>
      </c>
      <c r="Q110">
        <v>299.75</v>
      </c>
      <c r="R110">
        <v>1</v>
      </c>
      <c r="S110">
        <v>6</v>
      </c>
      <c r="T110">
        <v>1550.3999999999999</v>
      </c>
      <c r="U110">
        <v>353.15683129679616</v>
      </c>
    </row>
    <row r="111" spans="2:21" x14ac:dyDescent="0.2">
      <c r="N111">
        <v>285</v>
      </c>
      <c r="O111">
        <v>24.5</v>
      </c>
      <c r="P111">
        <v>558.15</v>
      </c>
      <c r="Q111">
        <v>297.64999999999998</v>
      </c>
      <c r="R111">
        <v>0.1</v>
      </c>
      <c r="S111">
        <v>6</v>
      </c>
      <c r="T111">
        <v>156.30000000000001</v>
      </c>
      <c r="U111">
        <v>35.404535991276944</v>
      </c>
    </row>
    <row r="112" spans="2:21" x14ac:dyDescent="0.2">
      <c r="N112">
        <v>141.80000000000001</v>
      </c>
      <c r="O112">
        <v>26.5</v>
      </c>
      <c r="P112">
        <v>414.95</v>
      </c>
      <c r="Q112">
        <v>299.64999999999998</v>
      </c>
      <c r="R112">
        <v>0.13</v>
      </c>
      <c r="S112">
        <v>6</v>
      </c>
      <c r="T112">
        <v>89.934000000000012</v>
      </c>
      <c r="U112">
        <v>11.137156949481856</v>
      </c>
    </row>
    <row r="113" spans="14:21" x14ac:dyDescent="0.2">
      <c r="N113">
        <v>285</v>
      </c>
      <c r="O113">
        <v>27.9</v>
      </c>
      <c r="P113">
        <v>558.15</v>
      </c>
      <c r="Q113">
        <v>301.04999999999995</v>
      </c>
      <c r="R113">
        <v>20.399999999999999</v>
      </c>
      <c r="S113">
        <v>6</v>
      </c>
      <c r="T113">
        <v>31469.040000000001</v>
      </c>
      <c r="U113">
        <v>7192.9859219180971</v>
      </c>
    </row>
    <row r="114" spans="14:21" x14ac:dyDescent="0.2">
      <c r="N114">
        <v>285</v>
      </c>
      <c r="O114">
        <v>28.1</v>
      </c>
      <c r="P114">
        <v>558.15</v>
      </c>
      <c r="Q114">
        <v>301.25</v>
      </c>
      <c r="R114">
        <v>0.3</v>
      </c>
      <c r="S114">
        <v>6</v>
      </c>
      <c r="T114">
        <v>462.4199999999999</v>
      </c>
      <c r="U114">
        <v>105.75318870610776</v>
      </c>
    </row>
    <row r="115" spans="14:21" x14ac:dyDescent="0.2">
      <c r="N115">
        <v>285</v>
      </c>
      <c r="O115">
        <v>28.1</v>
      </c>
      <c r="P115">
        <v>558.15</v>
      </c>
      <c r="Q115">
        <v>301.25</v>
      </c>
      <c r="R115">
        <v>0.12</v>
      </c>
      <c r="S115">
        <v>6</v>
      </c>
      <c r="T115">
        <v>184.96799999999999</v>
      </c>
      <c r="U115">
        <v>42.301275482443103</v>
      </c>
    </row>
    <row r="116" spans="14:21" x14ac:dyDescent="0.2">
      <c r="N116">
        <v>146.4</v>
      </c>
      <c r="O116">
        <v>28.1</v>
      </c>
      <c r="P116">
        <v>419.54999999999995</v>
      </c>
      <c r="Q116">
        <v>301.25</v>
      </c>
      <c r="R116">
        <v>0.08</v>
      </c>
      <c r="S116">
        <v>6</v>
      </c>
      <c r="T116">
        <v>56.783999999999978</v>
      </c>
      <c r="U116">
        <v>7.2229353317647025</v>
      </c>
    </row>
    <row r="117" spans="14:21" x14ac:dyDescent="0.2">
      <c r="N117">
        <v>139.69999999999999</v>
      </c>
      <c r="O117">
        <v>28.1</v>
      </c>
      <c r="P117">
        <v>412.84999999999997</v>
      </c>
      <c r="Q117">
        <v>301.25</v>
      </c>
      <c r="R117">
        <v>0.08</v>
      </c>
      <c r="S117">
        <v>6</v>
      </c>
      <c r="T117">
        <v>53.567999999999984</v>
      </c>
      <c r="U117">
        <v>6.6093990597656846</v>
      </c>
    </row>
    <row r="118" spans="14:21" x14ac:dyDescent="0.2">
      <c r="N118">
        <v>231</v>
      </c>
      <c r="O118">
        <v>28.3</v>
      </c>
      <c r="P118">
        <v>504.15</v>
      </c>
      <c r="Q118">
        <v>301.45</v>
      </c>
      <c r="R118">
        <v>2.2999999999999998</v>
      </c>
      <c r="S118">
        <v>6</v>
      </c>
      <c r="T118">
        <v>2797.2599999999998</v>
      </c>
      <c r="U118">
        <v>514.34051655344831</v>
      </c>
    </row>
    <row r="119" spans="14:21" x14ac:dyDescent="0.2">
      <c r="N119">
        <v>231</v>
      </c>
      <c r="O119">
        <v>28.3</v>
      </c>
      <c r="P119">
        <v>504.15</v>
      </c>
      <c r="Q119">
        <v>301.45</v>
      </c>
      <c r="R119">
        <v>0.47</v>
      </c>
      <c r="S119">
        <v>6</v>
      </c>
      <c r="T119">
        <v>571.61399999999992</v>
      </c>
      <c r="U119">
        <v>105.10436642613944</v>
      </c>
    </row>
    <row r="120" spans="14:21" x14ac:dyDescent="0.2">
      <c r="N120">
        <v>107.1</v>
      </c>
      <c r="O120">
        <v>27.9</v>
      </c>
      <c r="P120">
        <v>380.25</v>
      </c>
      <c r="Q120">
        <v>301.04999999999995</v>
      </c>
      <c r="R120">
        <v>13.5</v>
      </c>
      <c r="S120">
        <v>6</v>
      </c>
      <c r="T120">
        <v>6415.2000000000035</v>
      </c>
      <c r="U120">
        <v>680.07190627510079</v>
      </c>
    </row>
    <row r="121" spans="14:21" x14ac:dyDescent="0.2">
      <c r="N121">
        <v>137.6</v>
      </c>
      <c r="O121">
        <v>28.4</v>
      </c>
      <c r="P121">
        <v>410.75</v>
      </c>
      <c r="Q121">
        <v>301.54999999999995</v>
      </c>
      <c r="R121">
        <v>0.11</v>
      </c>
      <c r="S121">
        <v>6</v>
      </c>
      <c r="T121">
        <v>72.072000000000031</v>
      </c>
      <c r="U121">
        <v>8.8174760746285692</v>
      </c>
    </row>
    <row r="122" spans="14:21" x14ac:dyDescent="0.2">
      <c r="N122">
        <v>151.80000000000001</v>
      </c>
      <c r="O122">
        <v>28.4</v>
      </c>
      <c r="P122">
        <v>424.95</v>
      </c>
      <c r="Q122">
        <v>301.54999999999995</v>
      </c>
      <c r="R122">
        <v>0.11</v>
      </c>
      <c r="S122">
        <v>6</v>
      </c>
      <c r="T122">
        <v>81.444000000000031</v>
      </c>
      <c r="U122">
        <v>10.627184925393857</v>
      </c>
    </row>
    <row r="123" spans="14:21" x14ac:dyDescent="0.2">
      <c r="N123">
        <v>231</v>
      </c>
      <c r="O123">
        <v>28.4</v>
      </c>
      <c r="P123">
        <v>504.15</v>
      </c>
      <c r="Q123">
        <v>301.54999999999995</v>
      </c>
      <c r="R123">
        <v>3.95</v>
      </c>
      <c r="S123">
        <v>6</v>
      </c>
      <c r="T123" s="99">
        <v>4801.6200000000008</v>
      </c>
      <c r="U123" s="99">
        <v>883.15206057485432</v>
      </c>
    </row>
    <row r="124" spans="14:21" x14ac:dyDescent="0.2">
      <c r="T124">
        <v>71073.209076000014</v>
      </c>
      <c r="U124">
        <v>13743.729460323706</v>
      </c>
    </row>
  </sheetData>
  <mergeCells count="4">
    <mergeCell ref="C4:D5"/>
    <mergeCell ref="C3:D3"/>
    <mergeCell ref="O4:P5"/>
    <mergeCell ref="O3:P3"/>
  </mergeCells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PC C1</vt:lpstr>
      <vt:lpstr>PC C2</vt:lpstr>
      <vt:lpstr>PC C1 aislante</vt:lpstr>
      <vt:lpstr>PC C2 aislante</vt:lpstr>
      <vt:lpstr>Perdidas y recuperacion de carb</vt:lpstr>
      <vt:lpstr>Cuantificación PC niveles</vt:lpstr>
      <vt:lpstr>Cuantificación PC aisl niv</vt:lpstr>
      <vt:lpstr>Costo de inversion</vt:lpstr>
      <vt:lpstr>Desviación cam sin aislt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Microsoft Office User</cp:lastModifiedBy>
  <dcterms:created xsi:type="dcterms:W3CDTF">2023-02-03T18:57:03Z</dcterms:created>
  <dcterms:modified xsi:type="dcterms:W3CDTF">2023-05-04T06:28:42Z</dcterms:modified>
</cp:coreProperties>
</file>