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53222"/>
  <mc:AlternateContent xmlns:mc="http://schemas.openxmlformats.org/markup-compatibility/2006">
    <mc:Choice Requires="x15">
      <x15ac:absPath xmlns:x15ac="http://schemas.microsoft.com/office/spreadsheetml/2010/11/ac" url="C:\Users\prof.biblioteca\Downloads\"/>
    </mc:Choice>
  </mc:AlternateContent>
  <workbookProtection workbookAlgorithmName="SHA-512" workbookHashValue="Hhk0I8UXRJCyrQ0tnwnXoDEI4uSLCt6Kz72Epc+Nyk3uj1b/H+1Nbh9Mxj3jEeyJZprmbqj/taQmWmInqaBCuw==" workbookSaltValue="jiwCpjefrgBRGe7tSE7drw==" workbookSpinCount="100000" lockStructure="1"/>
  <bookViews>
    <workbookView xWindow="0" yWindow="0" windowWidth="28800" windowHeight="12330" tabRatio="728"/>
  </bookViews>
  <sheets>
    <sheet name="SUMERGIDO " sheetId="3" r:id="rId1"/>
    <sheet name="E Sumergido" sheetId="6" r:id="rId2"/>
    <sheet name="VINIPEL TRANSPARENTE" sheetId="4" r:id="rId3"/>
    <sheet name="E Vin Trans" sheetId="7" r:id="rId4"/>
    <sheet name="VINIPEL NEGRO" sheetId="1" r:id="rId5"/>
    <sheet name="E Vin Negro" sheetId="8" r:id="rId6"/>
    <sheet name="INTEMPERIE" sheetId="5" r:id="rId7"/>
    <sheet name="E Intemperie" sheetId="9" r:id="rId8"/>
  </sheets>
  <definedNames>
    <definedName name="_xlnm.Print_Area" localSheetId="6">INTEMPERIE!$A$1:$AP$35</definedName>
    <definedName name="_xlnm.Print_Area" localSheetId="0">'SUMERGIDO '!$A$1:$AP$35</definedName>
    <definedName name="_xlnm.Print_Area" localSheetId="4">'VINIPEL NEGRO'!$A$1:$AP$35</definedName>
    <definedName name="_xlnm.Print_Area" localSheetId="2">'VINIPEL TRANSPARENTE'!$A$1:$AP$35</definedName>
    <definedName name="_xlnm.Print_Titles" localSheetId="6">INTEMPERIE!$1:$5</definedName>
    <definedName name="_xlnm.Print_Titles" localSheetId="0">'SUMERGIDO '!$1:$5</definedName>
    <definedName name="_xlnm.Print_Titles" localSheetId="4">'VINIPEL NEGRO'!$1:$5</definedName>
    <definedName name="_xlnm.Print_Titles" localSheetId="2">'VINIPEL TRANSPARENTE'!$1:$5</definedName>
  </definedNames>
  <calcPr calcId="162913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2" i="9" l="1"/>
  <c r="B21" i="9" s="1"/>
  <c r="B20" i="9" s="1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E23" i="9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B29" i="8" s="1"/>
  <c r="E29" i="8" s="1"/>
  <c r="E30" i="8"/>
  <c r="D28" i="7"/>
  <c r="B27" i="7"/>
  <c r="B26" i="7" s="1"/>
  <c r="B25" i="7" s="1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E29" i="7"/>
  <c r="E27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B26" i="6" s="1"/>
  <c r="B25" i="6" s="1"/>
  <c r="E2" i="6"/>
  <c r="G2" i="6"/>
  <c r="D2" i="6"/>
  <c r="H2" i="6" s="1"/>
  <c r="E27" i="7" l="1"/>
  <c r="E22" i="9"/>
  <c r="B24" i="6"/>
  <c r="E25" i="6"/>
  <c r="E26" i="6"/>
  <c r="B28" i="8"/>
  <c r="B19" i="9"/>
  <c r="E19" i="9" s="1"/>
  <c r="E20" i="9"/>
  <c r="E21" i="9"/>
  <c r="B28" i="7"/>
  <c r="E28" i="7" s="1"/>
  <c r="B24" i="7"/>
  <c r="E24" i="7" s="1"/>
  <c r="E25" i="7"/>
  <c r="E26" i="7"/>
  <c r="U79" i="3"/>
  <c r="Z76" i="3"/>
  <c r="B18" i="9" l="1"/>
  <c r="E18" i="9" s="1"/>
  <c r="B23" i="7"/>
  <c r="E23" i="7" s="1"/>
  <c r="B23" i="6"/>
  <c r="E24" i="6"/>
  <c r="E28" i="8"/>
  <c r="B27" i="8"/>
  <c r="B17" i="9"/>
  <c r="B22" i="7"/>
  <c r="Z86" i="3"/>
  <c r="Z85" i="3"/>
  <c r="Z84" i="3"/>
  <c r="Z83" i="3"/>
  <c r="Z82" i="3"/>
  <c r="Z81" i="3"/>
  <c r="Z80" i="3"/>
  <c r="Z79" i="3"/>
  <c r="Z78" i="3"/>
  <c r="Z77" i="3"/>
  <c r="Z75" i="3"/>
  <c r="U87" i="3"/>
  <c r="U86" i="3"/>
  <c r="U85" i="3"/>
  <c r="U84" i="3"/>
  <c r="U83" i="3"/>
  <c r="U82" i="3"/>
  <c r="U81" i="3"/>
  <c r="U80" i="3"/>
  <c r="U78" i="3"/>
  <c r="U77" i="3"/>
  <c r="U76" i="3"/>
  <c r="U75" i="3"/>
  <c r="P76" i="3"/>
  <c r="P77" i="3"/>
  <c r="P78" i="3"/>
  <c r="P79" i="3"/>
  <c r="P80" i="3"/>
  <c r="P81" i="3"/>
  <c r="P82" i="3"/>
  <c r="P83" i="3"/>
  <c r="P84" i="3"/>
  <c r="P85" i="3"/>
  <c r="P86" i="3"/>
  <c r="P87" i="3"/>
  <c r="P75" i="3"/>
  <c r="S44" i="5"/>
  <c r="S43" i="5"/>
  <c r="S42" i="5"/>
  <c r="S41" i="5"/>
  <c r="S40" i="5"/>
  <c r="S39" i="5"/>
  <c r="S38" i="5"/>
  <c r="S37" i="5"/>
  <c r="S36" i="5"/>
  <c r="S45" i="1"/>
  <c r="S44" i="1"/>
  <c r="S43" i="1"/>
  <c r="S42" i="1"/>
  <c r="S41" i="1"/>
  <c r="S40" i="1"/>
  <c r="S45" i="4"/>
  <c r="S44" i="4"/>
  <c r="S43" i="4"/>
  <c r="S42" i="4"/>
  <c r="S41" i="4"/>
  <c r="S40" i="4"/>
  <c r="S39" i="4"/>
  <c r="S45" i="3"/>
  <c r="S44" i="3"/>
  <c r="S43" i="3"/>
  <c r="S42" i="3"/>
  <c r="S41" i="3"/>
  <c r="S40" i="3"/>
  <c r="S39" i="1"/>
  <c r="S37" i="1"/>
  <c r="S38" i="1"/>
  <c r="S36" i="1"/>
  <c r="S38" i="4"/>
  <c r="S37" i="4"/>
  <c r="S36" i="4"/>
  <c r="S39" i="3"/>
  <c r="S38" i="3"/>
  <c r="S37" i="3"/>
  <c r="S36" i="3"/>
  <c r="S35" i="5"/>
  <c r="S34" i="5"/>
  <c r="S33" i="5"/>
  <c r="S34" i="1"/>
  <c r="S35" i="1"/>
  <c r="S33" i="1"/>
  <c r="S35" i="4"/>
  <c r="S34" i="4"/>
  <c r="S33" i="4"/>
  <c r="S35" i="3"/>
  <c r="S34" i="3"/>
  <c r="S33" i="3"/>
  <c r="B22" i="6" l="1"/>
  <c r="E23" i="6"/>
  <c r="B26" i="8"/>
  <c r="E27" i="8"/>
  <c r="E17" i="9"/>
  <c r="B16" i="9"/>
  <c r="E22" i="7"/>
  <c r="B21" i="7"/>
  <c r="K43" i="3"/>
  <c r="P43" i="3" s="1"/>
  <c r="B21" i="6" l="1"/>
  <c r="E22" i="6"/>
  <c r="B25" i="8"/>
  <c r="E26" i="8"/>
  <c r="B15" i="9"/>
  <c r="E16" i="9"/>
  <c r="B20" i="7"/>
  <c r="E21" i="7"/>
  <c r="T43" i="3"/>
  <c r="K33" i="5"/>
  <c r="B20" i="6" l="1"/>
  <c r="E21" i="6"/>
  <c r="B24" i="8"/>
  <c r="E25" i="8"/>
  <c r="E15" i="9"/>
  <c r="B14" i="9"/>
  <c r="E20" i="7"/>
  <c r="B19" i="7"/>
  <c r="O42" i="5"/>
  <c r="O43" i="5"/>
  <c r="O44" i="5"/>
  <c r="K42" i="5"/>
  <c r="P42" i="5" s="1"/>
  <c r="K43" i="5"/>
  <c r="P43" i="5" s="1"/>
  <c r="K44" i="5"/>
  <c r="P44" i="5" s="1"/>
  <c r="K43" i="4"/>
  <c r="P43" i="4" s="1"/>
  <c r="K44" i="4"/>
  <c r="P44" i="4" s="1"/>
  <c r="T44" i="4" s="1"/>
  <c r="U44" i="4" s="1"/>
  <c r="K45" i="4"/>
  <c r="P45" i="4" s="1"/>
  <c r="T45" i="4" s="1"/>
  <c r="U45" i="4" s="1"/>
  <c r="O44" i="4"/>
  <c r="O45" i="4"/>
  <c r="O43" i="4"/>
  <c r="K42" i="1"/>
  <c r="K43" i="1"/>
  <c r="P43" i="1" s="1"/>
  <c r="T43" i="1" s="1"/>
  <c r="U43" i="1" s="1"/>
  <c r="V43" i="1" s="1"/>
  <c r="K44" i="1"/>
  <c r="P44" i="1" s="1"/>
  <c r="K45" i="1"/>
  <c r="P45" i="1" s="1"/>
  <c r="T45" i="1" s="1"/>
  <c r="U45" i="1" s="1"/>
  <c r="O43" i="1"/>
  <c r="O44" i="1"/>
  <c r="O45" i="1"/>
  <c r="O45" i="3"/>
  <c r="O44" i="3"/>
  <c r="O43" i="3"/>
  <c r="R43" i="3" s="1"/>
  <c r="K44" i="3"/>
  <c r="P44" i="3" s="1"/>
  <c r="R44" i="3" s="1"/>
  <c r="K45" i="3"/>
  <c r="P45" i="3" s="1"/>
  <c r="T45" i="3" s="1"/>
  <c r="U45" i="3" s="1"/>
  <c r="E20" i="6" l="1"/>
  <c r="B19" i="6"/>
  <c r="B23" i="8"/>
  <c r="E24" i="8"/>
  <c r="B13" i="9"/>
  <c r="E14" i="9"/>
  <c r="B18" i="7"/>
  <c r="E19" i="7"/>
  <c r="T44" i="3"/>
  <c r="U44" i="3" s="1"/>
  <c r="T42" i="5"/>
  <c r="U42" i="5" s="1"/>
  <c r="W42" i="5" s="1"/>
  <c r="R42" i="5"/>
  <c r="T44" i="1"/>
  <c r="U44" i="1" s="1"/>
  <c r="V44" i="1" s="1"/>
  <c r="R44" i="1"/>
  <c r="U43" i="3"/>
  <c r="V43" i="3" s="1"/>
  <c r="R43" i="4"/>
  <c r="T43" i="4"/>
  <c r="U43" i="4" s="1"/>
  <c r="V43" i="4" s="1"/>
  <c r="R43" i="1"/>
  <c r="R45" i="3"/>
  <c r="R44" i="4"/>
  <c r="R45" i="4"/>
  <c r="R45" i="1"/>
  <c r="V42" i="5"/>
  <c r="V45" i="3"/>
  <c r="W45" i="3"/>
  <c r="V44" i="3"/>
  <c r="W44" i="3"/>
  <c r="T44" i="5"/>
  <c r="U44" i="5" s="1"/>
  <c r="R44" i="5"/>
  <c r="R43" i="5"/>
  <c r="T43" i="5"/>
  <c r="U43" i="5" s="1"/>
  <c r="V45" i="4"/>
  <c r="W45" i="4"/>
  <c r="V44" i="4"/>
  <c r="W44" i="4"/>
  <c r="W43" i="1"/>
  <c r="V45" i="1"/>
  <c r="W45" i="1"/>
  <c r="O41" i="5"/>
  <c r="K41" i="5"/>
  <c r="P41" i="5" s="1"/>
  <c r="O40" i="5"/>
  <c r="K40" i="5"/>
  <c r="P40" i="5" s="1"/>
  <c r="O39" i="5"/>
  <c r="K39" i="5"/>
  <c r="P39" i="5" s="1"/>
  <c r="O38" i="5"/>
  <c r="K38" i="5"/>
  <c r="P38" i="5" s="1"/>
  <c r="O37" i="5"/>
  <c r="K37" i="5"/>
  <c r="P37" i="5" s="1"/>
  <c r="O36" i="5"/>
  <c r="K36" i="5"/>
  <c r="P36" i="5" s="1"/>
  <c r="O35" i="5"/>
  <c r="K35" i="5"/>
  <c r="P35" i="5" s="1"/>
  <c r="O34" i="5"/>
  <c r="K34" i="5"/>
  <c r="P34" i="5" s="1"/>
  <c r="O33" i="5"/>
  <c r="P33" i="5"/>
  <c r="K42" i="4"/>
  <c r="B18" i="6" l="1"/>
  <c r="E19" i="6"/>
  <c r="B22" i="8"/>
  <c r="E23" i="8"/>
  <c r="E13" i="9"/>
  <c r="B12" i="9"/>
  <c r="E18" i="7"/>
  <c r="B17" i="7"/>
  <c r="W44" i="1"/>
  <c r="W43" i="3"/>
  <c r="W43" i="4"/>
  <c r="V44" i="5"/>
  <c r="W44" i="5"/>
  <c r="V43" i="5"/>
  <c r="W43" i="5"/>
  <c r="R33" i="5"/>
  <c r="T33" i="5"/>
  <c r="U33" i="5" s="1"/>
  <c r="R34" i="5"/>
  <c r="T34" i="5"/>
  <c r="U34" i="5" s="1"/>
  <c r="R35" i="5"/>
  <c r="T35" i="5"/>
  <c r="U35" i="5" s="1"/>
  <c r="R36" i="5"/>
  <c r="T36" i="5"/>
  <c r="U36" i="5" s="1"/>
  <c r="W36" i="5" s="1"/>
  <c r="R37" i="5"/>
  <c r="T37" i="5"/>
  <c r="U37" i="5" s="1"/>
  <c r="R38" i="5"/>
  <c r="T38" i="5"/>
  <c r="U38" i="5" s="1"/>
  <c r="R39" i="5"/>
  <c r="T39" i="5"/>
  <c r="U39" i="5" s="1"/>
  <c r="R40" i="5"/>
  <c r="T40" i="5"/>
  <c r="U40" i="5" s="1"/>
  <c r="R41" i="5"/>
  <c r="T41" i="5"/>
  <c r="U41" i="5" s="1"/>
  <c r="P42" i="4"/>
  <c r="O42" i="4"/>
  <c r="O41" i="4"/>
  <c r="K41" i="4"/>
  <c r="P41" i="4" s="1"/>
  <c r="O40" i="4"/>
  <c r="K40" i="4"/>
  <c r="P40" i="4" s="1"/>
  <c r="O39" i="4"/>
  <c r="K39" i="4"/>
  <c r="P39" i="4" s="1"/>
  <c r="O38" i="4"/>
  <c r="K38" i="4"/>
  <c r="P38" i="4" s="1"/>
  <c r="O37" i="4"/>
  <c r="K37" i="4"/>
  <c r="P37" i="4" s="1"/>
  <c r="T37" i="4" s="1"/>
  <c r="O36" i="4"/>
  <c r="K36" i="4"/>
  <c r="P36" i="4" s="1"/>
  <c r="O35" i="4"/>
  <c r="K35" i="4"/>
  <c r="P35" i="4" s="1"/>
  <c r="O34" i="4"/>
  <c r="K34" i="4"/>
  <c r="P34" i="4" s="1"/>
  <c r="O33" i="4"/>
  <c r="K33" i="4"/>
  <c r="P33" i="4" s="1"/>
  <c r="P42" i="1"/>
  <c r="O41" i="1"/>
  <c r="O42" i="1"/>
  <c r="K41" i="1"/>
  <c r="P41" i="1" s="1"/>
  <c r="O40" i="3"/>
  <c r="O41" i="3"/>
  <c r="O42" i="3"/>
  <c r="K40" i="3"/>
  <c r="P40" i="3" s="1"/>
  <c r="K41" i="3"/>
  <c r="P41" i="3" s="1"/>
  <c r="T41" i="3" s="1"/>
  <c r="U41" i="3" s="1"/>
  <c r="V41" i="3" s="1"/>
  <c r="K42" i="3"/>
  <c r="P42" i="3" s="1"/>
  <c r="T42" i="3" s="1"/>
  <c r="U42" i="3" s="1"/>
  <c r="O39" i="3"/>
  <c r="K39" i="3"/>
  <c r="P39" i="3" s="1"/>
  <c r="T39" i="3" s="1"/>
  <c r="U39" i="3" s="1"/>
  <c r="V39" i="3" s="1"/>
  <c r="R41" i="1" l="1"/>
  <c r="T41" i="1"/>
  <c r="U41" i="1" s="1"/>
  <c r="E18" i="6"/>
  <c r="B17" i="6"/>
  <c r="B21" i="8"/>
  <c r="E22" i="8"/>
  <c r="B11" i="9"/>
  <c r="E12" i="9"/>
  <c r="E25" i="9" s="1"/>
  <c r="B16" i="7"/>
  <c r="E17" i="7"/>
  <c r="R39" i="3"/>
  <c r="R41" i="3"/>
  <c r="R40" i="3"/>
  <c r="T40" i="3"/>
  <c r="U40" i="3" s="1"/>
  <c r="T42" i="1"/>
  <c r="U42" i="1" s="1"/>
  <c r="V42" i="1" s="1"/>
  <c r="R42" i="1"/>
  <c r="R42" i="3"/>
  <c r="T42" i="4"/>
  <c r="U42" i="4" s="1"/>
  <c r="V42" i="4" s="1"/>
  <c r="R42" i="4"/>
  <c r="V42" i="3"/>
  <c r="W42" i="3"/>
  <c r="W41" i="3"/>
  <c r="W39" i="3"/>
  <c r="W41" i="5"/>
  <c r="V41" i="5"/>
  <c r="W40" i="5"/>
  <c r="V40" i="5"/>
  <c r="W39" i="5"/>
  <c r="V39" i="5"/>
  <c r="W38" i="5"/>
  <c r="V38" i="5"/>
  <c r="W37" i="5"/>
  <c r="V37" i="5"/>
  <c r="V36" i="5"/>
  <c r="W35" i="5"/>
  <c r="V35" i="5"/>
  <c r="W34" i="5"/>
  <c r="V34" i="5"/>
  <c r="W33" i="5"/>
  <c r="V33" i="5"/>
  <c r="R33" i="4"/>
  <c r="T33" i="4"/>
  <c r="U33" i="4" s="1"/>
  <c r="R34" i="4"/>
  <c r="T34" i="4"/>
  <c r="U34" i="4" s="1"/>
  <c r="R35" i="4"/>
  <c r="T35" i="4"/>
  <c r="U35" i="4" s="1"/>
  <c r="R36" i="4"/>
  <c r="T36" i="4"/>
  <c r="U36" i="4" s="1"/>
  <c r="R37" i="4"/>
  <c r="U37" i="4"/>
  <c r="R38" i="4"/>
  <c r="T38" i="4"/>
  <c r="U38" i="4" s="1"/>
  <c r="R39" i="4"/>
  <c r="T39" i="4"/>
  <c r="U39" i="4" s="1"/>
  <c r="R40" i="4"/>
  <c r="T40" i="4"/>
  <c r="U40" i="4" s="1"/>
  <c r="R41" i="4"/>
  <c r="T41" i="4"/>
  <c r="U41" i="4" s="1"/>
  <c r="V41" i="1"/>
  <c r="W41" i="1"/>
  <c r="K33" i="1"/>
  <c r="B16" i="6" l="1"/>
  <c r="E17" i="6"/>
  <c r="B20" i="8"/>
  <c r="E21" i="8"/>
  <c r="E11" i="9"/>
  <c r="B10" i="9"/>
  <c r="E16" i="7"/>
  <c r="B15" i="7"/>
  <c r="W42" i="4"/>
  <c r="V40" i="3"/>
  <c r="W40" i="3"/>
  <c r="W42" i="1"/>
  <c r="W41" i="4"/>
  <c r="V41" i="4"/>
  <c r="W40" i="4"/>
  <c r="V40" i="4"/>
  <c r="W39" i="4"/>
  <c r="V39" i="4"/>
  <c r="W38" i="4"/>
  <c r="Z38" i="4" s="1"/>
  <c r="V38" i="4"/>
  <c r="W37" i="4"/>
  <c r="V37" i="4"/>
  <c r="W36" i="4"/>
  <c r="V36" i="4"/>
  <c r="W35" i="4"/>
  <c r="Z45" i="4" s="1"/>
  <c r="V35" i="4"/>
  <c r="W34" i="4"/>
  <c r="V34" i="4"/>
  <c r="W33" i="4"/>
  <c r="V33" i="4"/>
  <c r="O38" i="3"/>
  <c r="K38" i="3"/>
  <c r="P38" i="3" s="1"/>
  <c r="O37" i="3"/>
  <c r="K37" i="3"/>
  <c r="P37" i="3" s="1"/>
  <c r="O36" i="3"/>
  <c r="K36" i="3"/>
  <c r="P36" i="3" s="1"/>
  <c r="O35" i="3"/>
  <c r="K35" i="3"/>
  <c r="P35" i="3" s="1"/>
  <c r="O34" i="3"/>
  <c r="K34" i="3"/>
  <c r="P34" i="3" s="1"/>
  <c r="O33" i="3"/>
  <c r="K33" i="3"/>
  <c r="P33" i="3" s="1"/>
  <c r="T33" i="3" s="1"/>
  <c r="O38" i="1"/>
  <c r="O39" i="1"/>
  <c r="K38" i="1"/>
  <c r="P38" i="1" s="1"/>
  <c r="T38" i="1" s="1"/>
  <c r="U38" i="1" s="1"/>
  <c r="K39" i="1"/>
  <c r="P39" i="1" s="1"/>
  <c r="T39" i="1" s="1"/>
  <c r="U39" i="1" s="1"/>
  <c r="K40" i="1"/>
  <c r="P40" i="1" s="1"/>
  <c r="T40" i="1" s="1"/>
  <c r="U40" i="1" s="1"/>
  <c r="Z39" i="4" l="1"/>
  <c r="Z42" i="4"/>
  <c r="E16" i="6"/>
  <c r="E29" i="6" s="1"/>
  <c r="B15" i="6"/>
  <c r="B19" i="8"/>
  <c r="E20" i="8"/>
  <c r="B9" i="9"/>
  <c r="E9" i="9" s="1"/>
  <c r="E10" i="9"/>
  <c r="B14" i="7"/>
  <c r="E15" i="7"/>
  <c r="Z44" i="4"/>
  <c r="Z41" i="4"/>
  <c r="Z37" i="4"/>
  <c r="Z43" i="4"/>
  <c r="Z36" i="4"/>
  <c r="Z40" i="4"/>
  <c r="V40" i="1"/>
  <c r="W40" i="1"/>
  <c r="R39" i="1"/>
  <c r="W38" i="1"/>
  <c r="V38" i="1"/>
  <c r="R38" i="1"/>
  <c r="R33" i="3"/>
  <c r="U33" i="3"/>
  <c r="R34" i="3"/>
  <c r="T34" i="3"/>
  <c r="U34" i="3" s="1"/>
  <c r="R35" i="3"/>
  <c r="T35" i="3"/>
  <c r="U35" i="3" s="1"/>
  <c r="R36" i="3"/>
  <c r="T36" i="3"/>
  <c r="U36" i="3" s="1"/>
  <c r="R37" i="3"/>
  <c r="T37" i="3"/>
  <c r="U37" i="3" s="1"/>
  <c r="W37" i="3" s="1"/>
  <c r="R38" i="3"/>
  <c r="T38" i="3"/>
  <c r="U38" i="3" s="1"/>
  <c r="V39" i="1"/>
  <c r="W39" i="1"/>
  <c r="O35" i="1"/>
  <c r="O36" i="1"/>
  <c r="O37" i="1"/>
  <c r="O40" i="1"/>
  <c r="K36" i="1"/>
  <c r="P36" i="1" s="1"/>
  <c r="T36" i="1" s="1"/>
  <c r="U36" i="1" s="1"/>
  <c r="K37" i="1"/>
  <c r="P37" i="1" s="1"/>
  <c r="T37" i="1" s="1"/>
  <c r="U37" i="1" s="1"/>
  <c r="V37" i="1" s="1"/>
  <c r="K35" i="1"/>
  <c r="P35" i="1" s="1"/>
  <c r="T35" i="1" s="1"/>
  <c r="U35" i="1" s="1"/>
  <c r="B14" i="6" l="1"/>
  <c r="E15" i="6"/>
  <c r="B18" i="8"/>
  <c r="E19" i="8"/>
  <c r="E14" i="7"/>
  <c r="E31" i="7" s="1"/>
  <c r="B13" i="7"/>
  <c r="W38" i="3"/>
  <c r="V38" i="3"/>
  <c r="V37" i="3"/>
  <c r="W36" i="3"/>
  <c r="V36" i="3"/>
  <c r="W35" i="3"/>
  <c r="V35" i="3"/>
  <c r="W34" i="3"/>
  <c r="V34" i="3"/>
  <c r="W33" i="3"/>
  <c r="V33" i="3"/>
  <c r="R35" i="1"/>
  <c r="R36" i="1"/>
  <c r="R37" i="1"/>
  <c r="R40" i="1"/>
  <c r="W37" i="1"/>
  <c r="W36" i="1"/>
  <c r="W35" i="1"/>
  <c r="K34" i="1"/>
  <c r="P34" i="1" s="1"/>
  <c r="T34" i="1" s="1"/>
  <c r="U34" i="1" s="1"/>
  <c r="P33" i="1"/>
  <c r="T33" i="1" s="1"/>
  <c r="O34" i="1"/>
  <c r="O33" i="1"/>
  <c r="E14" i="6" l="1"/>
  <c r="B13" i="6"/>
  <c r="B17" i="8"/>
  <c r="E18" i="8"/>
  <c r="B12" i="7"/>
  <c r="E13" i="7"/>
  <c r="R33" i="1"/>
  <c r="V36" i="1"/>
  <c r="W34" i="1"/>
  <c r="V35" i="1"/>
  <c r="R34" i="1"/>
  <c r="U33" i="1"/>
  <c r="B12" i="6" l="1"/>
  <c r="E13" i="6"/>
  <c r="B16" i="8"/>
  <c r="E17" i="8"/>
  <c r="E12" i="7"/>
  <c r="B11" i="7"/>
  <c r="V34" i="1"/>
  <c r="W33" i="1"/>
  <c r="V33" i="1"/>
  <c r="E12" i="6" l="1"/>
  <c r="B11" i="6"/>
  <c r="B15" i="8"/>
  <c r="E16" i="8"/>
  <c r="B10" i="7"/>
  <c r="E10" i="7" s="1"/>
  <c r="E11" i="7"/>
  <c r="B10" i="6" l="1"/>
  <c r="E11" i="6"/>
  <c r="B14" i="8"/>
  <c r="E15" i="8"/>
  <c r="E32" i="8" s="1"/>
  <c r="E10" i="6" l="1"/>
  <c r="B9" i="6"/>
  <c r="E9" i="6" s="1"/>
  <c r="B13" i="8"/>
  <c r="E14" i="8"/>
  <c r="B12" i="8" l="1"/>
  <c r="E13" i="8"/>
  <c r="B11" i="8" l="1"/>
  <c r="E12" i="8"/>
  <c r="B10" i="8" l="1"/>
  <c r="E10" i="8" s="1"/>
  <c r="E11" i="8"/>
</calcChain>
</file>

<file path=xl/sharedStrings.xml><?xml version="1.0" encoding="utf-8"?>
<sst xmlns="http://schemas.openxmlformats.org/spreadsheetml/2006/main" count="482" uniqueCount="114">
  <si>
    <t>INFORME DEL LABORATORIO</t>
  </si>
  <si>
    <t>ASIGNATURA=</t>
  </si>
  <si>
    <t>GRUPO=</t>
  </si>
  <si>
    <t>FECHA INFORME=</t>
  </si>
  <si>
    <t>INTEGRANTES=</t>
  </si>
  <si>
    <t>AGREGADO GRUESO</t>
  </si>
  <si>
    <t>AGREGADO FINO</t>
  </si>
  <si>
    <t>CEMENTO</t>
  </si>
  <si>
    <t>AGUA</t>
  </si>
  <si>
    <t>Tamaño=</t>
  </si>
  <si>
    <t>Humedad=</t>
  </si>
  <si>
    <t>Características=</t>
  </si>
  <si>
    <t>Marca=</t>
  </si>
  <si>
    <t>Procedencia=</t>
  </si>
  <si>
    <t>ENSAYO DE RESISTENCIA A LA COMPRESIÓN DE CILINDROS DE CONCRETO</t>
  </si>
  <si>
    <t>Tipo de protección cilindro=</t>
  </si>
  <si>
    <t>(Plástico Negro, Plástico transparente,</t>
  </si>
  <si>
    <t>Norma Aplicada=</t>
  </si>
  <si>
    <t>(NTC)</t>
  </si>
  <si>
    <t>Lona blanca, Costal, Papel, Sumergido en agua,</t>
  </si>
  <si>
    <t>Descripción del Equipo=</t>
  </si>
  <si>
    <t>(Referencia)</t>
  </si>
  <si>
    <t>Sin protección)</t>
  </si>
  <si>
    <t>Tipo de refrentado=</t>
  </si>
  <si>
    <t>(Neopreno / Azufre / Otro)</t>
  </si>
  <si>
    <t>Aplicación de agua=</t>
  </si>
  <si>
    <t>(Rociado con agua, sin aplicación agua)</t>
  </si>
  <si>
    <t>Esfuerzo reportado por la Máquina=</t>
  </si>
  <si>
    <t>Mpa</t>
  </si>
  <si>
    <t>f'c esperado=</t>
  </si>
  <si>
    <t>TIPOS DE FALLA DE LOS CILINDROS DE CONCRETO. Fuente. TECNOLOGIA DEL CONCRETO TOMO 1 (ASOCRETO)</t>
  </si>
  <si>
    <t>Cono</t>
  </si>
  <si>
    <t>Cono y rotura vertical</t>
  </si>
  <si>
    <t>Cono y corte</t>
  </si>
  <si>
    <t>Corte</t>
  </si>
  <si>
    <t>Columnar</t>
  </si>
  <si>
    <t>DIAMETRO SUPERIOR</t>
  </si>
  <si>
    <t>DIAMETRO INFERIOR</t>
  </si>
  <si>
    <t>ALTURAS</t>
  </si>
  <si>
    <t>ESFUERZO MAXIMO CILINDRO</t>
  </si>
  <si>
    <t>Código Cilindro</t>
  </si>
  <si>
    <t>Fecha Moldeo (Día-Mes-Año)</t>
  </si>
  <si>
    <t>Fecha Falla            (Día-Mes-Año)</t>
  </si>
  <si>
    <t>Edad Cilindro (Días)</t>
  </si>
  <si>
    <t>Ø1    (cm)</t>
  </si>
  <si>
    <t>Ø2    (cm)</t>
  </si>
  <si>
    <t>Ø3    (cm)</t>
  </si>
  <si>
    <t>Ø Diámetro Promedio (cm)</t>
  </si>
  <si>
    <t>h1    (cm)</t>
  </si>
  <si>
    <t>h2    (cm)</t>
  </si>
  <si>
    <t>h3    (cm)</t>
  </si>
  <si>
    <t>Altura Promedio (cm)</t>
  </si>
  <si>
    <t>Área Cilindro (cm2)</t>
  </si>
  <si>
    <t>Peso cilindro (kg)</t>
  </si>
  <si>
    <r>
      <rPr>
        <b/>
        <sz val="13"/>
        <color indexed="8"/>
        <rFont val="Symbol"/>
        <family val="1"/>
        <charset val="2"/>
      </rPr>
      <t>g</t>
    </r>
    <r>
      <rPr>
        <b/>
        <sz val="13"/>
        <color indexed="8"/>
        <rFont val="Calibri"/>
        <family val="2"/>
      </rPr>
      <t xml:space="preserve"> Concreto (kg/m3)</t>
    </r>
  </si>
  <si>
    <t>Carga Aplicada por la Máquina (kg)</t>
  </si>
  <si>
    <t>Esfuerzo máximo Cilindro  (kgf/cm2)</t>
  </si>
  <si>
    <t>Esfuerzo máximo Cilindro  (Mpa)</t>
  </si>
  <si>
    <t>Esfuerzo máximo Cilindro (psi)</t>
  </si>
  <si>
    <t>% f'c =  f'c ACTUAL  / f'c ESPERADO</t>
  </si>
  <si>
    <t>Tipo de Falla</t>
  </si>
  <si>
    <t>Forma Falla</t>
  </si>
  <si>
    <t>PROBETAS #1</t>
  </si>
  <si>
    <t>CORTE</t>
  </si>
  <si>
    <t>CONO Y CORTE</t>
  </si>
  <si>
    <t>N.D</t>
  </si>
  <si>
    <t>NTC 673</t>
  </si>
  <si>
    <t>CONO</t>
  </si>
  <si>
    <t>Argos</t>
  </si>
  <si>
    <t>Neopreno</t>
  </si>
  <si>
    <t>Rociado con Agua</t>
  </si>
  <si>
    <t>PROBETAS #2</t>
  </si>
  <si>
    <t>Norma Liliana Triana Castro - Jhon Esteban Dìaz Martinez</t>
  </si>
  <si>
    <t xml:space="preserve">Ingenieria Civil </t>
  </si>
  <si>
    <t>Proyecto De Grado</t>
  </si>
  <si>
    <t>Cantera RexIngenieria S.A</t>
  </si>
  <si>
    <t>Plastico Negro y Transparente</t>
  </si>
  <si>
    <t>º</t>
  </si>
  <si>
    <t>ANÁLISIS DE RESULTADOS</t>
  </si>
  <si>
    <t>1. Es claro que el curado fue muy satisfactorio en todos los cilindros dado que a los primeros 7 días de curado todas las muestras estaban por encima de la curva teorica (se anexa grafico de curva teórica)</t>
  </si>
  <si>
    <t>2. Los 4 tipos de curado alcanzan el valor teorico máximo a una edad de 14 días</t>
  </si>
  <si>
    <t>3. Las muestras con curado con vinipel (sea transparente o negro) son las de mejores gananacia en resistencia</t>
  </si>
  <si>
    <t>4.  A continuación se muestra un comparativo entre las formas de curado respecto al curado sumergido y las diferencias existentes</t>
  </si>
  <si>
    <t>COMPARATIVO 1</t>
  </si>
  <si>
    <t>COMPARATIVO 2</t>
  </si>
  <si>
    <t>COMPARATIVO 3</t>
  </si>
  <si>
    <t>Sumergido</t>
  </si>
  <si>
    <t>Vinipel Transparente</t>
  </si>
  <si>
    <t>Vinipel Negro</t>
  </si>
  <si>
    <t>Intemperie</t>
  </si>
  <si>
    <t>Delta de Incremento %</t>
  </si>
  <si>
    <t>f´c</t>
  </si>
  <si>
    <t>7 días</t>
  </si>
  <si>
    <t>14 días</t>
  </si>
  <si>
    <t>21 días</t>
  </si>
  <si>
    <t>28 días</t>
  </si>
  <si>
    <t>Pura</t>
  </si>
  <si>
    <t>Agua Purita</t>
  </si>
  <si>
    <t>Agua purita</t>
  </si>
  <si>
    <t>CILINDRO SUMERGIDO</t>
  </si>
  <si>
    <t xml:space="preserve">ESFUERZO </t>
  </si>
  <si>
    <t>CARGA</t>
  </si>
  <si>
    <t>DEFORMACION VERTICAL</t>
  </si>
  <si>
    <t>DEFORMACION HORIZONTAL</t>
  </si>
  <si>
    <t>Ec</t>
  </si>
  <si>
    <t>Esfuerzo</t>
  </si>
  <si>
    <t>Deformacion Unitaria</t>
  </si>
  <si>
    <t>E</t>
  </si>
  <si>
    <t xml:space="preserve">DEFORMACION VERTICAL </t>
  </si>
  <si>
    <t>ESFUERZO</t>
  </si>
  <si>
    <t>DEFORMACIO</t>
  </si>
  <si>
    <t>Carga</t>
  </si>
  <si>
    <t>Deformacion</t>
  </si>
  <si>
    <t>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</si>
</sst>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u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indexed="8"/>
      <name val="Symbol"/>
      <family val="1"/>
      <charset val="2"/>
    </font>
    <font>
      <b/>
      <sz val="13"/>
      <color indexed="8"/>
      <name val="Calibri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6">
    <xf numFmtId="0" fontId="0" fillId="0" borderId="0" xfId="0"/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0" xfId="0" applyProtection="1"/>
    <xf numFmtId="0" fontId="0" fillId="0" borderId="4" xfId="0" applyBorder="1" applyProtection="1"/>
    <xf numFmtId="0" fontId="0" fillId="0" borderId="0" xfId="0" applyBorder="1" applyProtection="1"/>
    <xf numFmtId="0" fontId="2" fillId="0" borderId="0" xfId="0" applyFont="1" applyBorder="1" applyAlignment="1" applyProtection="1">
      <alignment horizontal="center" vertical="center"/>
    </xf>
    <xf numFmtId="0" fontId="0" fillId="0" borderId="5" xfId="0" applyBorder="1" applyProtection="1"/>
    <xf numFmtId="0" fontId="3" fillId="0" borderId="0" xfId="0" applyFont="1" applyBorder="1" applyAlignment="1" applyProtection="1">
      <alignment horizontal="right" vertical="top"/>
    </xf>
    <xf numFmtId="0" fontId="5" fillId="0" borderId="4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6" fillId="0" borderId="0" xfId="0" applyFont="1" applyBorder="1" applyProtection="1"/>
    <xf numFmtId="0" fontId="4" fillId="0" borderId="0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left" vertical="center"/>
    </xf>
    <xf numFmtId="0" fontId="7" fillId="0" borderId="0" xfId="0" applyFont="1" applyBorder="1" applyProtection="1"/>
    <xf numFmtId="0" fontId="0" fillId="0" borderId="0" xfId="0" applyBorder="1" applyAlignment="1" applyProtection="1">
      <alignment horizontal="center"/>
    </xf>
    <xf numFmtId="0" fontId="8" fillId="0" borderId="4" xfId="0" applyFont="1" applyBorder="1" applyProtection="1"/>
    <xf numFmtId="0" fontId="8" fillId="0" borderId="0" xfId="0" applyFont="1" applyBorder="1" applyProtection="1"/>
    <xf numFmtId="0" fontId="8" fillId="0" borderId="5" xfId="0" applyFont="1" applyBorder="1" applyProtection="1"/>
    <xf numFmtId="0" fontId="8" fillId="0" borderId="0" xfId="0" applyFont="1" applyProtection="1"/>
    <xf numFmtId="0" fontId="9" fillId="2" borderId="10" xfId="0" applyFont="1" applyFill="1" applyBorder="1" applyAlignment="1" applyProtection="1">
      <alignment horizontal="center" vertical="center" wrapText="1"/>
    </xf>
    <xf numFmtId="164" fontId="4" fillId="0" borderId="10" xfId="1" applyNumberFormat="1" applyFont="1" applyBorder="1" applyAlignment="1" applyProtection="1">
      <alignment horizontal="center" vertical="center" wrapText="1"/>
    </xf>
    <xf numFmtId="2" fontId="4" fillId="0" borderId="10" xfId="0" applyNumberFormat="1" applyFont="1" applyBorder="1" applyAlignment="1" applyProtection="1">
      <alignment horizontal="center" vertical="center" wrapText="1"/>
    </xf>
    <xf numFmtId="0" fontId="4" fillId="3" borderId="10" xfId="0" applyFont="1" applyFill="1" applyBorder="1" applyAlignment="1" applyProtection="1">
      <alignment horizontal="center" vertical="center" wrapText="1"/>
      <protection locked="0"/>
    </xf>
    <xf numFmtId="14" fontId="4" fillId="3" borderId="10" xfId="0" applyNumberFormat="1" applyFont="1" applyFill="1" applyBorder="1" applyAlignment="1" applyProtection="1">
      <alignment horizontal="center" vertical="center" wrapText="1"/>
      <protection locked="0"/>
    </xf>
    <xf numFmtId="2" fontId="4" fillId="3" borderId="10" xfId="0" applyNumberFormat="1" applyFont="1" applyFill="1" applyBorder="1" applyAlignment="1" applyProtection="1">
      <alignment horizontal="center" vertical="center" wrapText="1"/>
      <protection locked="0"/>
    </xf>
    <xf numFmtId="0" fontId="12" fillId="3" borderId="10" xfId="0" applyFont="1" applyFill="1" applyBorder="1" applyAlignment="1">
      <alignment horizontal="center" vertical="center"/>
    </xf>
    <xf numFmtId="4" fontId="12" fillId="3" borderId="10" xfId="0" applyNumberFormat="1" applyFont="1" applyFill="1" applyBorder="1" applyAlignment="1">
      <alignment horizontal="center" vertical="center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2" fontId="4" fillId="3" borderId="12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2" xfId="0" applyNumberFormat="1" applyFont="1" applyBorder="1" applyAlignment="1" applyProtection="1">
      <alignment horizontal="center" vertical="center" wrapText="1"/>
    </xf>
    <xf numFmtId="164" fontId="4" fillId="0" borderId="12" xfId="1" applyNumberFormat="1" applyFont="1" applyBorder="1" applyAlignment="1" applyProtection="1">
      <alignment horizontal="center" vertical="center" wrapText="1"/>
    </xf>
    <xf numFmtId="14" fontId="4" fillId="3" borderId="15" xfId="0" applyNumberFormat="1" applyFont="1" applyFill="1" applyBorder="1" applyAlignment="1" applyProtection="1">
      <alignment horizontal="center" vertical="center" wrapText="1"/>
      <protection locked="0"/>
    </xf>
    <xf numFmtId="2" fontId="4" fillId="3" borderId="15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5" xfId="0" applyNumberFormat="1" applyFont="1" applyBorder="1" applyAlignment="1" applyProtection="1">
      <alignment horizontal="center" vertical="center" wrapText="1"/>
    </xf>
    <xf numFmtId="164" fontId="4" fillId="0" borderId="15" xfId="1" applyNumberFormat="1" applyFont="1" applyBorder="1" applyAlignment="1" applyProtection="1">
      <alignment horizontal="center" vertical="center" wrapText="1"/>
    </xf>
    <xf numFmtId="0" fontId="4" fillId="3" borderId="15" xfId="0" applyFont="1" applyFill="1" applyBorder="1" applyAlignment="1" applyProtection="1">
      <alignment horizontal="center" vertical="center" wrapText="1"/>
      <protection locked="0"/>
    </xf>
    <xf numFmtId="0" fontId="4" fillId="3" borderId="16" xfId="0" applyFont="1" applyFill="1" applyBorder="1" applyAlignment="1" applyProtection="1">
      <alignment horizontal="center" vertical="center" wrapText="1"/>
      <protection locked="0"/>
    </xf>
    <xf numFmtId="0" fontId="4" fillId="3" borderId="18" xfId="0" applyFont="1" applyFill="1" applyBorder="1" applyAlignment="1" applyProtection="1">
      <alignment horizontal="center" vertical="center" wrapText="1"/>
      <protection locked="0"/>
    </xf>
    <xf numFmtId="14" fontId="4" fillId="3" borderId="20" xfId="0" applyNumberFormat="1" applyFont="1" applyFill="1" applyBorder="1" applyAlignment="1" applyProtection="1">
      <alignment horizontal="center" vertical="center" wrapText="1"/>
      <protection locked="0"/>
    </xf>
    <xf numFmtId="2" fontId="4" fillId="3" borderId="20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20" xfId="0" applyNumberFormat="1" applyFont="1" applyBorder="1" applyAlignment="1" applyProtection="1">
      <alignment horizontal="center" vertical="center" wrapText="1"/>
    </xf>
    <xf numFmtId="164" fontId="4" fillId="0" borderId="20" xfId="1" applyNumberFormat="1" applyFont="1" applyBorder="1" applyAlignment="1" applyProtection="1">
      <alignment horizontal="center" vertical="center" wrapText="1"/>
    </xf>
    <xf numFmtId="0" fontId="4" fillId="3" borderId="20" xfId="0" applyFont="1" applyFill="1" applyBorder="1" applyAlignment="1" applyProtection="1">
      <alignment horizontal="center" vertical="center" wrapText="1"/>
      <protection locked="0"/>
    </xf>
    <xf numFmtId="0" fontId="4" fillId="3" borderId="21" xfId="0" applyFont="1" applyFill="1" applyBorder="1" applyAlignment="1" applyProtection="1">
      <alignment horizontal="center" vertical="center" wrapText="1"/>
      <protection locked="0"/>
    </xf>
    <xf numFmtId="14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2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1" xfId="0" applyNumberFormat="1" applyFont="1" applyBorder="1" applyAlignment="1" applyProtection="1">
      <alignment horizontal="center" vertical="center" wrapText="1"/>
    </xf>
    <xf numFmtId="164" fontId="4" fillId="0" borderId="11" xfId="1" applyNumberFormat="1" applyFont="1" applyBorder="1" applyAlignment="1" applyProtection="1">
      <alignment horizontal="center" vertical="center" wrapText="1"/>
    </xf>
    <xf numFmtId="0" fontId="4" fillId="3" borderId="23" xfId="0" applyFont="1" applyFill="1" applyBorder="1" applyAlignment="1" applyProtection="1">
      <alignment horizontal="center" vertical="center" wrapText="1"/>
      <protection locked="0"/>
    </xf>
    <xf numFmtId="0" fontId="12" fillId="3" borderId="15" xfId="0" applyFont="1" applyFill="1" applyBorder="1" applyAlignment="1">
      <alignment horizontal="center" vertical="center"/>
    </xf>
    <xf numFmtId="2" fontId="4" fillId="3" borderId="22" xfId="0" applyNumberFormat="1" applyFont="1" applyFill="1" applyBorder="1" applyAlignment="1" applyProtection="1">
      <alignment horizontal="center" vertical="center" wrapText="1"/>
      <protection locked="0"/>
    </xf>
    <xf numFmtId="14" fontId="12" fillId="3" borderId="15" xfId="0" applyNumberFormat="1" applyFont="1" applyFill="1" applyBorder="1" applyAlignment="1" applyProtection="1">
      <alignment horizontal="center" vertical="center" wrapText="1"/>
      <protection locked="0"/>
    </xf>
    <xf numFmtId="2" fontId="12" fillId="3" borderId="15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10" xfId="0" applyNumberFormat="1" applyFont="1" applyBorder="1" applyAlignment="1" applyProtection="1">
      <alignment horizontal="center" vertical="center" wrapText="1"/>
    </xf>
    <xf numFmtId="14" fontId="12" fillId="3" borderId="10" xfId="0" applyNumberFormat="1" applyFont="1" applyFill="1" applyBorder="1" applyAlignment="1" applyProtection="1">
      <alignment horizontal="center" vertical="center" wrapText="1"/>
      <protection locked="0"/>
    </xf>
    <xf numFmtId="2" fontId="12" fillId="3" borderId="10" xfId="0" applyNumberFormat="1" applyFont="1" applyFill="1" applyBorder="1" applyAlignment="1" applyProtection="1">
      <alignment horizontal="center" vertical="center" wrapText="1"/>
      <protection locked="0"/>
    </xf>
    <xf numFmtId="14" fontId="12" fillId="3" borderId="20" xfId="0" applyNumberFormat="1" applyFont="1" applyFill="1" applyBorder="1" applyAlignment="1" applyProtection="1">
      <alignment horizontal="center" vertical="center" wrapText="1"/>
      <protection locked="0"/>
    </xf>
    <xf numFmtId="2" fontId="12" fillId="3" borderId="2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</xf>
    <xf numFmtId="2" fontId="12" fillId="0" borderId="15" xfId="0" applyNumberFormat="1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2" fontId="12" fillId="0" borderId="11" xfId="0" applyNumberFormat="1" applyFont="1" applyBorder="1" applyAlignment="1" applyProtection="1">
      <alignment horizontal="center" vertical="center" wrapText="1"/>
    </xf>
    <xf numFmtId="2" fontId="12" fillId="0" borderId="22" xfId="0" applyNumberFormat="1" applyFont="1" applyBorder="1" applyAlignment="1" applyProtection="1">
      <alignment horizontal="center" vertical="center" wrapText="1"/>
    </xf>
    <xf numFmtId="2" fontId="12" fillId="0" borderId="12" xfId="0" applyNumberFormat="1" applyFont="1" applyBorder="1" applyAlignment="1" applyProtection="1">
      <alignment horizontal="center" vertical="center" wrapText="1"/>
    </xf>
    <xf numFmtId="2" fontId="12" fillId="0" borderId="10" xfId="0" applyNumberFormat="1" applyFont="1" applyBorder="1" applyAlignment="1" applyProtection="1">
      <alignment horizontal="center" vertical="center"/>
    </xf>
    <xf numFmtId="2" fontId="12" fillId="3" borderId="15" xfId="0" applyNumberFormat="1" applyFont="1" applyFill="1" applyBorder="1" applyAlignment="1" applyProtection="1">
      <alignment horizontal="center" vertical="center"/>
    </xf>
    <xf numFmtId="2" fontId="12" fillId="3" borderId="10" xfId="0" applyNumberFormat="1" applyFont="1" applyFill="1" applyBorder="1" applyAlignment="1" applyProtection="1">
      <alignment horizontal="center" vertical="center"/>
    </xf>
    <xf numFmtId="2" fontId="4" fillId="3" borderId="13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0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horizontal="center" vertical="center"/>
    </xf>
    <xf numFmtId="2" fontId="4" fillId="0" borderId="22" xfId="0" applyNumberFormat="1" applyFont="1" applyBorder="1" applyAlignment="1" applyProtection="1">
      <alignment horizontal="center" vertical="center" wrapText="1"/>
    </xf>
    <xf numFmtId="164" fontId="4" fillId="0" borderId="22" xfId="1" applyNumberFormat="1" applyFont="1" applyBorder="1" applyAlignment="1" applyProtection="1">
      <alignment horizontal="center" vertical="center" wrapText="1"/>
    </xf>
    <xf numFmtId="2" fontId="12" fillId="0" borderId="13" xfId="0" applyNumberFormat="1" applyFont="1" applyBorder="1" applyAlignment="1" applyProtection="1">
      <alignment horizontal="center" vertical="center" wrapText="1"/>
    </xf>
    <xf numFmtId="14" fontId="12" fillId="3" borderId="27" xfId="0" applyNumberFormat="1" applyFont="1" applyFill="1" applyBorder="1" applyAlignment="1" applyProtection="1">
      <alignment horizontal="center" vertical="center" wrapText="1"/>
      <protection locked="0"/>
    </xf>
    <xf numFmtId="14" fontId="12" fillId="3" borderId="11" xfId="0" applyNumberFormat="1" applyFont="1" applyFill="1" applyBorder="1" applyAlignment="1" applyProtection="1">
      <alignment horizontal="center" vertical="center" wrapText="1"/>
      <protection locked="0"/>
    </xf>
    <xf numFmtId="2" fontId="12" fillId="3" borderId="11" xfId="0" applyNumberFormat="1" applyFont="1" applyFill="1" applyBorder="1" applyAlignment="1" applyProtection="1">
      <alignment horizontal="center" vertical="center" wrapText="1"/>
      <protection locked="0"/>
    </xf>
    <xf numFmtId="2" fontId="12" fillId="3" borderId="11" xfId="0" applyNumberFormat="1" applyFont="1" applyFill="1" applyBorder="1" applyAlignment="1" applyProtection="1">
      <alignment horizontal="center" vertical="center"/>
    </xf>
    <xf numFmtId="2" fontId="12" fillId="0" borderId="11" xfId="0" applyNumberFormat="1" applyFont="1" applyBorder="1" applyAlignment="1" applyProtection="1">
      <alignment horizontal="center" vertical="center"/>
    </xf>
    <xf numFmtId="2" fontId="12" fillId="0" borderId="27" xfId="0" applyNumberFormat="1" applyFont="1" applyBorder="1" applyAlignment="1" applyProtection="1">
      <alignment horizontal="center" vertical="center" wrapText="1"/>
    </xf>
    <xf numFmtId="2" fontId="12" fillId="0" borderId="15" xfId="0" applyNumberFormat="1" applyFont="1" applyBorder="1" applyAlignment="1" applyProtection="1">
      <alignment horizontal="center" vertical="center" wrapText="1"/>
    </xf>
    <xf numFmtId="14" fontId="12" fillId="3" borderId="22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/>
    </xf>
    <xf numFmtId="0" fontId="4" fillId="3" borderId="10" xfId="0" applyFont="1" applyFill="1" applyBorder="1" applyAlignment="1" applyProtection="1">
      <alignment horizontal="center" vertical="center"/>
    </xf>
    <xf numFmtId="2" fontId="4" fillId="0" borderId="10" xfId="0" applyNumberFormat="1" applyFont="1" applyFill="1" applyBorder="1" applyAlignment="1" applyProtection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 wrapText="1"/>
    </xf>
    <xf numFmtId="164" fontId="4" fillId="0" borderId="13" xfId="1" applyNumberFormat="1" applyFont="1" applyBorder="1" applyAlignment="1" applyProtection="1">
      <alignment horizontal="center" vertical="center" wrapText="1"/>
    </xf>
    <xf numFmtId="2" fontId="4" fillId="3" borderId="27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5" xfId="0" applyFont="1" applyFill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2" fontId="4" fillId="0" borderId="15" xfId="0" applyNumberFormat="1" applyFont="1" applyFill="1" applyBorder="1" applyAlignment="1" applyProtection="1">
      <alignment horizontal="center" vertical="center" wrapText="1"/>
    </xf>
    <xf numFmtId="0" fontId="4" fillId="3" borderId="20" xfId="0" applyFont="1" applyFill="1" applyBorder="1" applyAlignment="1" applyProtection="1">
      <alignment horizontal="center" vertical="center"/>
    </xf>
    <xf numFmtId="0" fontId="4" fillId="0" borderId="15" xfId="0" applyFont="1" applyFill="1" applyBorder="1" applyAlignment="1" applyProtection="1">
      <alignment horizontal="center" vertical="center"/>
    </xf>
    <xf numFmtId="2" fontId="4" fillId="0" borderId="20" xfId="0" applyNumberFormat="1" applyFont="1" applyFill="1" applyBorder="1" applyAlignment="1" applyProtection="1">
      <alignment horizontal="center" vertical="center" wrapText="1"/>
    </xf>
    <xf numFmtId="2" fontId="4" fillId="3" borderId="10" xfId="0" applyNumberFormat="1" applyFont="1" applyFill="1" applyBorder="1" applyAlignment="1" applyProtection="1">
      <alignment horizontal="center" vertical="center"/>
    </xf>
    <xf numFmtId="4" fontId="4" fillId="3" borderId="11" xfId="0" applyNumberFormat="1" applyFont="1" applyFill="1" applyBorder="1" applyAlignment="1" applyProtection="1">
      <alignment horizontal="center" vertical="center"/>
    </xf>
    <xf numFmtId="14" fontId="4" fillId="3" borderId="27" xfId="0" applyNumberFormat="1" applyFont="1" applyFill="1" applyBorder="1" applyAlignment="1" applyProtection="1">
      <alignment horizontal="center" vertical="center" wrapText="1"/>
      <protection locked="0"/>
    </xf>
    <xf numFmtId="0" fontId="12" fillId="3" borderId="15" xfId="0" applyFont="1" applyFill="1" applyBorder="1" applyAlignment="1" applyProtection="1">
      <alignment horizontal="center" vertical="center"/>
    </xf>
    <xf numFmtId="0" fontId="12" fillId="0" borderId="15" xfId="0" applyFont="1" applyBorder="1" applyAlignment="1" applyProtection="1">
      <alignment horizontal="center" vertical="center"/>
    </xf>
    <xf numFmtId="0" fontId="12" fillId="3" borderId="10" xfId="0" applyFont="1" applyFill="1" applyBorder="1" applyAlignment="1" applyProtection="1">
      <alignment horizontal="center" vertical="center"/>
    </xf>
    <xf numFmtId="0" fontId="12" fillId="0" borderId="10" xfId="0" applyFont="1" applyBorder="1" applyAlignment="1" applyProtection="1">
      <alignment horizontal="center" vertical="center"/>
    </xf>
    <xf numFmtId="0" fontId="12" fillId="3" borderId="20" xfId="0" applyFont="1" applyFill="1" applyBorder="1" applyAlignment="1" applyProtection="1">
      <alignment horizontal="center" vertical="center"/>
    </xf>
    <xf numFmtId="0" fontId="12" fillId="0" borderId="20" xfId="0" applyFont="1" applyBorder="1" applyAlignment="1" applyProtection="1">
      <alignment horizontal="center" vertical="center"/>
    </xf>
    <xf numFmtId="2" fontId="12" fillId="0" borderId="20" xfId="0" applyNumberFormat="1" applyFont="1" applyBorder="1" applyAlignment="1" applyProtection="1">
      <alignment horizontal="center" vertical="center"/>
    </xf>
    <xf numFmtId="14" fontId="4" fillId="3" borderId="30" xfId="0" applyNumberFormat="1" applyFont="1" applyFill="1" applyBorder="1" applyAlignment="1" applyProtection="1">
      <alignment horizontal="center" vertical="center" wrapText="1"/>
      <protection locked="0"/>
    </xf>
    <xf numFmtId="2" fontId="4" fillId="3" borderId="31" xfId="0" applyNumberFormat="1" applyFont="1" applyFill="1" applyBorder="1" applyAlignment="1" applyProtection="1">
      <alignment horizontal="center" vertical="center" wrapText="1"/>
      <protection locked="0"/>
    </xf>
    <xf numFmtId="14" fontId="4" fillId="3" borderId="29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0" xfId="0" applyNumberFormat="1" applyProtection="1"/>
    <xf numFmtId="9" fontId="0" fillId="0" borderId="32" xfId="0" applyNumberFormat="1" applyBorder="1" applyAlignment="1" applyProtection="1">
      <alignment horizontal="center"/>
    </xf>
    <xf numFmtId="9" fontId="0" fillId="0" borderId="33" xfId="0" applyNumberFormat="1" applyBorder="1" applyAlignment="1" applyProtection="1">
      <alignment horizontal="center"/>
    </xf>
    <xf numFmtId="9" fontId="0" fillId="0" borderId="34" xfId="0" applyNumberFormat="1" applyBorder="1" applyAlignment="1" applyProtection="1">
      <alignment horizontal="center"/>
    </xf>
    <xf numFmtId="9" fontId="0" fillId="0" borderId="35" xfId="1" applyFont="1" applyBorder="1" applyAlignment="1" applyProtection="1">
      <alignment horizontal="center"/>
    </xf>
    <xf numFmtId="9" fontId="0" fillId="0" borderId="36" xfId="1" applyFont="1" applyBorder="1" applyAlignment="1" applyProtection="1">
      <alignment horizontal="center"/>
    </xf>
    <xf numFmtId="9" fontId="0" fillId="0" borderId="37" xfId="1" applyFont="1" applyBorder="1" applyAlignment="1" applyProtection="1">
      <alignment horizontal="center"/>
    </xf>
    <xf numFmtId="9" fontId="0" fillId="0" borderId="35" xfId="0" applyNumberFormat="1" applyBorder="1" applyAlignment="1" applyProtection="1">
      <alignment horizontal="center"/>
    </xf>
    <xf numFmtId="9" fontId="0" fillId="0" borderId="36" xfId="0" applyNumberFormat="1" applyBorder="1" applyAlignment="1" applyProtection="1">
      <alignment horizontal="center"/>
    </xf>
    <xf numFmtId="9" fontId="0" fillId="0" borderId="37" xfId="0" applyNumberFormat="1" applyBorder="1" applyAlignment="1" applyProtection="1">
      <alignment horizontal="center"/>
    </xf>
    <xf numFmtId="9" fontId="0" fillId="0" borderId="6" xfId="1" applyFont="1" applyBorder="1" applyAlignment="1" applyProtection="1">
      <alignment horizontal="center"/>
    </xf>
    <xf numFmtId="9" fontId="0" fillId="0" borderId="7" xfId="1" applyFont="1" applyBorder="1" applyAlignment="1" applyProtection="1">
      <alignment horizontal="center"/>
    </xf>
    <xf numFmtId="0" fontId="13" fillId="0" borderId="0" xfId="0" applyFont="1" applyProtection="1"/>
    <xf numFmtId="0" fontId="13" fillId="0" borderId="0" xfId="0" applyFont="1" applyAlignment="1" applyProtection="1">
      <alignment horizontal="center" vertical="center" wrapText="1"/>
    </xf>
    <xf numFmtId="0" fontId="13" fillId="0" borderId="10" xfId="0" applyFont="1" applyBorder="1" applyAlignment="1" applyProtection="1">
      <alignment horizontal="center" vertical="center" wrapText="1"/>
    </xf>
    <xf numFmtId="0" fontId="13" fillId="0" borderId="10" xfId="0" applyFont="1" applyBorder="1" applyProtection="1"/>
    <xf numFmtId="0" fontId="13" fillId="0" borderId="10" xfId="0" applyFont="1" applyBorder="1" applyAlignment="1" applyProtection="1">
      <alignment wrapText="1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vertical="center"/>
    </xf>
    <xf numFmtId="165" fontId="0" fillId="0" borderId="10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44" xfId="0" applyFill="1" applyBorder="1"/>
    <xf numFmtId="0" fontId="0" fillId="0" borderId="45" xfId="0" applyBorder="1"/>
    <xf numFmtId="0" fontId="0" fillId="0" borderId="2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4" borderId="44" xfId="0" applyFill="1" applyBorder="1" applyAlignment="1">
      <alignment horizontal="center"/>
    </xf>
    <xf numFmtId="0" fontId="0" fillId="0" borderId="45" xfId="0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4" xfId="0" applyFill="1" applyBorder="1" applyAlignment="1">
      <alignment horizontal="center" vertical="center"/>
    </xf>
    <xf numFmtId="0" fontId="0" fillId="4" borderId="27" xfId="0" applyFill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0" fontId="12" fillId="3" borderId="24" xfId="0" applyFont="1" applyFill="1" applyBorder="1" applyAlignment="1" applyProtection="1">
      <alignment horizontal="center" vertical="center"/>
    </xf>
    <xf numFmtId="0" fontId="12" fillId="3" borderId="25" xfId="0" applyFont="1" applyFill="1" applyBorder="1" applyAlignment="1" applyProtection="1">
      <alignment horizontal="center" vertical="center"/>
    </xf>
    <xf numFmtId="0" fontId="12" fillId="3" borderId="28" xfId="0" applyFont="1" applyFill="1" applyBorder="1" applyAlignment="1" applyProtection="1">
      <alignment horizontal="center" vertical="center"/>
    </xf>
    <xf numFmtId="0" fontId="12" fillId="3" borderId="26" xfId="0" applyFont="1" applyFill="1" applyBorder="1" applyAlignment="1" applyProtection="1">
      <alignment horizontal="center" vertical="center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17" xfId="0" applyFont="1" applyFill="1" applyBorder="1" applyAlignment="1" applyProtection="1">
      <alignment horizontal="center" vertical="center" wrapText="1"/>
      <protection locked="0"/>
    </xf>
    <xf numFmtId="0" fontId="4" fillId="3" borderId="19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left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9" xfId="0" applyFont="1" applyBorder="1" applyAlignment="1" applyProtection="1">
      <alignment horizontal="center" vertical="center" wrapText="1"/>
    </xf>
    <xf numFmtId="15" fontId="4" fillId="3" borderId="6" xfId="0" applyNumberFormat="1" applyFont="1" applyFill="1" applyBorder="1" applyAlignment="1" applyProtection="1">
      <alignment horizontal="left" vertical="center" wrapText="1"/>
      <protection locked="0"/>
    </xf>
    <xf numFmtId="9" fontId="4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8" xfId="0" applyFont="1" applyFill="1" applyBorder="1" applyAlignment="1" applyProtection="1">
      <alignment horizontal="center" vertical="center"/>
    </xf>
    <xf numFmtId="0" fontId="9" fillId="2" borderId="7" xfId="0" applyFont="1" applyFill="1" applyBorder="1" applyAlignment="1" applyProtection="1">
      <alignment horizontal="center" vertical="center"/>
    </xf>
    <xf numFmtId="0" fontId="9" fillId="2" borderId="9" xfId="0" applyFont="1" applyFill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</xf>
    <xf numFmtId="0" fontId="4" fillId="0" borderId="7" xfId="0" applyFont="1" applyBorder="1" applyAlignment="1" applyProtection="1">
      <alignment horizontal="center" vertical="center" wrapText="1"/>
    </xf>
    <xf numFmtId="0" fontId="4" fillId="3" borderId="7" xfId="0" applyFont="1" applyFill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</xf>
    <xf numFmtId="0" fontId="0" fillId="0" borderId="38" xfId="0" applyBorder="1" applyAlignment="1" applyProtection="1">
      <alignment horizontal="center" vertical="center"/>
    </xf>
    <xf numFmtId="0" fontId="0" fillId="0" borderId="39" xfId="0" applyBorder="1" applyAlignment="1" applyProtection="1">
      <alignment horizontal="center" vertical="center"/>
    </xf>
    <xf numFmtId="0" fontId="0" fillId="0" borderId="40" xfId="0" applyBorder="1" applyAlignment="1" applyProtection="1">
      <alignment horizontal="center" vertical="center"/>
    </xf>
    <xf numFmtId="0" fontId="0" fillId="0" borderId="35" xfId="0" applyBorder="1" applyAlignment="1" applyProtection="1">
      <alignment horizontal="center" vertical="center"/>
    </xf>
    <xf numFmtId="0" fontId="0" fillId="0" borderId="36" xfId="0" applyBorder="1" applyAlignment="1" applyProtection="1">
      <alignment horizontal="center" vertical="center"/>
    </xf>
    <xf numFmtId="0" fontId="0" fillId="0" borderId="37" xfId="0" applyBorder="1" applyAlignment="1" applyProtection="1">
      <alignment horizontal="center" vertical="center"/>
    </xf>
    <xf numFmtId="0" fontId="0" fillId="0" borderId="41" xfId="0" applyBorder="1" applyAlignment="1" applyProtection="1">
      <alignment horizontal="center" vertical="center"/>
    </xf>
    <xf numFmtId="0" fontId="0" fillId="0" borderId="42" xfId="0" applyBorder="1" applyAlignment="1" applyProtection="1">
      <alignment horizontal="center" vertical="center"/>
    </xf>
    <xf numFmtId="0" fontId="0" fillId="0" borderId="43" xfId="0" applyBorder="1" applyAlignment="1" applyProtection="1">
      <alignment horizontal="center" vertical="center"/>
    </xf>
    <xf numFmtId="0" fontId="4" fillId="0" borderId="24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26" xfId="0" applyFont="1" applyBorder="1" applyAlignment="1" applyProtection="1">
      <alignment horizontal="center" vertical="center"/>
    </xf>
    <xf numFmtId="0" fontId="4" fillId="3" borderId="24" xfId="0" applyFont="1" applyFill="1" applyBorder="1" applyAlignment="1" applyProtection="1">
      <alignment horizontal="center" vertical="center" wrapText="1"/>
      <protection locked="0"/>
    </xf>
    <xf numFmtId="0" fontId="4" fillId="3" borderId="25" xfId="0" applyFont="1" applyFill="1" applyBorder="1" applyAlignment="1" applyProtection="1">
      <alignment horizontal="center" vertical="center" wrapText="1"/>
      <protection locked="0"/>
    </xf>
    <xf numFmtId="0" fontId="4" fillId="3" borderId="28" xfId="0" applyFont="1" applyFill="1" applyBorder="1" applyAlignment="1" applyProtection="1">
      <alignment horizontal="center" vertical="center" wrapText="1"/>
      <protection locked="0"/>
    </xf>
    <xf numFmtId="0" fontId="4" fillId="3" borderId="26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/>
    </xf>
    <xf numFmtId="0" fontId="4" fillId="3" borderId="17" xfId="0" applyFont="1" applyFill="1" applyBorder="1" applyAlignment="1" applyProtection="1">
      <alignment horizontal="center" vertical="center"/>
    </xf>
    <xf numFmtId="0" fontId="4" fillId="3" borderId="19" xfId="0" applyFont="1" applyFill="1" applyBorder="1" applyAlignment="1" applyProtection="1">
      <alignment horizontal="center" vertical="center"/>
    </xf>
    <xf numFmtId="0" fontId="4" fillId="3" borderId="24" xfId="0" applyFont="1" applyFill="1" applyBorder="1" applyAlignment="1" applyProtection="1">
      <alignment horizontal="center" vertical="center"/>
    </xf>
    <xf numFmtId="0" fontId="4" fillId="3" borderId="25" xfId="0" applyFont="1" applyFill="1" applyBorder="1" applyAlignment="1" applyProtection="1">
      <alignment horizontal="center" vertical="center"/>
    </xf>
    <xf numFmtId="0" fontId="4" fillId="3" borderId="26" xfId="0" applyFont="1" applyFill="1" applyBorder="1" applyAlignment="1" applyProtection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E1A3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0805555555555558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Esfuerzo vs Deformacion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'E Sumergido'!$E$9:$E$27</c:f>
              <c:numCache>
                <c:formatCode>General</c:formatCode>
                <c:ptCount val="19"/>
                <c:pt idx="0">
                  <c:v>0</c:v>
                </c:pt>
                <c:pt idx="1">
                  <c:v>9.3920219575769302E-6</c:v>
                </c:pt>
                <c:pt idx="2">
                  <c:v>1.878404391515386E-5</c:v>
                </c:pt>
                <c:pt idx="3">
                  <c:v>2.8176065872730796E-5</c:v>
                </c:pt>
                <c:pt idx="4">
                  <c:v>3.7568087830307721E-5</c:v>
                </c:pt>
                <c:pt idx="5">
                  <c:v>4.6960109787884653E-5</c:v>
                </c:pt>
                <c:pt idx="6">
                  <c:v>5.6352131745461591E-5</c:v>
                </c:pt>
                <c:pt idx="7">
                  <c:v>6.5744153703038496E-5</c:v>
                </c:pt>
                <c:pt idx="8">
                  <c:v>7.5136175660615442E-5</c:v>
                </c:pt>
                <c:pt idx="9">
                  <c:v>8.4528197618192373E-5</c:v>
                </c:pt>
                <c:pt idx="10">
                  <c:v>9.3920219575769305E-5</c:v>
                </c:pt>
                <c:pt idx="11">
                  <c:v>1.0331224153334624E-4</c:v>
                </c:pt>
                <c:pt idx="12">
                  <c:v>1.1270426349092318E-4</c:v>
                </c:pt>
                <c:pt idx="13">
                  <c:v>1.2209628544850007E-4</c:v>
                </c:pt>
                <c:pt idx="14">
                  <c:v>1.3148830740607699E-4</c:v>
                </c:pt>
                <c:pt idx="15">
                  <c:v>1.4088032936365394E-4</c:v>
                </c:pt>
                <c:pt idx="16">
                  <c:v>1.5027235132123088E-4</c:v>
                </c:pt>
                <c:pt idx="17">
                  <c:v>1.5966437327880783E-4</c:v>
                </c:pt>
                <c:pt idx="18">
                  <c:v>1.6999999999999999E-4</c:v>
                </c:pt>
              </c:numCache>
            </c:numRef>
          </c:xVal>
          <c:yVal>
            <c:numRef>
              <c:f>'E Sumergido'!$D$9:$D$27</c:f>
              <c:numCache>
                <c:formatCode>General</c:formatCode>
                <c:ptCount val="19"/>
                <c:pt idx="0">
                  <c:v>0</c:v>
                </c:pt>
                <c:pt idx="1">
                  <c:v>1.1277551239496604</c:v>
                </c:pt>
                <c:pt idx="2">
                  <c:v>2.2555102478993208</c:v>
                </c:pt>
                <c:pt idx="3">
                  <c:v>3.3832653718489816</c:v>
                </c:pt>
                <c:pt idx="4">
                  <c:v>4.5110204957986415</c:v>
                </c:pt>
                <c:pt idx="5">
                  <c:v>5.6387756197483023</c:v>
                </c:pt>
                <c:pt idx="6">
                  <c:v>6.7665307436979631</c:v>
                </c:pt>
                <c:pt idx="7">
                  <c:v>7.8942858676476222</c:v>
                </c:pt>
                <c:pt idx="8">
                  <c:v>9.022040991597283</c:v>
                </c:pt>
                <c:pt idx="9">
                  <c:v>10.149796115546945</c:v>
                </c:pt>
                <c:pt idx="10">
                  <c:v>11.277551239496605</c:v>
                </c:pt>
                <c:pt idx="11">
                  <c:v>12.405306363446265</c:v>
                </c:pt>
                <c:pt idx="12">
                  <c:v>13.533061487395926</c:v>
                </c:pt>
                <c:pt idx="13">
                  <c:v>14.660816611345584</c:v>
                </c:pt>
                <c:pt idx="14">
                  <c:v>15.788571735295244</c:v>
                </c:pt>
                <c:pt idx="15">
                  <c:v>16.916326859244904</c:v>
                </c:pt>
                <c:pt idx="16">
                  <c:v>18.044081983194566</c:v>
                </c:pt>
                <c:pt idx="17">
                  <c:v>19.171837107144228</c:v>
                </c:pt>
                <c:pt idx="18">
                  <c:v>20.412896385615365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A2-47A9-9FCF-4B22822F2F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110944"/>
        <c:axId val="598109856"/>
      </c:scatterChart>
      <c:valAx>
        <c:axId val="598110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Deformacion Unitaria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8109856"/>
        <c:crosses val="autoZero"/>
        <c:crossBetween val="midCat"/>
      </c:valAx>
      <c:valAx>
        <c:axId val="598109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Esfuerzo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8110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0805555555555558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Esfuerzo vs Deformacion</c:v>
          </c:tx>
          <c:spPr>
            <a:ln w="9525" cap="rnd">
              <a:solidFill>
                <a:schemeClr val="accent6">
                  <a:alpha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'E Vin Trans'!$E$10:$E$29</c:f>
              <c:numCache>
                <c:formatCode>General</c:formatCode>
                <c:ptCount val="20"/>
                <c:pt idx="0">
                  <c:v>0</c:v>
                </c:pt>
                <c:pt idx="1">
                  <c:v>7.4250169033130491E-6</c:v>
                </c:pt>
                <c:pt idx="2">
                  <c:v>1.4850033806626098E-5</c:v>
                </c:pt>
                <c:pt idx="3">
                  <c:v>2.2275050709939143E-5</c:v>
                </c:pt>
                <c:pt idx="4">
                  <c:v>2.9700067613252196E-5</c:v>
                </c:pt>
                <c:pt idx="5">
                  <c:v>3.7125084516565236E-5</c:v>
                </c:pt>
                <c:pt idx="6">
                  <c:v>4.4550101419878286E-5</c:v>
                </c:pt>
                <c:pt idx="7">
                  <c:v>5.1975118323191336E-5</c:v>
                </c:pt>
                <c:pt idx="8">
                  <c:v>5.9400135226504392E-5</c:v>
                </c:pt>
                <c:pt idx="9">
                  <c:v>6.6825152129817436E-5</c:v>
                </c:pt>
                <c:pt idx="10">
                  <c:v>7.4250169033130472E-5</c:v>
                </c:pt>
                <c:pt idx="11">
                  <c:v>8.1675185936443535E-5</c:v>
                </c:pt>
                <c:pt idx="12">
                  <c:v>8.9100202839756572E-5</c:v>
                </c:pt>
                <c:pt idx="13">
                  <c:v>9.6525219743069635E-5</c:v>
                </c:pt>
                <c:pt idx="14">
                  <c:v>1.0395023664638267E-4</c:v>
                </c:pt>
                <c:pt idx="15">
                  <c:v>1.1137525354969575E-4</c:v>
                </c:pt>
                <c:pt idx="16">
                  <c:v>1.188002704530088E-4</c:v>
                </c:pt>
                <c:pt idx="17">
                  <c:v>1.2622528735632183E-4</c:v>
                </c:pt>
                <c:pt idx="18">
                  <c:v>1.3365030425963493E-4</c:v>
                </c:pt>
                <c:pt idx="19">
                  <c:v>1.4000000000000001E-4</c:v>
                </c:pt>
              </c:numCache>
            </c:numRef>
          </c:xVal>
          <c:yVal>
            <c:numRef>
              <c:f>'E Vin Trans'!$D$10:$D$29</c:f>
              <c:numCache>
                <c:formatCode>General</c:formatCode>
                <c:ptCount val="20"/>
                <c:pt idx="0">
                  <c:v>0</c:v>
                </c:pt>
                <c:pt idx="1">
                  <c:v>1.1202873917584539</c:v>
                </c:pt>
                <c:pt idx="2">
                  <c:v>2.2405747835169079</c:v>
                </c:pt>
                <c:pt idx="3">
                  <c:v>3.3608621752753614</c:v>
                </c:pt>
                <c:pt idx="4">
                  <c:v>4.4811495670338157</c:v>
                </c:pt>
                <c:pt idx="5">
                  <c:v>5.6014369587922692</c:v>
                </c:pt>
                <c:pt idx="6">
                  <c:v>6.7217243505507227</c:v>
                </c:pt>
                <c:pt idx="7">
                  <c:v>7.8420117423091771</c:v>
                </c:pt>
                <c:pt idx="8">
                  <c:v>8.9622991340676315</c:v>
                </c:pt>
                <c:pt idx="9">
                  <c:v>10.082586525826086</c:v>
                </c:pt>
                <c:pt idx="10">
                  <c:v>11.202873917584538</c:v>
                </c:pt>
                <c:pt idx="11">
                  <c:v>12.323161309342993</c:v>
                </c:pt>
                <c:pt idx="12">
                  <c:v>13.443448701101445</c:v>
                </c:pt>
                <c:pt idx="13">
                  <c:v>14.563736092859902</c:v>
                </c:pt>
                <c:pt idx="14">
                  <c:v>15.684023484618354</c:v>
                </c:pt>
                <c:pt idx="15">
                  <c:v>16.80431087637681</c:v>
                </c:pt>
                <c:pt idx="16">
                  <c:v>17.924598268135263</c:v>
                </c:pt>
                <c:pt idx="17">
                  <c:v>19.044885659893716</c:v>
                </c:pt>
                <c:pt idx="18">
                  <c:v>20.165173051652172</c:v>
                </c:pt>
                <c:pt idx="19">
                  <c:v>21.12321586449201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D1-47B3-9694-FA810740E4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118016"/>
        <c:axId val="598108224"/>
      </c:scatterChart>
      <c:valAx>
        <c:axId val="598118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Deformacion Unitaria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8108224"/>
        <c:crosses val="autoZero"/>
        <c:crossBetween val="midCat"/>
      </c:valAx>
      <c:valAx>
        <c:axId val="598108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Esfuerzo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8118016"/>
        <c:crosses val="autoZero"/>
        <c:crossBetween val="midCat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0805555555555558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Esfuerzo vs Deformacion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'E Vin Negro'!$E$10:$E$30</c:f>
              <c:numCache>
                <c:formatCode>General</c:formatCode>
                <c:ptCount val="21"/>
                <c:pt idx="0">
                  <c:v>0</c:v>
                </c:pt>
                <c:pt idx="1">
                  <c:v>2.2096649307315126E-5</c:v>
                </c:pt>
                <c:pt idx="2">
                  <c:v>4.4193298614630251E-5</c:v>
                </c:pt>
                <c:pt idx="3">
                  <c:v>6.6289947921945367E-5</c:v>
                </c:pt>
                <c:pt idx="4">
                  <c:v>8.8386597229260503E-5</c:v>
                </c:pt>
                <c:pt idx="5">
                  <c:v>1.1048324653657561E-4</c:v>
                </c:pt>
                <c:pt idx="6">
                  <c:v>1.3257989584389073E-4</c:v>
                </c:pt>
                <c:pt idx="7">
                  <c:v>1.5467654515120586E-4</c:v>
                </c:pt>
                <c:pt idx="8">
                  <c:v>1.7677319445852101E-4</c:v>
                </c:pt>
                <c:pt idx="9">
                  <c:v>1.988698437658361E-4</c:v>
                </c:pt>
                <c:pt idx="10">
                  <c:v>2.2096649307315122E-4</c:v>
                </c:pt>
                <c:pt idx="11">
                  <c:v>2.4306314238046634E-4</c:v>
                </c:pt>
                <c:pt idx="12">
                  <c:v>2.6515979168778141E-4</c:v>
                </c:pt>
                <c:pt idx="13">
                  <c:v>2.8725644099509656E-4</c:v>
                </c:pt>
                <c:pt idx="14">
                  <c:v>3.0935309030241166E-4</c:v>
                </c:pt>
                <c:pt idx="15">
                  <c:v>3.3144973960972681E-4</c:v>
                </c:pt>
                <c:pt idx="16">
                  <c:v>3.5354638891704196E-4</c:v>
                </c:pt>
                <c:pt idx="17">
                  <c:v>3.7564303822435705E-4</c:v>
                </c:pt>
                <c:pt idx="18">
                  <c:v>3.9773968753167209E-4</c:v>
                </c:pt>
                <c:pt idx="19">
                  <c:v>4.0878801218532972E-4</c:v>
                </c:pt>
                <c:pt idx="20">
                  <c:v>4.2333333333333334E-4</c:v>
                </c:pt>
              </c:numCache>
            </c:numRef>
          </c:xVal>
          <c:yVal>
            <c:numRef>
              <c:f>'E Vin Negro'!$D$10:$D$30</c:f>
              <c:numCache>
                <c:formatCode>General</c:formatCode>
                <c:ptCount val="21"/>
                <c:pt idx="0">
                  <c:v>0</c:v>
                </c:pt>
                <c:pt idx="1">
                  <c:v>1.1165813104079965</c:v>
                </c:pt>
                <c:pt idx="2">
                  <c:v>2.2331626208159929</c:v>
                </c:pt>
                <c:pt idx="3">
                  <c:v>3.3497439312239892</c:v>
                </c:pt>
                <c:pt idx="4">
                  <c:v>4.4663252416319859</c:v>
                </c:pt>
                <c:pt idx="5">
                  <c:v>5.5829065520399821</c:v>
                </c:pt>
                <c:pt idx="6">
                  <c:v>6.6994878624479783</c:v>
                </c:pt>
                <c:pt idx="7">
                  <c:v>7.8160691728559737</c:v>
                </c:pt>
                <c:pt idx="8">
                  <c:v>8.9326504832639717</c:v>
                </c:pt>
                <c:pt idx="9">
                  <c:v>10.049231793671966</c:v>
                </c:pt>
                <c:pt idx="10">
                  <c:v>11.165813104079964</c:v>
                </c:pt>
                <c:pt idx="11">
                  <c:v>12.28239441448796</c:v>
                </c:pt>
                <c:pt idx="12">
                  <c:v>13.398975724895957</c:v>
                </c:pt>
                <c:pt idx="13">
                  <c:v>14.515557035303953</c:v>
                </c:pt>
                <c:pt idx="14">
                  <c:v>15.632138345711947</c:v>
                </c:pt>
                <c:pt idx="15">
                  <c:v>16.748719656119945</c:v>
                </c:pt>
                <c:pt idx="16">
                  <c:v>17.865300966527943</c:v>
                </c:pt>
                <c:pt idx="17">
                  <c:v>18.981882276935938</c:v>
                </c:pt>
                <c:pt idx="18">
                  <c:v>20.098463587343932</c:v>
                </c:pt>
                <c:pt idx="19">
                  <c:v>20.656754242547933</c:v>
                </c:pt>
                <c:pt idx="20">
                  <c:v>21.391754084463621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AE-4038-ADA8-736AA8615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112032"/>
        <c:axId val="598117472"/>
      </c:scatterChart>
      <c:valAx>
        <c:axId val="598112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Deformacion Unitaria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8117472"/>
        <c:crosses val="autoZero"/>
        <c:crossBetween val="midCat"/>
      </c:valAx>
      <c:valAx>
        <c:axId val="598117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Esfuerzo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8112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0805555555555558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Esfuerzo vs Deformacion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'E Intemperie'!$E$9:$E$23</c:f>
              <c:numCache>
                <c:formatCode>General</c:formatCode>
                <c:ptCount val="15"/>
                <c:pt idx="0">
                  <c:v>0</c:v>
                </c:pt>
                <c:pt idx="1">
                  <c:v>2.2822340421811674E-5</c:v>
                </c:pt>
                <c:pt idx="2">
                  <c:v>4.5644680843623347E-5</c:v>
                </c:pt>
                <c:pt idx="3">
                  <c:v>6.8467021265435017E-5</c:v>
                </c:pt>
                <c:pt idx="4">
                  <c:v>9.1289361687246694E-5</c:v>
                </c:pt>
                <c:pt idx="5">
                  <c:v>1.1411170210905837E-4</c:v>
                </c:pt>
                <c:pt idx="6">
                  <c:v>1.3693404253087003E-4</c:v>
                </c:pt>
                <c:pt idx="7">
                  <c:v>1.5975638295268171E-4</c:v>
                </c:pt>
                <c:pt idx="8">
                  <c:v>1.8257872337449339E-4</c:v>
                </c:pt>
                <c:pt idx="9">
                  <c:v>2.0540106379630507E-4</c:v>
                </c:pt>
                <c:pt idx="10">
                  <c:v>2.2822340421811674E-4</c:v>
                </c:pt>
                <c:pt idx="11">
                  <c:v>2.5104574463992842E-4</c:v>
                </c:pt>
                <c:pt idx="12">
                  <c:v>2.7386808506174007E-4</c:v>
                </c:pt>
                <c:pt idx="13">
                  <c:v>2.9669042548355172E-4</c:v>
                </c:pt>
                <c:pt idx="14">
                  <c:v>3.2000000000000003E-4</c:v>
                </c:pt>
              </c:numCache>
            </c:numRef>
          </c:xVal>
          <c:yVal>
            <c:numRef>
              <c:f>'E Intemperie'!$D$9:$D$23</c:f>
              <c:numCache>
                <c:formatCode>General</c:formatCode>
                <c:ptCount val="15"/>
                <c:pt idx="0">
                  <c:v>0</c:v>
                </c:pt>
                <c:pt idx="1">
                  <c:v>1.1267551194553092</c:v>
                </c:pt>
                <c:pt idx="2">
                  <c:v>2.2535102389106183</c:v>
                </c:pt>
                <c:pt idx="3">
                  <c:v>3.3802653583659272</c:v>
                </c:pt>
                <c:pt idx="4">
                  <c:v>4.5070204778212366</c:v>
                </c:pt>
                <c:pt idx="5">
                  <c:v>5.6337755972765455</c:v>
                </c:pt>
                <c:pt idx="6">
                  <c:v>6.7605307167318545</c:v>
                </c:pt>
                <c:pt idx="7">
                  <c:v>7.8872858361871634</c:v>
                </c:pt>
                <c:pt idx="8">
                  <c:v>9.0140409556424732</c:v>
                </c:pt>
                <c:pt idx="9">
                  <c:v>10.140796075097782</c:v>
                </c:pt>
                <c:pt idx="10">
                  <c:v>11.267551194553091</c:v>
                </c:pt>
                <c:pt idx="11">
                  <c:v>12.3943063140084</c:v>
                </c:pt>
                <c:pt idx="12">
                  <c:v>13.521061433463709</c:v>
                </c:pt>
                <c:pt idx="13">
                  <c:v>14.647816552919018</c:v>
                </c:pt>
                <c:pt idx="14">
                  <c:v>15.798626764900256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54-4DDD-ACD6-895FE36534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113120"/>
        <c:axId val="598113664"/>
      </c:scatterChart>
      <c:valAx>
        <c:axId val="598113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Deformacion Unitaria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8113664"/>
        <c:crosses val="autoZero"/>
        <c:crossBetween val="midCat"/>
      </c:valAx>
      <c:valAx>
        <c:axId val="598113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Esfuerzo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8113120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2" name="1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" name="2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" name="3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" name="4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" name="5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" name="6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8" name="7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9" name="8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0" name="10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1" name="1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2" name="1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7</xdr:col>
      <xdr:colOff>451514</xdr:colOff>
      <xdr:row>19</xdr:row>
      <xdr:rowOff>2357</xdr:rowOff>
    </xdr:from>
    <xdr:to>
      <xdr:col>9</xdr:col>
      <xdr:colOff>72988</xdr:colOff>
      <xdr:row>24</xdr:row>
      <xdr:rowOff>165642</xdr:rowOff>
    </xdr:to>
    <xdr:sp macro="" textlink="">
      <xdr:nvSpPr>
        <xdr:cNvPr id="13" name="17 Rectángulo"/>
        <xdr:cNvSpPr/>
      </xdr:nvSpPr>
      <xdr:spPr>
        <a:xfrm>
          <a:off x="6347489" y="4326707"/>
          <a:ext cx="1126424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7</xdr:col>
      <xdr:colOff>453831</xdr:colOff>
      <xdr:row>19</xdr:row>
      <xdr:rowOff>7567</xdr:rowOff>
    </xdr:from>
    <xdr:to>
      <xdr:col>9</xdr:col>
      <xdr:colOff>69813</xdr:colOff>
      <xdr:row>24</xdr:row>
      <xdr:rowOff>169695</xdr:rowOff>
    </xdr:to>
    <xdr:cxnSp macro="">
      <xdr:nvCxnSpPr>
        <xdr:cNvPr id="14" name="18 Conector recto"/>
        <xdr:cNvCxnSpPr/>
      </xdr:nvCxnSpPr>
      <xdr:spPr>
        <a:xfrm>
          <a:off x="6349806" y="4331917"/>
          <a:ext cx="1120932" cy="11146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7</xdr:col>
      <xdr:colOff>463346</xdr:colOff>
      <xdr:row>19</xdr:row>
      <xdr:rowOff>7567</xdr:rowOff>
    </xdr:from>
    <xdr:to>
      <xdr:col>9</xdr:col>
      <xdr:colOff>77821</xdr:colOff>
      <xdr:row>24</xdr:row>
      <xdr:rowOff>165642</xdr:rowOff>
    </xdr:to>
    <xdr:cxnSp macro="">
      <xdr:nvCxnSpPr>
        <xdr:cNvPr id="15" name="19 Conector recto"/>
        <xdr:cNvCxnSpPr/>
      </xdr:nvCxnSpPr>
      <xdr:spPr>
        <a:xfrm flipV="1">
          <a:off x="6359321" y="4331917"/>
          <a:ext cx="1119425" cy="111057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9</xdr:col>
      <xdr:colOff>458381</xdr:colOff>
      <xdr:row>19</xdr:row>
      <xdr:rowOff>5079</xdr:rowOff>
    </xdr:from>
    <xdr:to>
      <xdr:col>11</xdr:col>
      <xdr:colOff>80510</xdr:colOff>
      <xdr:row>24</xdr:row>
      <xdr:rowOff>168364</xdr:rowOff>
    </xdr:to>
    <xdr:sp macro="" textlink="">
      <xdr:nvSpPr>
        <xdr:cNvPr id="16" name="20 Rectángulo"/>
        <xdr:cNvSpPr/>
      </xdr:nvSpPr>
      <xdr:spPr>
        <a:xfrm>
          <a:off x="7859306" y="4329429"/>
          <a:ext cx="1212804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10</xdr:col>
      <xdr:colOff>280128</xdr:colOff>
      <xdr:row>22</xdr:row>
      <xdr:rowOff>2357</xdr:rowOff>
    </xdr:from>
    <xdr:to>
      <xdr:col>11</xdr:col>
      <xdr:colOff>75471</xdr:colOff>
      <xdr:row>24</xdr:row>
      <xdr:rowOff>165642</xdr:rowOff>
    </xdr:to>
    <xdr:cxnSp macro="">
      <xdr:nvCxnSpPr>
        <xdr:cNvPr id="17" name="21 Conector recto"/>
        <xdr:cNvCxnSpPr/>
      </xdr:nvCxnSpPr>
      <xdr:spPr>
        <a:xfrm>
          <a:off x="8481153" y="4898207"/>
          <a:ext cx="585918" cy="5442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9</xdr:col>
      <xdr:colOff>471989</xdr:colOff>
      <xdr:row>21</xdr:row>
      <xdr:rowOff>179250</xdr:rowOff>
    </xdr:from>
    <xdr:to>
      <xdr:col>10</xdr:col>
      <xdr:colOff>280476</xdr:colOff>
      <xdr:row>24</xdr:row>
      <xdr:rowOff>168364</xdr:rowOff>
    </xdr:to>
    <xdr:cxnSp macro="">
      <xdr:nvCxnSpPr>
        <xdr:cNvPr id="18" name="22 Conector recto"/>
        <xdr:cNvCxnSpPr/>
      </xdr:nvCxnSpPr>
      <xdr:spPr>
        <a:xfrm flipV="1">
          <a:off x="7872914" y="4884600"/>
          <a:ext cx="608587" cy="560614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10</xdr:col>
      <xdr:colOff>265190</xdr:colOff>
      <xdr:row>19</xdr:row>
      <xdr:rowOff>5079</xdr:rowOff>
    </xdr:from>
    <xdr:to>
      <xdr:col>10</xdr:col>
      <xdr:colOff>277813</xdr:colOff>
      <xdr:row>22</xdr:row>
      <xdr:rowOff>7567</xdr:rowOff>
    </xdr:to>
    <xdr:cxnSp macro="">
      <xdr:nvCxnSpPr>
        <xdr:cNvPr id="19" name="23 Conector recto"/>
        <xdr:cNvCxnSpPr/>
      </xdr:nvCxnSpPr>
      <xdr:spPr>
        <a:xfrm>
          <a:off x="8466215" y="4329429"/>
          <a:ext cx="12623" cy="57398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11</xdr:col>
      <xdr:colOff>471760</xdr:colOff>
      <xdr:row>19</xdr:row>
      <xdr:rowOff>7801</xdr:rowOff>
    </xdr:from>
    <xdr:to>
      <xdr:col>13</xdr:col>
      <xdr:colOff>95131</xdr:colOff>
      <xdr:row>24</xdr:row>
      <xdr:rowOff>171086</xdr:rowOff>
    </xdr:to>
    <xdr:sp macro="" textlink="">
      <xdr:nvSpPr>
        <xdr:cNvPr id="20" name="24 Rectángulo"/>
        <xdr:cNvSpPr/>
      </xdr:nvSpPr>
      <xdr:spPr>
        <a:xfrm>
          <a:off x="9463360" y="4332151"/>
          <a:ext cx="880671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11</xdr:col>
      <xdr:colOff>471819</xdr:colOff>
      <xdr:row>18</xdr:row>
      <xdr:rowOff>189961</xdr:rowOff>
    </xdr:from>
    <xdr:to>
      <xdr:col>13</xdr:col>
      <xdr:colOff>89964</xdr:colOff>
      <xdr:row>24</xdr:row>
      <xdr:rowOff>173748</xdr:rowOff>
    </xdr:to>
    <xdr:cxnSp macro="">
      <xdr:nvCxnSpPr>
        <xdr:cNvPr id="21" name="25 Conector recto"/>
        <xdr:cNvCxnSpPr/>
      </xdr:nvCxnSpPr>
      <xdr:spPr>
        <a:xfrm>
          <a:off x="9463419" y="4323811"/>
          <a:ext cx="875445" cy="1126787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11</xdr:col>
      <xdr:colOff>475843</xdr:colOff>
      <xdr:row>21</xdr:row>
      <xdr:rowOff>181972</xdr:rowOff>
    </xdr:from>
    <xdr:to>
      <xdr:col>12</xdr:col>
      <xdr:colOff>283673</xdr:colOff>
      <xdr:row>24</xdr:row>
      <xdr:rowOff>171086</xdr:rowOff>
    </xdr:to>
    <xdr:cxnSp macro="">
      <xdr:nvCxnSpPr>
        <xdr:cNvPr id="22" name="26 Conector recto"/>
        <xdr:cNvCxnSpPr/>
      </xdr:nvCxnSpPr>
      <xdr:spPr>
        <a:xfrm flipV="1">
          <a:off x="9467443" y="4887322"/>
          <a:ext cx="436480" cy="560614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13</xdr:col>
      <xdr:colOff>467980</xdr:colOff>
      <xdr:row>19</xdr:row>
      <xdr:rowOff>10523</xdr:rowOff>
    </xdr:from>
    <xdr:to>
      <xdr:col>15</xdr:col>
      <xdr:colOff>91350</xdr:colOff>
      <xdr:row>24</xdr:row>
      <xdr:rowOff>173808</xdr:rowOff>
    </xdr:to>
    <xdr:sp macro="" textlink="">
      <xdr:nvSpPr>
        <xdr:cNvPr id="23" name="27 Rectángulo"/>
        <xdr:cNvSpPr/>
      </xdr:nvSpPr>
      <xdr:spPr>
        <a:xfrm>
          <a:off x="10716880" y="4334873"/>
          <a:ext cx="880670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13</xdr:col>
      <xdr:colOff>466185</xdr:colOff>
      <xdr:row>19</xdr:row>
      <xdr:rowOff>169695</xdr:rowOff>
    </xdr:from>
    <xdr:to>
      <xdr:col>15</xdr:col>
      <xdr:colOff>90831</xdr:colOff>
      <xdr:row>24</xdr:row>
      <xdr:rowOff>72418</xdr:rowOff>
    </xdr:to>
    <xdr:cxnSp macro="">
      <xdr:nvCxnSpPr>
        <xdr:cNvPr id="24" name="28 Conector recto"/>
        <xdr:cNvCxnSpPr/>
      </xdr:nvCxnSpPr>
      <xdr:spPr>
        <a:xfrm flipV="1">
          <a:off x="10715085" y="4494045"/>
          <a:ext cx="881946" cy="855223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15</xdr:col>
      <xdr:colOff>435429</xdr:colOff>
      <xdr:row>19</xdr:row>
      <xdr:rowOff>2596</xdr:rowOff>
    </xdr:from>
    <xdr:to>
      <xdr:col>17</xdr:col>
      <xdr:colOff>163287</xdr:colOff>
      <xdr:row>24</xdr:row>
      <xdr:rowOff>165881</xdr:rowOff>
    </xdr:to>
    <xdr:sp macro="" textlink="">
      <xdr:nvSpPr>
        <xdr:cNvPr id="25" name="29 Rectángulo"/>
        <xdr:cNvSpPr/>
      </xdr:nvSpPr>
      <xdr:spPr>
        <a:xfrm>
          <a:off x="11941629" y="4326946"/>
          <a:ext cx="1394733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16</xdr:col>
      <xdr:colOff>244771</xdr:colOff>
      <xdr:row>19</xdr:row>
      <xdr:rowOff>5316</xdr:rowOff>
    </xdr:from>
    <xdr:to>
      <xdr:col>16</xdr:col>
      <xdr:colOff>258378</xdr:colOff>
      <xdr:row>24</xdr:row>
      <xdr:rowOff>168601</xdr:rowOff>
    </xdr:to>
    <xdr:cxnSp macro="">
      <xdr:nvCxnSpPr>
        <xdr:cNvPr id="26" name="30 Conector recto"/>
        <xdr:cNvCxnSpPr/>
      </xdr:nvCxnSpPr>
      <xdr:spPr>
        <a:xfrm flipV="1">
          <a:off x="12789196" y="4329666"/>
          <a:ext cx="13607" cy="11157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16</xdr:col>
      <xdr:colOff>350907</xdr:colOff>
      <xdr:row>19</xdr:row>
      <xdr:rowOff>8038</xdr:rowOff>
    </xdr:from>
    <xdr:to>
      <xdr:col>16</xdr:col>
      <xdr:colOff>364514</xdr:colOff>
      <xdr:row>24</xdr:row>
      <xdr:rowOff>171323</xdr:rowOff>
    </xdr:to>
    <xdr:cxnSp macro="">
      <xdr:nvCxnSpPr>
        <xdr:cNvPr id="27" name="31 Conector recto"/>
        <xdr:cNvCxnSpPr/>
      </xdr:nvCxnSpPr>
      <xdr:spPr>
        <a:xfrm flipV="1">
          <a:off x="12895332" y="4332388"/>
          <a:ext cx="13607" cy="11157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28" name="33 Rectángulo"/>
        <xdr:cNvSpPr/>
      </xdr:nvSpPr>
      <xdr:spPr>
        <a:xfrm>
          <a:off x="1994807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29" name="34 Rectángulo"/>
        <xdr:cNvSpPr/>
      </xdr:nvSpPr>
      <xdr:spPr>
        <a:xfrm>
          <a:off x="1994807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30" name="35 Rectángulo"/>
        <xdr:cNvSpPr/>
      </xdr:nvSpPr>
      <xdr:spPr>
        <a:xfrm>
          <a:off x="1994807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31" name="36 Rectángulo"/>
        <xdr:cNvSpPr/>
      </xdr:nvSpPr>
      <xdr:spPr>
        <a:xfrm>
          <a:off x="1994807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2" name="77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3" name="78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" name="79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5" name="80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6" name="5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7" name="6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8" name="7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9" name="8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0" name="9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1" name="10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2" name="11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3" name="12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4" name="1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5" name="2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6" name="3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7" name="4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8" name="1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9" name="2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0" name="3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1" name="4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2" name="13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3" name="14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4" name="15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5" name="16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6" name="5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7" name="6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8" name="7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9" name="8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0" name="9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1" name="10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2" name="11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3" name="12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4" name="1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5" name="2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6" name="3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7" name="4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8" name="1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9" name="2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0" name="3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1" name="4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2" name="89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3" name="90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4" name="9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5" name="9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6" name="5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7" name="6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8" name="7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9" name="8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0" name="9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1" name="10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2" name="1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3" name="1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4" name="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5" name="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6" name="3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7" name="4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8" name="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9" name="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0" name="3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1" name="4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113393</xdr:colOff>
      <xdr:row>33</xdr:row>
      <xdr:rowOff>111883</xdr:rowOff>
    </xdr:from>
    <xdr:to>
      <xdr:col>24</xdr:col>
      <xdr:colOff>562428</xdr:colOff>
      <xdr:row>33</xdr:row>
      <xdr:rowOff>811893</xdr:rowOff>
    </xdr:to>
    <xdr:cxnSp macro="">
      <xdr:nvCxnSpPr>
        <xdr:cNvPr id="92" name="28 Conector recto"/>
        <xdr:cNvCxnSpPr/>
      </xdr:nvCxnSpPr>
      <xdr:spPr>
        <a:xfrm flipV="1">
          <a:off x="19068143" y="887488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117929</xdr:colOff>
      <xdr:row>32</xdr:row>
      <xdr:rowOff>113393</xdr:rowOff>
    </xdr:from>
    <xdr:to>
      <xdr:col>24</xdr:col>
      <xdr:colOff>566965</xdr:colOff>
      <xdr:row>32</xdr:row>
      <xdr:rowOff>802822</xdr:rowOff>
    </xdr:to>
    <xdr:cxnSp macro="">
      <xdr:nvCxnSpPr>
        <xdr:cNvPr id="93" name="25 Conector recto"/>
        <xdr:cNvCxnSpPr/>
      </xdr:nvCxnSpPr>
      <xdr:spPr>
        <a:xfrm>
          <a:off x="19072679" y="7952468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127000</xdr:colOff>
      <xdr:row>32</xdr:row>
      <xdr:rowOff>498230</xdr:rowOff>
    </xdr:from>
    <xdr:to>
      <xdr:col>24</xdr:col>
      <xdr:colOff>361461</xdr:colOff>
      <xdr:row>32</xdr:row>
      <xdr:rowOff>807358</xdr:rowOff>
    </xdr:to>
    <xdr:cxnSp macro="">
      <xdr:nvCxnSpPr>
        <xdr:cNvPr id="94" name="26 Conector recto"/>
        <xdr:cNvCxnSpPr/>
      </xdr:nvCxnSpPr>
      <xdr:spPr>
        <a:xfrm flipV="1">
          <a:off x="19081750" y="8337305"/>
          <a:ext cx="234461" cy="3091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99" name="5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0" name="6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1" name="7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2" name="8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7" name="13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8" name="14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9" name="15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0" name="16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1" name="5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2" name="6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3" name="7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4" name="8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5" name="9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6" name="10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7" name="11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8" name="12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9" name="1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40" name="2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41" name="3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42" name="4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43" name="1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44" name="2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45" name="3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46" name="4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35</xdr:row>
      <xdr:rowOff>130735</xdr:rowOff>
    </xdr:from>
    <xdr:to>
      <xdr:col>24</xdr:col>
      <xdr:colOff>579770</xdr:colOff>
      <xdr:row>35</xdr:row>
      <xdr:rowOff>830745</xdr:rowOff>
    </xdr:to>
    <xdr:cxnSp macro="">
      <xdr:nvCxnSpPr>
        <xdr:cNvPr id="167" name="28 Conector recto"/>
        <xdr:cNvCxnSpPr/>
      </xdr:nvCxnSpPr>
      <xdr:spPr>
        <a:xfrm flipV="1">
          <a:off x="19085485" y="1168456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35</xdr:row>
      <xdr:rowOff>131989</xdr:rowOff>
    </xdr:from>
    <xdr:to>
      <xdr:col>24</xdr:col>
      <xdr:colOff>571954</xdr:colOff>
      <xdr:row>35</xdr:row>
      <xdr:rowOff>821418</xdr:rowOff>
    </xdr:to>
    <xdr:cxnSp macro="">
      <xdr:nvCxnSpPr>
        <xdr:cNvPr id="171" name="25 Conector recto"/>
        <xdr:cNvCxnSpPr/>
      </xdr:nvCxnSpPr>
      <xdr:spPr>
        <a:xfrm>
          <a:off x="19077668" y="116858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107043</xdr:colOff>
      <xdr:row>34</xdr:row>
      <xdr:rowOff>121408</xdr:rowOff>
    </xdr:from>
    <xdr:to>
      <xdr:col>24</xdr:col>
      <xdr:colOff>556078</xdr:colOff>
      <xdr:row>34</xdr:row>
      <xdr:rowOff>821418</xdr:rowOff>
    </xdr:to>
    <xdr:cxnSp macro="">
      <xdr:nvCxnSpPr>
        <xdr:cNvPr id="172" name="28 Conector recto"/>
        <xdr:cNvCxnSpPr/>
      </xdr:nvCxnSpPr>
      <xdr:spPr>
        <a:xfrm flipV="1">
          <a:off x="19061793" y="980833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22" name="5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23" name="6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24" name="7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25" name="8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26" name="13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7" name="14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8" name="15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9" name="16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0" name="5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1" name="6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2" name="7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3" name="8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4" name="9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5" name="10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6" name="11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7" name="12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8" name="1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9" name="2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60" name="3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61" name="4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62" name="1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63" name="2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64" name="3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65" name="4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36</xdr:row>
      <xdr:rowOff>130735</xdr:rowOff>
    </xdr:from>
    <xdr:to>
      <xdr:col>24</xdr:col>
      <xdr:colOff>579770</xdr:colOff>
      <xdr:row>36</xdr:row>
      <xdr:rowOff>830745</xdr:rowOff>
    </xdr:to>
    <xdr:cxnSp macro="">
      <xdr:nvCxnSpPr>
        <xdr:cNvPr id="166" name="28 Conector recto"/>
        <xdr:cNvCxnSpPr/>
      </xdr:nvCxnSpPr>
      <xdr:spPr>
        <a:xfrm flipV="1">
          <a:off x="19099092" y="10730699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36</xdr:row>
      <xdr:rowOff>131989</xdr:rowOff>
    </xdr:from>
    <xdr:to>
      <xdr:col>24</xdr:col>
      <xdr:colOff>571954</xdr:colOff>
      <xdr:row>36</xdr:row>
      <xdr:rowOff>821418</xdr:rowOff>
    </xdr:to>
    <xdr:cxnSp macro="">
      <xdr:nvCxnSpPr>
        <xdr:cNvPr id="168" name="25 Conector recto"/>
        <xdr:cNvCxnSpPr/>
      </xdr:nvCxnSpPr>
      <xdr:spPr>
        <a:xfrm>
          <a:off x="19091275" y="10731953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69" name="5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70" name="6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73" name="7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74" name="8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75" name="13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76" name="14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77" name="15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78" name="16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79" name="5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0" name="6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1" name="7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2" name="8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3" name="9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4" name="10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5" name="11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6" name="12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7" name="1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8" name="2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9" name="3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0" name="4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1" name="1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2" name="2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3" name="3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4" name="4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37</xdr:row>
      <xdr:rowOff>130735</xdr:rowOff>
    </xdr:from>
    <xdr:to>
      <xdr:col>24</xdr:col>
      <xdr:colOff>579770</xdr:colOff>
      <xdr:row>37</xdr:row>
      <xdr:rowOff>830745</xdr:rowOff>
    </xdr:to>
    <xdr:cxnSp macro="">
      <xdr:nvCxnSpPr>
        <xdr:cNvPr id="195" name="28 Conector recto"/>
        <xdr:cNvCxnSpPr/>
      </xdr:nvCxnSpPr>
      <xdr:spPr>
        <a:xfrm flipV="1">
          <a:off x="19099092" y="10730699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37</xdr:row>
      <xdr:rowOff>131989</xdr:rowOff>
    </xdr:from>
    <xdr:to>
      <xdr:col>24</xdr:col>
      <xdr:colOff>571954</xdr:colOff>
      <xdr:row>37</xdr:row>
      <xdr:rowOff>821418</xdr:rowOff>
    </xdr:to>
    <xdr:cxnSp macro="">
      <xdr:nvCxnSpPr>
        <xdr:cNvPr id="196" name="25 Conector recto"/>
        <xdr:cNvCxnSpPr/>
      </xdr:nvCxnSpPr>
      <xdr:spPr>
        <a:xfrm>
          <a:off x="19091275" y="10731953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97" name="5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98" name="6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99" name="7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0" name="8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1" name="13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2" name="14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3" name="15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4" name="16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5" name="5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6" name="6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7" name="7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8" name="8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9" name="9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0" name="10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1" name="11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2" name="12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3" name="1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4" name="2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5" name="3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6" name="4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7" name="1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8" name="2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9" name="3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20" name="4 Rectángulo"/>
        <xdr:cNvSpPr/>
      </xdr:nvSpPr>
      <xdr:spPr>
        <a:xfrm>
          <a:off x="19085378" y="10708821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38</xdr:row>
      <xdr:rowOff>130735</xdr:rowOff>
    </xdr:from>
    <xdr:to>
      <xdr:col>24</xdr:col>
      <xdr:colOff>579770</xdr:colOff>
      <xdr:row>38</xdr:row>
      <xdr:rowOff>830745</xdr:rowOff>
    </xdr:to>
    <xdr:cxnSp macro="">
      <xdr:nvCxnSpPr>
        <xdr:cNvPr id="221" name="28 Conector recto"/>
        <xdr:cNvCxnSpPr/>
      </xdr:nvCxnSpPr>
      <xdr:spPr>
        <a:xfrm flipV="1">
          <a:off x="19099092" y="10730699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38</xdr:row>
      <xdr:rowOff>131989</xdr:rowOff>
    </xdr:from>
    <xdr:to>
      <xdr:col>24</xdr:col>
      <xdr:colOff>571954</xdr:colOff>
      <xdr:row>38</xdr:row>
      <xdr:rowOff>821418</xdr:rowOff>
    </xdr:to>
    <xdr:cxnSp macro="">
      <xdr:nvCxnSpPr>
        <xdr:cNvPr id="222" name="25 Conector recto"/>
        <xdr:cNvCxnSpPr/>
      </xdr:nvCxnSpPr>
      <xdr:spPr>
        <a:xfrm>
          <a:off x="19091275" y="10731953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23" name="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24" name="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25" name="7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26" name="8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27" name="1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28" name="1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29" name="1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0" name="1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1" name="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2" name="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3" name="7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4" name="8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5" name="9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6" name="10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7" name="1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8" name="1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9" name="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0" name="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1" name="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2" name="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3" name="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4" name="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5" name="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6" name="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39</xdr:row>
      <xdr:rowOff>130735</xdr:rowOff>
    </xdr:from>
    <xdr:to>
      <xdr:col>24</xdr:col>
      <xdr:colOff>579770</xdr:colOff>
      <xdr:row>39</xdr:row>
      <xdr:rowOff>830745</xdr:rowOff>
    </xdr:to>
    <xdr:cxnSp macro="">
      <xdr:nvCxnSpPr>
        <xdr:cNvPr id="247" name="28 Conector recto"/>
        <xdr:cNvCxnSpPr/>
      </xdr:nvCxnSpPr>
      <xdr:spPr>
        <a:xfrm flipV="1">
          <a:off x="19099092" y="13601806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39</xdr:row>
      <xdr:rowOff>131989</xdr:rowOff>
    </xdr:from>
    <xdr:to>
      <xdr:col>24</xdr:col>
      <xdr:colOff>571954</xdr:colOff>
      <xdr:row>39</xdr:row>
      <xdr:rowOff>821418</xdr:rowOff>
    </xdr:to>
    <xdr:cxnSp macro="">
      <xdr:nvCxnSpPr>
        <xdr:cNvPr id="248" name="25 Conector recto"/>
        <xdr:cNvCxnSpPr/>
      </xdr:nvCxnSpPr>
      <xdr:spPr>
        <a:xfrm>
          <a:off x="19091275" y="13603060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49" name="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50" name="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51" name="7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52" name="8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53" name="1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54" name="1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55" name="1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56" name="1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57" name="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58" name="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59" name="7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60" name="8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61" name="9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62" name="10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63" name="1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64" name="1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65" name="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66" name="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67" name="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68" name="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69" name="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70" name="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71" name="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72" name="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40</xdr:row>
      <xdr:rowOff>130735</xdr:rowOff>
    </xdr:from>
    <xdr:to>
      <xdr:col>24</xdr:col>
      <xdr:colOff>579770</xdr:colOff>
      <xdr:row>40</xdr:row>
      <xdr:rowOff>830745</xdr:rowOff>
    </xdr:to>
    <xdr:cxnSp macro="">
      <xdr:nvCxnSpPr>
        <xdr:cNvPr id="273" name="28 Conector recto"/>
        <xdr:cNvCxnSpPr/>
      </xdr:nvCxnSpPr>
      <xdr:spPr>
        <a:xfrm flipV="1">
          <a:off x="19099092" y="13601806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40</xdr:row>
      <xdr:rowOff>131989</xdr:rowOff>
    </xdr:from>
    <xdr:to>
      <xdr:col>24</xdr:col>
      <xdr:colOff>571954</xdr:colOff>
      <xdr:row>40</xdr:row>
      <xdr:rowOff>821418</xdr:rowOff>
    </xdr:to>
    <xdr:cxnSp macro="">
      <xdr:nvCxnSpPr>
        <xdr:cNvPr id="274" name="25 Conector recto"/>
        <xdr:cNvCxnSpPr/>
      </xdr:nvCxnSpPr>
      <xdr:spPr>
        <a:xfrm>
          <a:off x="19091275" y="13603060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75" name="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76" name="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77" name="7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78" name="8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79" name="1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80" name="1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81" name="1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82" name="1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83" name="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84" name="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85" name="7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86" name="8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87" name="9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88" name="10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89" name="1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90" name="1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91" name="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92" name="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93" name="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94" name="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95" name="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96" name="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97" name="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298" name="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41</xdr:row>
      <xdr:rowOff>130735</xdr:rowOff>
    </xdr:from>
    <xdr:to>
      <xdr:col>24</xdr:col>
      <xdr:colOff>579770</xdr:colOff>
      <xdr:row>41</xdr:row>
      <xdr:rowOff>830745</xdr:rowOff>
    </xdr:to>
    <xdr:cxnSp macro="">
      <xdr:nvCxnSpPr>
        <xdr:cNvPr id="299" name="28 Conector recto"/>
        <xdr:cNvCxnSpPr/>
      </xdr:nvCxnSpPr>
      <xdr:spPr>
        <a:xfrm flipV="1">
          <a:off x="19099092" y="13601806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41</xdr:row>
      <xdr:rowOff>131989</xdr:rowOff>
    </xdr:from>
    <xdr:to>
      <xdr:col>24</xdr:col>
      <xdr:colOff>571954</xdr:colOff>
      <xdr:row>41</xdr:row>
      <xdr:rowOff>821418</xdr:rowOff>
    </xdr:to>
    <xdr:cxnSp macro="">
      <xdr:nvCxnSpPr>
        <xdr:cNvPr id="300" name="25 Conector recto"/>
        <xdr:cNvCxnSpPr/>
      </xdr:nvCxnSpPr>
      <xdr:spPr>
        <a:xfrm>
          <a:off x="19091275" y="13603060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01" name="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02" name="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03" name="7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04" name="8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05" name="1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06" name="1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07" name="1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08" name="1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09" name="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10" name="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11" name="7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12" name="8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13" name="9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14" name="10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15" name="1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16" name="1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17" name="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18" name="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19" name="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20" name="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21" name="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22" name="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23" name="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24" name="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42</xdr:row>
      <xdr:rowOff>130735</xdr:rowOff>
    </xdr:from>
    <xdr:to>
      <xdr:col>24</xdr:col>
      <xdr:colOff>579770</xdr:colOff>
      <xdr:row>42</xdr:row>
      <xdr:rowOff>830745</xdr:rowOff>
    </xdr:to>
    <xdr:cxnSp macro="">
      <xdr:nvCxnSpPr>
        <xdr:cNvPr id="325" name="28 Conector recto"/>
        <xdr:cNvCxnSpPr/>
      </xdr:nvCxnSpPr>
      <xdr:spPr>
        <a:xfrm flipV="1">
          <a:off x="19099092" y="13601806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42</xdr:row>
      <xdr:rowOff>131989</xdr:rowOff>
    </xdr:from>
    <xdr:to>
      <xdr:col>24</xdr:col>
      <xdr:colOff>571954</xdr:colOff>
      <xdr:row>42</xdr:row>
      <xdr:rowOff>821418</xdr:rowOff>
    </xdr:to>
    <xdr:cxnSp macro="">
      <xdr:nvCxnSpPr>
        <xdr:cNvPr id="326" name="25 Conector recto"/>
        <xdr:cNvCxnSpPr/>
      </xdr:nvCxnSpPr>
      <xdr:spPr>
        <a:xfrm>
          <a:off x="19091275" y="13603060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27" name="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28" name="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29" name="7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30" name="8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31" name="1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32" name="1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33" name="1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34" name="1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35" name="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36" name="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37" name="7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38" name="8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39" name="9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40" name="10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41" name="1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42" name="1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43" name="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44" name="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45" name="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46" name="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47" name="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48" name="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49" name="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350" name="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43</xdr:row>
      <xdr:rowOff>130735</xdr:rowOff>
    </xdr:from>
    <xdr:to>
      <xdr:col>24</xdr:col>
      <xdr:colOff>579770</xdr:colOff>
      <xdr:row>43</xdr:row>
      <xdr:rowOff>830745</xdr:rowOff>
    </xdr:to>
    <xdr:cxnSp macro="">
      <xdr:nvCxnSpPr>
        <xdr:cNvPr id="351" name="28 Conector recto"/>
        <xdr:cNvCxnSpPr/>
      </xdr:nvCxnSpPr>
      <xdr:spPr>
        <a:xfrm flipV="1">
          <a:off x="19099092" y="13601806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43</xdr:row>
      <xdr:rowOff>131989</xdr:rowOff>
    </xdr:from>
    <xdr:to>
      <xdr:col>24</xdr:col>
      <xdr:colOff>571954</xdr:colOff>
      <xdr:row>43</xdr:row>
      <xdr:rowOff>821418</xdr:rowOff>
    </xdr:to>
    <xdr:cxnSp macro="">
      <xdr:nvCxnSpPr>
        <xdr:cNvPr id="352" name="25 Conector recto"/>
        <xdr:cNvCxnSpPr/>
      </xdr:nvCxnSpPr>
      <xdr:spPr>
        <a:xfrm>
          <a:off x="19091275" y="13603060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53" name="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54" name="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55" name="7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56" name="8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57" name="1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58" name="1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59" name="1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60" name="1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61" name="5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62" name="6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63" name="7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64" name="8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65" name="9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66" name="10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67" name="1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68" name="1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69" name="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70" name="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71" name="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72" name="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73" name="1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74" name="2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75" name="3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376" name="4 Rectángulo"/>
        <xdr:cNvSpPr/>
      </xdr:nvSpPr>
      <xdr:spPr>
        <a:xfrm>
          <a:off x="19085378" y="13579928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44</xdr:row>
      <xdr:rowOff>130735</xdr:rowOff>
    </xdr:from>
    <xdr:to>
      <xdr:col>24</xdr:col>
      <xdr:colOff>579770</xdr:colOff>
      <xdr:row>44</xdr:row>
      <xdr:rowOff>830745</xdr:rowOff>
    </xdr:to>
    <xdr:cxnSp macro="">
      <xdr:nvCxnSpPr>
        <xdr:cNvPr id="377" name="28 Conector recto"/>
        <xdr:cNvCxnSpPr/>
      </xdr:nvCxnSpPr>
      <xdr:spPr>
        <a:xfrm flipV="1">
          <a:off x="19099092" y="13601806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44</xdr:row>
      <xdr:rowOff>131989</xdr:rowOff>
    </xdr:from>
    <xdr:to>
      <xdr:col>24</xdr:col>
      <xdr:colOff>571954</xdr:colOff>
      <xdr:row>44</xdr:row>
      <xdr:rowOff>821418</xdr:rowOff>
    </xdr:to>
    <xdr:cxnSp macro="">
      <xdr:nvCxnSpPr>
        <xdr:cNvPr id="378" name="25 Conector recto"/>
        <xdr:cNvCxnSpPr/>
      </xdr:nvCxnSpPr>
      <xdr:spPr>
        <a:xfrm>
          <a:off x="19091275" y="13603060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 editAs="oneCell">
    <xdr:from>
      <xdr:col>17</xdr:col>
      <xdr:colOff>0</xdr:colOff>
      <xdr:row>53</xdr:row>
      <xdr:rowOff>0</xdr:rowOff>
    </xdr:from>
    <xdr:to>
      <xdr:col>19</xdr:col>
      <xdr:colOff>849376</xdr:colOff>
      <xdr:row>60</xdr:row>
      <xdr:rowOff>156979</xdr:rowOff>
    </xdr:to>
    <xdr:pic>
      <xdr:nvPicPr>
        <xdr:cNvPr id="95" name="Imagen 9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173415" y="19806897"/>
          <a:ext cx="3114286" cy="1466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690562</xdr:colOff>
      <xdr:row>9</xdr:row>
      <xdr:rowOff>59532</xdr:rowOff>
    </xdr:from>
    <xdr:to>
      <xdr:col>11</xdr:col>
      <xdr:colOff>500061</xdr:colOff>
      <xdr:row>27</xdr:row>
      <xdr:rowOff>91679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2" name="1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" name="2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" name="3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" name="4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" name="5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" name="6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8" name="7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9" name="8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0" name="10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1" name="1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2" name="1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7</xdr:col>
      <xdr:colOff>451514</xdr:colOff>
      <xdr:row>19</xdr:row>
      <xdr:rowOff>2357</xdr:rowOff>
    </xdr:from>
    <xdr:to>
      <xdr:col>9</xdr:col>
      <xdr:colOff>72988</xdr:colOff>
      <xdr:row>24</xdr:row>
      <xdr:rowOff>165642</xdr:rowOff>
    </xdr:to>
    <xdr:sp macro="" textlink="">
      <xdr:nvSpPr>
        <xdr:cNvPr id="13" name="17 Rectángulo"/>
        <xdr:cNvSpPr/>
      </xdr:nvSpPr>
      <xdr:spPr>
        <a:xfrm>
          <a:off x="6347489" y="4326707"/>
          <a:ext cx="1126424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7</xdr:col>
      <xdr:colOff>453831</xdr:colOff>
      <xdr:row>19</xdr:row>
      <xdr:rowOff>7567</xdr:rowOff>
    </xdr:from>
    <xdr:to>
      <xdr:col>9</xdr:col>
      <xdr:colOff>69813</xdr:colOff>
      <xdr:row>24</xdr:row>
      <xdr:rowOff>169695</xdr:rowOff>
    </xdr:to>
    <xdr:cxnSp macro="">
      <xdr:nvCxnSpPr>
        <xdr:cNvPr id="14" name="18 Conector recto"/>
        <xdr:cNvCxnSpPr/>
      </xdr:nvCxnSpPr>
      <xdr:spPr>
        <a:xfrm>
          <a:off x="6349806" y="4331917"/>
          <a:ext cx="1120932" cy="11146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7</xdr:col>
      <xdr:colOff>463346</xdr:colOff>
      <xdr:row>19</xdr:row>
      <xdr:rowOff>7567</xdr:rowOff>
    </xdr:from>
    <xdr:to>
      <xdr:col>9</xdr:col>
      <xdr:colOff>77821</xdr:colOff>
      <xdr:row>24</xdr:row>
      <xdr:rowOff>165642</xdr:rowOff>
    </xdr:to>
    <xdr:cxnSp macro="">
      <xdr:nvCxnSpPr>
        <xdr:cNvPr id="15" name="19 Conector recto"/>
        <xdr:cNvCxnSpPr/>
      </xdr:nvCxnSpPr>
      <xdr:spPr>
        <a:xfrm flipV="1">
          <a:off x="6359321" y="4331917"/>
          <a:ext cx="1119425" cy="111057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9</xdr:col>
      <xdr:colOff>458381</xdr:colOff>
      <xdr:row>19</xdr:row>
      <xdr:rowOff>5079</xdr:rowOff>
    </xdr:from>
    <xdr:to>
      <xdr:col>11</xdr:col>
      <xdr:colOff>80510</xdr:colOff>
      <xdr:row>24</xdr:row>
      <xdr:rowOff>168364</xdr:rowOff>
    </xdr:to>
    <xdr:sp macro="" textlink="">
      <xdr:nvSpPr>
        <xdr:cNvPr id="16" name="20 Rectángulo"/>
        <xdr:cNvSpPr/>
      </xdr:nvSpPr>
      <xdr:spPr>
        <a:xfrm>
          <a:off x="7859306" y="4329429"/>
          <a:ext cx="1212804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10</xdr:col>
      <xdr:colOff>280128</xdr:colOff>
      <xdr:row>22</xdr:row>
      <xdr:rowOff>2357</xdr:rowOff>
    </xdr:from>
    <xdr:to>
      <xdr:col>11</xdr:col>
      <xdr:colOff>75471</xdr:colOff>
      <xdr:row>24</xdr:row>
      <xdr:rowOff>165642</xdr:rowOff>
    </xdr:to>
    <xdr:cxnSp macro="">
      <xdr:nvCxnSpPr>
        <xdr:cNvPr id="17" name="21 Conector recto"/>
        <xdr:cNvCxnSpPr/>
      </xdr:nvCxnSpPr>
      <xdr:spPr>
        <a:xfrm>
          <a:off x="8481153" y="4898207"/>
          <a:ext cx="585918" cy="5442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9</xdr:col>
      <xdr:colOff>471989</xdr:colOff>
      <xdr:row>21</xdr:row>
      <xdr:rowOff>179250</xdr:rowOff>
    </xdr:from>
    <xdr:to>
      <xdr:col>10</xdr:col>
      <xdr:colOff>280476</xdr:colOff>
      <xdr:row>24</xdr:row>
      <xdr:rowOff>168364</xdr:rowOff>
    </xdr:to>
    <xdr:cxnSp macro="">
      <xdr:nvCxnSpPr>
        <xdr:cNvPr id="18" name="22 Conector recto"/>
        <xdr:cNvCxnSpPr/>
      </xdr:nvCxnSpPr>
      <xdr:spPr>
        <a:xfrm flipV="1">
          <a:off x="7872914" y="4884600"/>
          <a:ext cx="608587" cy="560614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10</xdr:col>
      <xdr:colOff>265190</xdr:colOff>
      <xdr:row>19</xdr:row>
      <xdr:rowOff>5079</xdr:rowOff>
    </xdr:from>
    <xdr:to>
      <xdr:col>10</xdr:col>
      <xdr:colOff>277813</xdr:colOff>
      <xdr:row>22</xdr:row>
      <xdr:rowOff>7567</xdr:rowOff>
    </xdr:to>
    <xdr:cxnSp macro="">
      <xdr:nvCxnSpPr>
        <xdr:cNvPr id="19" name="23 Conector recto"/>
        <xdr:cNvCxnSpPr/>
      </xdr:nvCxnSpPr>
      <xdr:spPr>
        <a:xfrm>
          <a:off x="8466215" y="4329429"/>
          <a:ext cx="12623" cy="57398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11</xdr:col>
      <xdr:colOff>471760</xdr:colOff>
      <xdr:row>19</xdr:row>
      <xdr:rowOff>7801</xdr:rowOff>
    </xdr:from>
    <xdr:to>
      <xdr:col>13</xdr:col>
      <xdr:colOff>95131</xdr:colOff>
      <xdr:row>24</xdr:row>
      <xdr:rowOff>171086</xdr:rowOff>
    </xdr:to>
    <xdr:sp macro="" textlink="">
      <xdr:nvSpPr>
        <xdr:cNvPr id="20" name="24 Rectángulo"/>
        <xdr:cNvSpPr/>
      </xdr:nvSpPr>
      <xdr:spPr>
        <a:xfrm>
          <a:off x="9463360" y="4332151"/>
          <a:ext cx="880671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11</xdr:col>
      <xdr:colOff>471819</xdr:colOff>
      <xdr:row>18</xdr:row>
      <xdr:rowOff>189961</xdr:rowOff>
    </xdr:from>
    <xdr:to>
      <xdr:col>13</xdr:col>
      <xdr:colOff>89964</xdr:colOff>
      <xdr:row>24</xdr:row>
      <xdr:rowOff>173748</xdr:rowOff>
    </xdr:to>
    <xdr:cxnSp macro="">
      <xdr:nvCxnSpPr>
        <xdr:cNvPr id="21" name="25 Conector recto"/>
        <xdr:cNvCxnSpPr/>
      </xdr:nvCxnSpPr>
      <xdr:spPr>
        <a:xfrm>
          <a:off x="9463419" y="4323811"/>
          <a:ext cx="875445" cy="1126787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11</xdr:col>
      <xdr:colOff>475843</xdr:colOff>
      <xdr:row>21</xdr:row>
      <xdr:rowOff>181972</xdr:rowOff>
    </xdr:from>
    <xdr:to>
      <xdr:col>12</xdr:col>
      <xdr:colOff>283673</xdr:colOff>
      <xdr:row>24</xdr:row>
      <xdr:rowOff>171086</xdr:rowOff>
    </xdr:to>
    <xdr:cxnSp macro="">
      <xdr:nvCxnSpPr>
        <xdr:cNvPr id="22" name="26 Conector recto"/>
        <xdr:cNvCxnSpPr/>
      </xdr:nvCxnSpPr>
      <xdr:spPr>
        <a:xfrm flipV="1">
          <a:off x="9467443" y="4887322"/>
          <a:ext cx="436480" cy="560614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13</xdr:col>
      <xdr:colOff>467980</xdr:colOff>
      <xdr:row>19</xdr:row>
      <xdr:rowOff>10523</xdr:rowOff>
    </xdr:from>
    <xdr:to>
      <xdr:col>15</xdr:col>
      <xdr:colOff>91350</xdr:colOff>
      <xdr:row>24</xdr:row>
      <xdr:rowOff>173808</xdr:rowOff>
    </xdr:to>
    <xdr:sp macro="" textlink="">
      <xdr:nvSpPr>
        <xdr:cNvPr id="23" name="27 Rectángulo"/>
        <xdr:cNvSpPr/>
      </xdr:nvSpPr>
      <xdr:spPr>
        <a:xfrm>
          <a:off x="10716880" y="4334873"/>
          <a:ext cx="880670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13</xdr:col>
      <xdr:colOff>466185</xdr:colOff>
      <xdr:row>19</xdr:row>
      <xdr:rowOff>169695</xdr:rowOff>
    </xdr:from>
    <xdr:to>
      <xdr:col>15</xdr:col>
      <xdr:colOff>90831</xdr:colOff>
      <xdr:row>24</xdr:row>
      <xdr:rowOff>72418</xdr:rowOff>
    </xdr:to>
    <xdr:cxnSp macro="">
      <xdr:nvCxnSpPr>
        <xdr:cNvPr id="24" name="28 Conector recto"/>
        <xdr:cNvCxnSpPr/>
      </xdr:nvCxnSpPr>
      <xdr:spPr>
        <a:xfrm flipV="1">
          <a:off x="10715085" y="4494045"/>
          <a:ext cx="881946" cy="855223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15</xdr:col>
      <xdr:colOff>435429</xdr:colOff>
      <xdr:row>19</xdr:row>
      <xdr:rowOff>2596</xdr:rowOff>
    </xdr:from>
    <xdr:to>
      <xdr:col>17</xdr:col>
      <xdr:colOff>163287</xdr:colOff>
      <xdr:row>24</xdr:row>
      <xdr:rowOff>165881</xdr:rowOff>
    </xdr:to>
    <xdr:sp macro="" textlink="">
      <xdr:nvSpPr>
        <xdr:cNvPr id="25" name="29 Rectángulo"/>
        <xdr:cNvSpPr/>
      </xdr:nvSpPr>
      <xdr:spPr>
        <a:xfrm>
          <a:off x="11941629" y="4326946"/>
          <a:ext cx="1394733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16</xdr:col>
      <xdr:colOff>244771</xdr:colOff>
      <xdr:row>19</xdr:row>
      <xdr:rowOff>5316</xdr:rowOff>
    </xdr:from>
    <xdr:to>
      <xdr:col>16</xdr:col>
      <xdr:colOff>258378</xdr:colOff>
      <xdr:row>24</xdr:row>
      <xdr:rowOff>168601</xdr:rowOff>
    </xdr:to>
    <xdr:cxnSp macro="">
      <xdr:nvCxnSpPr>
        <xdr:cNvPr id="26" name="30 Conector recto"/>
        <xdr:cNvCxnSpPr/>
      </xdr:nvCxnSpPr>
      <xdr:spPr>
        <a:xfrm flipV="1">
          <a:off x="12789196" y="4329666"/>
          <a:ext cx="13607" cy="11157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16</xdr:col>
      <xdr:colOff>350907</xdr:colOff>
      <xdr:row>19</xdr:row>
      <xdr:rowOff>8038</xdr:rowOff>
    </xdr:from>
    <xdr:to>
      <xdr:col>16</xdr:col>
      <xdr:colOff>364514</xdr:colOff>
      <xdr:row>24</xdr:row>
      <xdr:rowOff>171323</xdr:rowOff>
    </xdr:to>
    <xdr:cxnSp macro="">
      <xdr:nvCxnSpPr>
        <xdr:cNvPr id="27" name="31 Conector recto"/>
        <xdr:cNvCxnSpPr/>
      </xdr:nvCxnSpPr>
      <xdr:spPr>
        <a:xfrm flipV="1">
          <a:off x="12895332" y="4332388"/>
          <a:ext cx="13607" cy="11157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28" name="33 Rectángulo"/>
        <xdr:cNvSpPr/>
      </xdr:nvSpPr>
      <xdr:spPr>
        <a:xfrm>
          <a:off x="1994807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29" name="34 Rectángulo"/>
        <xdr:cNvSpPr/>
      </xdr:nvSpPr>
      <xdr:spPr>
        <a:xfrm>
          <a:off x="1994807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30" name="35 Rectángulo"/>
        <xdr:cNvSpPr/>
      </xdr:nvSpPr>
      <xdr:spPr>
        <a:xfrm>
          <a:off x="1994807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31" name="36 Rectángulo"/>
        <xdr:cNvSpPr/>
      </xdr:nvSpPr>
      <xdr:spPr>
        <a:xfrm>
          <a:off x="1994807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2" name="77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3" name="78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" name="79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5" name="80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6" name="5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7" name="6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8" name="7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9" name="8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0" name="9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1" name="10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2" name="11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3" name="12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4" name="1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5" name="2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6" name="3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7" name="4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8" name="1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9" name="2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0" name="3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1" name="4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2" name="13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3" name="14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4" name="15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5" name="16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6" name="5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7" name="6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8" name="7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9" name="8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0" name="9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1" name="10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2" name="11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3" name="12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4" name="1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5" name="2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6" name="3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7" name="4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8" name="1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9" name="2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0" name="3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1" name="4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2" name="89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3" name="90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4" name="9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5" name="9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6" name="5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7" name="6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8" name="7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9" name="8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0" name="9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1" name="10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2" name="1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3" name="1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4" name="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5" name="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6" name="3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7" name="4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8" name="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9" name="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0" name="3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1" name="4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113393</xdr:colOff>
      <xdr:row>33</xdr:row>
      <xdr:rowOff>111883</xdr:rowOff>
    </xdr:from>
    <xdr:to>
      <xdr:col>24</xdr:col>
      <xdr:colOff>562428</xdr:colOff>
      <xdr:row>33</xdr:row>
      <xdr:rowOff>811893</xdr:rowOff>
    </xdr:to>
    <xdr:cxnSp macro="">
      <xdr:nvCxnSpPr>
        <xdr:cNvPr id="92" name="28 Conector recto"/>
        <xdr:cNvCxnSpPr/>
      </xdr:nvCxnSpPr>
      <xdr:spPr>
        <a:xfrm flipV="1">
          <a:off x="19068143" y="887488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117929</xdr:colOff>
      <xdr:row>32</xdr:row>
      <xdr:rowOff>113393</xdr:rowOff>
    </xdr:from>
    <xdr:to>
      <xdr:col>24</xdr:col>
      <xdr:colOff>566965</xdr:colOff>
      <xdr:row>32</xdr:row>
      <xdr:rowOff>802822</xdr:rowOff>
    </xdr:to>
    <xdr:cxnSp macro="">
      <xdr:nvCxnSpPr>
        <xdr:cNvPr id="93" name="25 Conector recto"/>
        <xdr:cNvCxnSpPr/>
      </xdr:nvCxnSpPr>
      <xdr:spPr>
        <a:xfrm>
          <a:off x="19072679" y="7952468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127000</xdr:colOff>
      <xdr:row>32</xdr:row>
      <xdr:rowOff>498230</xdr:rowOff>
    </xdr:from>
    <xdr:to>
      <xdr:col>24</xdr:col>
      <xdr:colOff>361461</xdr:colOff>
      <xdr:row>32</xdr:row>
      <xdr:rowOff>807358</xdr:rowOff>
    </xdr:to>
    <xdr:cxnSp macro="">
      <xdr:nvCxnSpPr>
        <xdr:cNvPr id="94" name="26 Conector recto"/>
        <xdr:cNvCxnSpPr/>
      </xdr:nvCxnSpPr>
      <xdr:spPr>
        <a:xfrm flipV="1">
          <a:off x="19081750" y="8337305"/>
          <a:ext cx="234461" cy="3091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95" name="1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96" name="2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97" name="3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98" name="4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99" name="5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00" name="6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01" name="7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02" name="8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03" name="9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04" name="10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05" name="11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06" name="12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7" name="77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8" name="78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9" name="79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0" name="80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1" name="5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2" name="6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3" name="7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4" name="8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5" name="9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6" name="10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7" name="11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8" name="12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9" name="1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0" name="2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1" name="3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2" name="4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3" name="1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4" name="2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5" name="3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6" name="4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27" name="13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28" name="14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29" name="15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0" name="16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1" name="5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2" name="6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3" name="7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4" name="8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5" name="9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6" name="10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7" name="11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8" name="12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9" name="1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0" name="2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1" name="3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2" name="4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3" name="1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4" name="2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5" name="3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6" name="4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47" name="89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48" name="90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49" name="91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0" name="92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1" name="5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2" name="6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3" name="7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4" name="8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5" name="9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6" name="10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7" name="11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8" name="12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9" name="1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0" name="2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1" name="3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2" name="4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3" name="1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4" name="2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5" name="3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6" name="4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36</xdr:row>
      <xdr:rowOff>130735</xdr:rowOff>
    </xdr:from>
    <xdr:to>
      <xdr:col>24</xdr:col>
      <xdr:colOff>579770</xdr:colOff>
      <xdr:row>36</xdr:row>
      <xdr:rowOff>830745</xdr:rowOff>
    </xdr:to>
    <xdr:cxnSp macro="">
      <xdr:nvCxnSpPr>
        <xdr:cNvPr id="167" name="28 Conector recto"/>
        <xdr:cNvCxnSpPr/>
      </xdr:nvCxnSpPr>
      <xdr:spPr>
        <a:xfrm flipV="1">
          <a:off x="19085485" y="1168456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121690</xdr:colOff>
      <xdr:row>39</xdr:row>
      <xdr:rowOff>120530</xdr:rowOff>
    </xdr:from>
    <xdr:to>
      <xdr:col>24</xdr:col>
      <xdr:colOff>570725</xdr:colOff>
      <xdr:row>39</xdr:row>
      <xdr:rowOff>820540</xdr:rowOff>
    </xdr:to>
    <xdr:cxnSp macro="">
      <xdr:nvCxnSpPr>
        <xdr:cNvPr id="168" name="28 Conector recto"/>
        <xdr:cNvCxnSpPr/>
      </xdr:nvCxnSpPr>
      <xdr:spPr>
        <a:xfrm flipV="1">
          <a:off x="19076440" y="1454138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128701</xdr:rowOff>
    </xdr:from>
    <xdr:to>
      <xdr:col>24</xdr:col>
      <xdr:colOff>566056</xdr:colOff>
      <xdr:row>35</xdr:row>
      <xdr:rowOff>828711</xdr:rowOff>
    </xdr:to>
    <xdr:cxnSp macro="">
      <xdr:nvCxnSpPr>
        <xdr:cNvPr id="169" name="28 Conector recto"/>
        <xdr:cNvCxnSpPr/>
      </xdr:nvCxnSpPr>
      <xdr:spPr>
        <a:xfrm flipV="1">
          <a:off x="19071771" y="1073955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113393</xdr:colOff>
      <xdr:row>35</xdr:row>
      <xdr:rowOff>122464</xdr:rowOff>
    </xdr:from>
    <xdr:to>
      <xdr:col>24</xdr:col>
      <xdr:colOff>562429</xdr:colOff>
      <xdr:row>35</xdr:row>
      <xdr:rowOff>811893</xdr:rowOff>
    </xdr:to>
    <xdr:cxnSp macro="">
      <xdr:nvCxnSpPr>
        <xdr:cNvPr id="170" name="25 Conector recto"/>
        <xdr:cNvCxnSpPr/>
      </xdr:nvCxnSpPr>
      <xdr:spPr>
        <a:xfrm>
          <a:off x="19068143" y="107333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36</xdr:row>
      <xdr:rowOff>131989</xdr:rowOff>
    </xdr:from>
    <xdr:to>
      <xdr:col>24</xdr:col>
      <xdr:colOff>571954</xdr:colOff>
      <xdr:row>36</xdr:row>
      <xdr:rowOff>821418</xdr:rowOff>
    </xdr:to>
    <xdr:cxnSp macro="">
      <xdr:nvCxnSpPr>
        <xdr:cNvPr id="171" name="25 Conector recto"/>
        <xdr:cNvCxnSpPr/>
      </xdr:nvCxnSpPr>
      <xdr:spPr>
        <a:xfrm>
          <a:off x="19077668" y="116858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107043</xdr:colOff>
      <xdr:row>34</xdr:row>
      <xdr:rowOff>121408</xdr:rowOff>
    </xdr:from>
    <xdr:to>
      <xdr:col>24</xdr:col>
      <xdr:colOff>556078</xdr:colOff>
      <xdr:row>34</xdr:row>
      <xdr:rowOff>821418</xdr:rowOff>
    </xdr:to>
    <xdr:cxnSp macro="">
      <xdr:nvCxnSpPr>
        <xdr:cNvPr id="172" name="28 Conector recto"/>
        <xdr:cNvCxnSpPr/>
      </xdr:nvCxnSpPr>
      <xdr:spPr>
        <a:xfrm flipV="1">
          <a:off x="19061793" y="980833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73" name="1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74" name="2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75" name="3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76" name="4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177" name="5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178" name="6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179" name="7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180" name="8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81" name="10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82" name="11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83" name="12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84" name="77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85" name="78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86" name="79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87" name="80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88" name="5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89" name="6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0" name="7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1" name="8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2" name="9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3" name="10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4" name="11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5" name="12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6" name="1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7" name="2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8" name="3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9" name="4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200" name="1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201" name="2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202" name="3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203" name="4 Rectángulo"/>
        <xdr:cNvSpPr/>
      </xdr:nvSpPr>
      <xdr:spPr>
        <a:xfrm>
          <a:off x="20471946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04" name="13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05" name="14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06" name="15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07" name="16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08" name="5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09" name="6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0" name="7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1" name="8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2" name="9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3" name="10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4" name="11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5" name="12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6" name="1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7" name="2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8" name="3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9" name="4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20" name="1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21" name="2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22" name="3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23" name="4 Rectángulo"/>
        <xdr:cNvSpPr/>
      </xdr:nvSpPr>
      <xdr:spPr>
        <a:xfrm>
          <a:off x="20471946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24" name="89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25" name="90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26" name="91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27" name="92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28" name="5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29" name="6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0" name="7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1" name="8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2" name="9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3" name="10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4" name="11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5" name="12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6" name="1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7" name="2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8" name="3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9" name="4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40" name="1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41" name="2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42" name="3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43" name="4 Rectángulo"/>
        <xdr:cNvSpPr/>
      </xdr:nvSpPr>
      <xdr:spPr>
        <a:xfrm>
          <a:off x="20471946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113393</xdr:colOff>
      <xdr:row>33</xdr:row>
      <xdr:rowOff>111883</xdr:rowOff>
    </xdr:from>
    <xdr:to>
      <xdr:col>24</xdr:col>
      <xdr:colOff>562428</xdr:colOff>
      <xdr:row>33</xdr:row>
      <xdr:rowOff>811893</xdr:rowOff>
    </xdr:to>
    <xdr:cxnSp macro="">
      <xdr:nvCxnSpPr>
        <xdr:cNvPr id="244" name="28 Conector recto"/>
        <xdr:cNvCxnSpPr/>
      </xdr:nvCxnSpPr>
      <xdr:spPr>
        <a:xfrm flipV="1">
          <a:off x="20468318" y="887488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117929</xdr:colOff>
      <xdr:row>32</xdr:row>
      <xdr:rowOff>113393</xdr:rowOff>
    </xdr:from>
    <xdr:to>
      <xdr:col>24</xdr:col>
      <xdr:colOff>566965</xdr:colOff>
      <xdr:row>32</xdr:row>
      <xdr:rowOff>802822</xdr:rowOff>
    </xdr:to>
    <xdr:cxnSp macro="">
      <xdr:nvCxnSpPr>
        <xdr:cNvPr id="245" name="25 Conector recto"/>
        <xdr:cNvCxnSpPr/>
      </xdr:nvCxnSpPr>
      <xdr:spPr>
        <a:xfrm>
          <a:off x="20472854" y="7952468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127000</xdr:colOff>
      <xdr:row>32</xdr:row>
      <xdr:rowOff>498230</xdr:rowOff>
    </xdr:from>
    <xdr:to>
      <xdr:col>24</xdr:col>
      <xdr:colOff>361461</xdr:colOff>
      <xdr:row>32</xdr:row>
      <xdr:rowOff>807358</xdr:rowOff>
    </xdr:to>
    <xdr:cxnSp macro="">
      <xdr:nvCxnSpPr>
        <xdr:cNvPr id="246" name="26 Conector recto"/>
        <xdr:cNvCxnSpPr/>
      </xdr:nvCxnSpPr>
      <xdr:spPr>
        <a:xfrm flipV="1">
          <a:off x="20481925" y="8337305"/>
          <a:ext cx="234461" cy="3091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47" name="1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48" name="2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49" name="3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50" name="4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51" name="5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52" name="6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53" name="7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54" name="8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55" name="9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56" name="10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57" name="11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58" name="12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59" name="77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0" name="78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1" name="79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2" name="80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3" name="5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4" name="6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5" name="7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6" name="8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7" name="9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8" name="10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9" name="11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0" name="12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1" name="1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2" name="2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3" name="3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4" name="4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5" name="1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6" name="2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7" name="3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8" name="4 Rectángulo"/>
        <xdr:cNvSpPr/>
      </xdr:nvSpPr>
      <xdr:spPr>
        <a:xfrm>
          <a:off x="20471946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79" name="13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0" name="14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1" name="15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2" name="16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3" name="5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4" name="6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5" name="7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6" name="8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7" name="9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8" name="10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9" name="11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0" name="12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1" name="1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2" name="2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3" name="3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4" name="4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5" name="1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6" name="2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7" name="3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8" name="4 Rectángulo"/>
        <xdr:cNvSpPr/>
      </xdr:nvSpPr>
      <xdr:spPr>
        <a:xfrm>
          <a:off x="20471946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99" name="89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00" name="90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01" name="91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02" name="92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03" name="5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04" name="6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05" name="7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06" name="8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07" name="9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08" name="10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09" name="11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10" name="12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11" name="1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12" name="2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13" name="3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14" name="4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15" name="1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16" name="2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17" name="3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318" name="4 Rectángulo"/>
        <xdr:cNvSpPr/>
      </xdr:nvSpPr>
      <xdr:spPr>
        <a:xfrm>
          <a:off x="20471946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36</xdr:row>
      <xdr:rowOff>130735</xdr:rowOff>
    </xdr:from>
    <xdr:to>
      <xdr:col>24</xdr:col>
      <xdr:colOff>579770</xdr:colOff>
      <xdr:row>36</xdr:row>
      <xdr:rowOff>830745</xdr:rowOff>
    </xdr:to>
    <xdr:cxnSp macro="">
      <xdr:nvCxnSpPr>
        <xdr:cNvPr id="319" name="28 Conector recto"/>
        <xdr:cNvCxnSpPr/>
      </xdr:nvCxnSpPr>
      <xdr:spPr>
        <a:xfrm flipV="1">
          <a:off x="20485660" y="1168456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121690</xdr:colOff>
      <xdr:row>39</xdr:row>
      <xdr:rowOff>120530</xdr:rowOff>
    </xdr:from>
    <xdr:to>
      <xdr:col>24</xdr:col>
      <xdr:colOff>570725</xdr:colOff>
      <xdr:row>39</xdr:row>
      <xdr:rowOff>820540</xdr:rowOff>
    </xdr:to>
    <xdr:cxnSp macro="">
      <xdr:nvCxnSpPr>
        <xdr:cNvPr id="320" name="28 Conector recto"/>
        <xdr:cNvCxnSpPr/>
      </xdr:nvCxnSpPr>
      <xdr:spPr>
        <a:xfrm flipV="1">
          <a:off x="20476615" y="1454138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128701</xdr:rowOff>
    </xdr:from>
    <xdr:to>
      <xdr:col>24</xdr:col>
      <xdr:colOff>566056</xdr:colOff>
      <xdr:row>35</xdr:row>
      <xdr:rowOff>828711</xdr:rowOff>
    </xdr:to>
    <xdr:cxnSp macro="">
      <xdr:nvCxnSpPr>
        <xdr:cNvPr id="321" name="28 Conector recto"/>
        <xdr:cNvCxnSpPr/>
      </xdr:nvCxnSpPr>
      <xdr:spPr>
        <a:xfrm flipV="1">
          <a:off x="20471946" y="1073955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113393</xdr:colOff>
      <xdr:row>35</xdr:row>
      <xdr:rowOff>122464</xdr:rowOff>
    </xdr:from>
    <xdr:to>
      <xdr:col>24</xdr:col>
      <xdr:colOff>562429</xdr:colOff>
      <xdr:row>35</xdr:row>
      <xdr:rowOff>811893</xdr:rowOff>
    </xdr:to>
    <xdr:cxnSp macro="">
      <xdr:nvCxnSpPr>
        <xdr:cNvPr id="322" name="25 Conector recto"/>
        <xdr:cNvCxnSpPr/>
      </xdr:nvCxnSpPr>
      <xdr:spPr>
        <a:xfrm>
          <a:off x="20468318" y="107333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36</xdr:row>
      <xdr:rowOff>131989</xdr:rowOff>
    </xdr:from>
    <xdr:to>
      <xdr:col>24</xdr:col>
      <xdr:colOff>571954</xdr:colOff>
      <xdr:row>36</xdr:row>
      <xdr:rowOff>821418</xdr:rowOff>
    </xdr:to>
    <xdr:cxnSp macro="">
      <xdr:nvCxnSpPr>
        <xdr:cNvPr id="323" name="25 Conector recto"/>
        <xdr:cNvCxnSpPr/>
      </xdr:nvCxnSpPr>
      <xdr:spPr>
        <a:xfrm>
          <a:off x="20477843" y="116858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107043</xdr:colOff>
      <xdr:row>34</xdr:row>
      <xdr:rowOff>121408</xdr:rowOff>
    </xdr:from>
    <xdr:to>
      <xdr:col>24</xdr:col>
      <xdr:colOff>556078</xdr:colOff>
      <xdr:row>34</xdr:row>
      <xdr:rowOff>821418</xdr:rowOff>
    </xdr:to>
    <xdr:cxnSp macro="">
      <xdr:nvCxnSpPr>
        <xdr:cNvPr id="324" name="28 Conector recto"/>
        <xdr:cNvCxnSpPr/>
      </xdr:nvCxnSpPr>
      <xdr:spPr>
        <a:xfrm flipV="1">
          <a:off x="20461968" y="980833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25" name="5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26" name="6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27" name="7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28" name="8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29" name="13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30" name="14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31" name="15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32" name="16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33" name="5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34" name="6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35" name="7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36" name="8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37" name="9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38" name="10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39" name="11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40" name="12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41" name="1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42" name="2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43" name="3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44" name="4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45" name="1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46" name="2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47" name="3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48" name="4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37</xdr:row>
      <xdr:rowOff>130735</xdr:rowOff>
    </xdr:from>
    <xdr:to>
      <xdr:col>24</xdr:col>
      <xdr:colOff>579770</xdr:colOff>
      <xdr:row>37</xdr:row>
      <xdr:rowOff>830745</xdr:rowOff>
    </xdr:to>
    <xdr:cxnSp macro="">
      <xdr:nvCxnSpPr>
        <xdr:cNvPr id="349" name="28 Conector recto"/>
        <xdr:cNvCxnSpPr/>
      </xdr:nvCxnSpPr>
      <xdr:spPr>
        <a:xfrm flipV="1">
          <a:off x="21208199" y="11669592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37</xdr:row>
      <xdr:rowOff>131989</xdr:rowOff>
    </xdr:from>
    <xdr:to>
      <xdr:col>24</xdr:col>
      <xdr:colOff>571954</xdr:colOff>
      <xdr:row>37</xdr:row>
      <xdr:rowOff>821418</xdr:rowOff>
    </xdr:to>
    <xdr:cxnSp macro="">
      <xdr:nvCxnSpPr>
        <xdr:cNvPr id="350" name="25 Conector recto"/>
        <xdr:cNvCxnSpPr/>
      </xdr:nvCxnSpPr>
      <xdr:spPr>
        <a:xfrm>
          <a:off x="21200382" y="11670846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51" name="5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52" name="6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53" name="7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54" name="8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55" name="13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56" name="14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57" name="15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58" name="16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59" name="5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60" name="6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61" name="7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62" name="8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63" name="9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64" name="10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65" name="11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66" name="12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67" name="1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68" name="2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69" name="3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70" name="4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71" name="1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72" name="2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73" name="3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374" name="4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37</xdr:row>
      <xdr:rowOff>130735</xdr:rowOff>
    </xdr:from>
    <xdr:to>
      <xdr:col>24</xdr:col>
      <xdr:colOff>579770</xdr:colOff>
      <xdr:row>37</xdr:row>
      <xdr:rowOff>830745</xdr:rowOff>
    </xdr:to>
    <xdr:cxnSp macro="">
      <xdr:nvCxnSpPr>
        <xdr:cNvPr id="375" name="28 Conector recto"/>
        <xdr:cNvCxnSpPr/>
      </xdr:nvCxnSpPr>
      <xdr:spPr>
        <a:xfrm flipV="1">
          <a:off x="21208199" y="11669592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37</xdr:row>
      <xdr:rowOff>131989</xdr:rowOff>
    </xdr:from>
    <xdr:to>
      <xdr:col>24</xdr:col>
      <xdr:colOff>571954</xdr:colOff>
      <xdr:row>37</xdr:row>
      <xdr:rowOff>821418</xdr:rowOff>
    </xdr:to>
    <xdr:cxnSp macro="">
      <xdr:nvCxnSpPr>
        <xdr:cNvPr id="376" name="25 Conector recto"/>
        <xdr:cNvCxnSpPr/>
      </xdr:nvCxnSpPr>
      <xdr:spPr>
        <a:xfrm>
          <a:off x="21200382" y="11670846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77" name="5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78" name="6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79" name="7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80" name="8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81" name="13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82" name="14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83" name="15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84" name="16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85" name="5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86" name="6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87" name="7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88" name="8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89" name="9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90" name="10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91" name="11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92" name="12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93" name="1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94" name="2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95" name="3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96" name="4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97" name="1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98" name="2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99" name="3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00" name="4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38</xdr:row>
      <xdr:rowOff>130735</xdr:rowOff>
    </xdr:from>
    <xdr:to>
      <xdr:col>24</xdr:col>
      <xdr:colOff>579770</xdr:colOff>
      <xdr:row>38</xdr:row>
      <xdr:rowOff>830745</xdr:rowOff>
    </xdr:to>
    <xdr:cxnSp macro="">
      <xdr:nvCxnSpPr>
        <xdr:cNvPr id="401" name="28 Conector recto"/>
        <xdr:cNvCxnSpPr/>
      </xdr:nvCxnSpPr>
      <xdr:spPr>
        <a:xfrm flipV="1">
          <a:off x="21208199" y="11669592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38</xdr:row>
      <xdr:rowOff>131989</xdr:rowOff>
    </xdr:from>
    <xdr:to>
      <xdr:col>24</xdr:col>
      <xdr:colOff>571954</xdr:colOff>
      <xdr:row>38</xdr:row>
      <xdr:rowOff>821418</xdr:rowOff>
    </xdr:to>
    <xdr:cxnSp macro="">
      <xdr:nvCxnSpPr>
        <xdr:cNvPr id="402" name="25 Conector recto"/>
        <xdr:cNvCxnSpPr/>
      </xdr:nvCxnSpPr>
      <xdr:spPr>
        <a:xfrm>
          <a:off x="21200382" y="11670846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03" name="5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04" name="6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05" name="7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06" name="8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07" name="13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08" name="14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09" name="15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10" name="16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11" name="5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12" name="6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13" name="7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14" name="8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15" name="9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16" name="10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17" name="11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18" name="12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19" name="1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20" name="2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21" name="3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22" name="4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23" name="1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24" name="2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25" name="3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26" name="4 Rectángulo"/>
        <xdr:cNvSpPr/>
      </xdr:nvSpPr>
      <xdr:spPr>
        <a:xfrm>
          <a:off x="21194485" y="11647714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38</xdr:row>
      <xdr:rowOff>130735</xdr:rowOff>
    </xdr:from>
    <xdr:to>
      <xdr:col>24</xdr:col>
      <xdr:colOff>579770</xdr:colOff>
      <xdr:row>38</xdr:row>
      <xdr:rowOff>830745</xdr:rowOff>
    </xdr:to>
    <xdr:cxnSp macro="">
      <xdr:nvCxnSpPr>
        <xdr:cNvPr id="427" name="28 Conector recto"/>
        <xdr:cNvCxnSpPr/>
      </xdr:nvCxnSpPr>
      <xdr:spPr>
        <a:xfrm flipV="1">
          <a:off x="21208199" y="11669592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38</xdr:row>
      <xdr:rowOff>131989</xdr:rowOff>
    </xdr:from>
    <xdr:to>
      <xdr:col>24</xdr:col>
      <xdr:colOff>571954</xdr:colOff>
      <xdr:row>38</xdr:row>
      <xdr:rowOff>821418</xdr:rowOff>
    </xdr:to>
    <xdr:cxnSp macro="">
      <xdr:nvCxnSpPr>
        <xdr:cNvPr id="428" name="25 Conector recto"/>
        <xdr:cNvCxnSpPr/>
      </xdr:nvCxnSpPr>
      <xdr:spPr>
        <a:xfrm>
          <a:off x="21200382" y="11670846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29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30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31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32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33" name="1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34" name="1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35" name="1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36" name="1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37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38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39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40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41" name="9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42" name="10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43" name="1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44" name="1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45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46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47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48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49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50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51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52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39</xdr:row>
      <xdr:rowOff>130735</xdr:rowOff>
    </xdr:from>
    <xdr:to>
      <xdr:col>24</xdr:col>
      <xdr:colOff>579770</xdr:colOff>
      <xdr:row>39</xdr:row>
      <xdr:rowOff>830745</xdr:rowOff>
    </xdr:to>
    <xdr:cxnSp macro="">
      <xdr:nvCxnSpPr>
        <xdr:cNvPr id="453" name="28 Conector recto"/>
        <xdr:cNvCxnSpPr/>
      </xdr:nvCxnSpPr>
      <xdr:spPr>
        <a:xfrm flipV="1">
          <a:off x="21208199" y="1353377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39</xdr:row>
      <xdr:rowOff>131989</xdr:rowOff>
    </xdr:from>
    <xdr:to>
      <xdr:col>24</xdr:col>
      <xdr:colOff>571954</xdr:colOff>
      <xdr:row>39</xdr:row>
      <xdr:rowOff>821418</xdr:rowOff>
    </xdr:to>
    <xdr:cxnSp macro="">
      <xdr:nvCxnSpPr>
        <xdr:cNvPr id="454" name="25 Conector recto"/>
        <xdr:cNvCxnSpPr/>
      </xdr:nvCxnSpPr>
      <xdr:spPr>
        <a:xfrm>
          <a:off x="21200382" y="13535025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55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56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57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58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59" name="1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60" name="1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61" name="1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62" name="1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63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64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65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66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67" name="9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68" name="10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69" name="1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70" name="1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71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72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73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74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75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76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77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78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39</xdr:row>
      <xdr:rowOff>130735</xdr:rowOff>
    </xdr:from>
    <xdr:to>
      <xdr:col>24</xdr:col>
      <xdr:colOff>579770</xdr:colOff>
      <xdr:row>39</xdr:row>
      <xdr:rowOff>830745</xdr:rowOff>
    </xdr:to>
    <xdr:cxnSp macro="">
      <xdr:nvCxnSpPr>
        <xdr:cNvPr id="479" name="28 Conector recto"/>
        <xdr:cNvCxnSpPr/>
      </xdr:nvCxnSpPr>
      <xdr:spPr>
        <a:xfrm flipV="1">
          <a:off x="21208199" y="1353377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39</xdr:row>
      <xdr:rowOff>131989</xdr:rowOff>
    </xdr:from>
    <xdr:to>
      <xdr:col>24</xdr:col>
      <xdr:colOff>571954</xdr:colOff>
      <xdr:row>39</xdr:row>
      <xdr:rowOff>821418</xdr:rowOff>
    </xdr:to>
    <xdr:cxnSp macro="">
      <xdr:nvCxnSpPr>
        <xdr:cNvPr id="480" name="25 Conector recto"/>
        <xdr:cNvCxnSpPr/>
      </xdr:nvCxnSpPr>
      <xdr:spPr>
        <a:xfrm>
          <a:off x="21200382" y="13535025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81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82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83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84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85" name="1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86" name="1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87" name="1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88" name="1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89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90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91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92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93" name="9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94" name="10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95" name="1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96" name="1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97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98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499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00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01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02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03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04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40</xdr:row>
      <xdr:rowOff>130735</xdr:rowOff>
    </xdr:from>
    <xdr:to>
      <xdr:col>24</xdr:col>
      <xdr:colOff>579770</xdr:colOff>
      <xdr:row>40</xdr:row>
      <xdr:rowOff>830745</xdr:rowOff>
    </xdr:to>
    <xdr:cxnSp macro="">
      <xdr:nvCxnSpPr>
        <xdr:cNvPr id="505" name="28 Conector recto"/>
        <xdr:cNvCxnSpPr/>
      </xdr:nvCxnSpPr>
      <xdr:spPr>
        <a:xfrm flipV="1">
          <a:off x="21208199" y="1353377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40</xdr:row>
      <xdr:rowOff>131989</xdr:rowOff>
    </xdr:from>
    <xdr:to>
      <xdr:col>24</xdr:col>
      <xdr:colOff>571954</xdr:colOff>
      <xdr:row>40</xdr:row>
      <xdr:rowOff>821418</xdr:rowOff>
    </xdr:to>
    <xdr:cxnSp macro="">
      <xdr:nvCxnSpPr>
        <xdr:cNvPr id="506" name="25 Conector recto"/>
        <xdr:cNvCxnSpPr/>
      </xdr:nvCxnSpPr>
      <xdr:spPr>
        <a:xfrm>
          <a:off x="21200382" y="13535025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07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08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09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10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11" name="1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12" name="1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13" name="1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14" name="1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15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16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17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18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19" name="9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20" name="10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21" name="1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22" name="1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23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24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25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26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27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28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29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30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40</xdr:row>
      <xdr:rowOff>130735</xdr:rowOff>
    </xdr:from>
    <xdr:to>
      <xdr:col>24</xdr:col>
      <xdr:colOff>579770</xdr:colOff>
      <xdr:row>40</xdr:row>
      <xdr:rowOff>830745</xdr:rowOff>
    </xdr:to>
    <xdr:cxnSp macro="">
      <xdr:nvCxnSpPr>
        <xdr:cNvPr id="531" name="28 Conector recto"/>
        <xdr:cNvCxnSpPr/>
      </xdr:nvCxnSpPr>
      <xdr:spPr>
        <a:xfrm flipV="1">
          <a:off x="21208199" y="1353377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40</xdr:row>
      <xdr:rowOff>131989</xdr:rowOff>
    </xdr:from>
    <xdr:to>
      <xdr:col>24</xdr:col>
      <xdr:colOff>571954</xdr:colOff>
      <xdr:row>40</xdr:row>
      <xdr:rowOff>821418</xdr:rowOff>
    </xdr:to>
    <xdr:cxnSp macro="">
      <xdr:nvCxnSpPr>
        <xdr:cNvPr id="532" name="25 Conector recto"/>
        <xdr:cNvCxnSpPr/>
      </xdr:nvCxnSpPr>
      <xdr:spPr>
        <a:xfrm>
          <a:off x="21200382" y="13535025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33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34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35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36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37" name="1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38" name="1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39" name="1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40" name="1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41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42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43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44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45" name="9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46" name="10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47" name="1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48" name="1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49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50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51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52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53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54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55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56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41</xdr:row>
      <xdr:rowOff>130735</xdr:rowOff>
    </xdr:from>
    <xdr:to>
      <xdr:col>24</xdr:col>
      <xdr:colOff>579770</xdr:colOff>
      <xdr:row>41</xdr:row>
      <xdr:rowOff>830745</xdr:rowOff>
    </xdr:to>
    <xdr:cxnSp macro="">
      <xdr:nvCxnSpPr>
        <xdr:cNvPr id="557" name="28 Conector recto"/>
        <xdr:cNvCxnSpPr/>
      </xdr:nvCxnSpPr>
      <xdr:spPr>
        <a:xfrm flipV="1">
          <a:off x="21208199" y="1353377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41</xdr:row>
      <xdr:rowOff>131989</xdr:rowOff>
    </xdr:from>
    <xdr:to>
      <xdr:col>24</xdr:col>
      <xdr:colOff>571954</xdr:colOff>
      <xdr:row>41</xdr:row>
      <xdr:rowOff>821418</xdr:rowOff>
    </xdr:to>
    <xdr:cxnSp macro="">
      <xdr:nvCxnSpPr>
        <xdr:cNvPr id="558" name="25 Conector recto"/>
        <xdr:cNvCxnSpPr/>
      </xdr:nvCxnSpPr>
      <xdr:spPr>
        <a:xfrm>
          <a:off x="21200382" y="13535025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59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60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61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62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63" name="1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64" name="1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65" name="1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66" name="1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67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68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69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70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71" name="9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72" name="10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73" name="1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74" name="1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75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76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77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78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79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80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81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82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41</xdr:row>
      <xdr:rowOff>130735</xdr:rowOff>
    </xdr:from>
    <xdr:to>
      <xdr:col>24</xdr:col>
      <xdr:colOff>579770</xdr:colOff>
      <xdr:row>41</xdr:row>
      <xdr:rowOff>830745</xdr:rowOff>
    </xdr:to>
    <xdr:cxnSp macro="">
      <xdr:nvCxnSpPr>
        <xdr:cNvPr id="583" name="28 Conector recto"/>
        <xdr:cNvCxnSpPr/>
      </xdr:nvCxnSpPr>
      <xdr:spPr>
        <a:xfrm flipV="1">
          <a:off x="21208199" y="1353377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41</xdr:row>
      <xdr:rowOff>131989</xdr:rowOff>
    </xdr:from>
    <xdr:to>
      <xdr:col>24</xdr:col>
      <xdr:colOff>571954</xdr:colOff>
      <xdr:row>41</xdr:row>
      <xdr:rowOff>821418</xdr:rowOff>
    </xdr:to>
    <xdr:cxnSp macro="">
      <xdr:nvCxnSpPr>
        <xdr:cNvPr id="584" name="25 Conector recto"/>
        <xdr:cNvCxnSpPr/>
      </xdr:nvCxnSpPr>
      <xdr:spPr>
        <a:xfrm>
          <a:off x="21200382" y="13535025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85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86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87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88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89" name="1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90" name="1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91" name="1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92" name="1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93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94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95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96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97" name="9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98" name="10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599" name="1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00" name="1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01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02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03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04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05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06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07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08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42</xdr:row>
      <xdr:rowOff>130735</xdr:rowOff>
    </xdr:from>
    <xdr:to>
      <xdr:col>24</xdr:col>
      <xdr:colOff>579770</xdr:colOff>
      <xdr:row>42</xdr:row>
      <xdr:rowOff>830745</xdr:rowOff>
    </xdr:to>
    <xdr:cxnSp macro="">
      <xdr:nvCxnSpPr>
        <xdr:cNvPr id="609" name="28 Conector recto"/>
        <xdr:cNvCxnSpPr/>
      </xdr:nvCxnSpPr>
      <xdr:spPr>
        <a:xfrm flipV="1">
          <a:off x="21208199" y="1353377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42</xdr:row>
      <xdr:rowOff>131989</xdr:rowOff>
    </xdr:from>
    <xdr:to>
      <xdr:col>24</xdr:col>
      <xdr:colOff>571954</xdr:colOff>
      <xdr:row>42</xdr:row>
      <xdr:rowOff>821418</xdr:rowOff>
    </xdr:to>
    <xdr:cxnSp macro="">
      <xdr:nvCxnSpPr>
        <xdr:cNvPr id="610" name="25 Conector recto"/>
        <xdr:cNvCxnSpPr/>
      </xdr:nvCxnSpPr>
      <xdr:spPr>
        <a:xfrm>
          <a:off x="21200382" y="13535025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11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12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13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14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15" name="1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16" name="1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17" name="1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18" name="1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19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20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21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22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23" name="9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24" name="10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25" name="1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26" name="1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27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28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29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30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31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32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33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34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42</xdr:row>
      <xdr:rowOff>130735</xdr:rowOff>
    </xdr:from>
    <xdr:to>
      <xdr:col>24</xdr:col>
      <xdr:colOff>579770</xdr:colOff>
      <xdr:row>42</xdr:row>
      <xdr:rowOff>830745</xdr:rowOff>
    </xdr:to>
    <xdr:cxnSp macro="">
      <xdr:nvCxnSpPr>
        <xdr:cNvPr id="635" name="28 Conector recto"/>
        <xdr:cNvCxnSpPr/>
      </xdr:nvCxnSpPr>
      <xdr:spPr>
        <a:xfrm flipV="1">
          <a:off x="21208199" y="1353377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42</xdr:row>
      <xdr:rowOff>131989</xdr:rowOff>
    </xdr:from>
    <xdr:to>
      <xdr:col>24</xdr:col>
      <xdr:colOff>571954</xdr:colOff>
      <xdr:row>42</xdr:row>
      <xdr:rowOff>821418</xdr:rowOff>
    </xdr:to>
    <xdr:cxnSp macro="">
      <xdr:nvCxnSpPr>
        <xdr:cNvPr id="636" name="25 Conector recto"/>
        <xdr:cNvCxnSpPr/>
      </xdr:nvCxnSpPr>
      <xdr:spPr>
        <a:xfrm>
          <a:off x="21200382" y="13535025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37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38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39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40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41" name="1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42" name="1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43" name="1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44" name="1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45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46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47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48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49" name="9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50" name="10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51" name="1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52" name="1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53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54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55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56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57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58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59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60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43</xdr:row>
      <xdr:rowOff>130735</xdr:rowOff>
    </xdr:from>
    <xdr:to>
      <xdr:col>24</xdr:col>
      <xdr:colOff>579770</xdr:colOff>
      <xdr:row>43</xdr:row>
      <xdr:rowOff>830745</xdr:rowOff>
    </xdr:to>
    <xdr:cxnSp macro="">
      <xdr:nvCxnSpPr>
        <xdr:cNvPr id="661" name="28 Conector recto"/>
        <xdr:cNvCxnSpPr/>
      </xdr:nvCxnSpPr>
      <xdr:spPr>
        <a:xfrm flipV="1">
          <a:off x="21208199" y="1353377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43</xdr:row>
      <xdr:rowOff>131989</xdr:rowOff>
    </xdr:from>
    <xdr:to>
      <xdr:col>24</xdr:col>
      <xdr:colOff>571954</xdr:colOff>
      <xdr:row>43</xdr:row>
      <xdr:rowOff>821418</xdr:rowOff>
    </xdr:to>
    <xdr:cxnSp macro="">
      <xdr:nvCxnSpPr>
        <xdr:cNvPr id="662" name="25 Conector recto"/>
        <xdr:cNvCxnSpPr/>
      </xdr:nvCxnSpPr>
      <xdr:spPr>
        <a:xfrm>
          <a:off x="21200382" y="13535025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63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64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65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66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67" name="1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68" name="1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69" name="1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70" name="1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71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72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73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74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75" name="9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76" name="10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77" name="1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78" name="1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79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80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81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82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83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84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85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86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43</xdr:row>
      <xdr:rowOff>130735</xdr:rowOff>
    </xdr:from>
    <xdr:to>
      <xdr:col>24</xdr:col>
      <xdr:colOff>579770</xdr:colOff>
      <xdr:row>43</xdr:row>
      <xdr:rowOff>830745</xdr:rowOff>
    </xdr:to>
    <xdr:cxnSp macro="">
      <xdr:nvCxnSpPr>
        <xdr:cNvPr id="687" name="28 Conector recto"/>
        <xdr:cNvCxnSpPr/>
      </xdr:nvCxnSpPr>
      <xdr:spPr>
        <a:xfrm flipV="1">
          <a:off x="21208199" y="1353377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43</xdr:row>
      <xdr:rowOff>131989</xdr:rowOff>
    </xdr:from>
    <xdr:to>
      <xdr:col>24</xdr:col>
      <xdr:colOff>571954</xdr:colOff>
      <xdr:row>43</xdr:row>
      <xdr:rowOff>821418</xdr:rowOff>
    </xdr:to>
    <xdr:cxnSp macro="">
      <xdr:nvCxnSpPr>
        <xdr:cNvPr id="688" name="25 Conector recto"/>
        <xdr:cNvCxnSpPr/>
      </xdr:nvCxnSpPr>
      <xdr:spPr>
        <a:xfrm>
          <a:off x="21200382" y="13535025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689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690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691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692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693" name="1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694" name="1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695" name="1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696" name="1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697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698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699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00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01" name="9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02" name="10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03" name="1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04" name="1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05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06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07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08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09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10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11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12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44</xdr:row>
      <xdr:rowOff>130735</xdr:rowOff>
    </xdr:from>
    <xdr:to>
      <xdr:col>24</xdr:col>
      <xdr:colOff>579770</xdr:colOff>
      <xdr:row>44</xdr:row>
      <xdr:rowOff>830745</xdr:rowOff>
    </xdr:to>
    <xdr:cxnSp macro="">
      <xdr:nvCxnSpPr>
        <xdr:cNvPr id="713" name="28 Conector recto"/>
        <xdr:cNvCxnSpPr/>
      </xdr:nvCxnSpPr>
      <xdr:spPr>
        <a:xfrm flipV="1">
          <a:off x="21208199" y="1353377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44</xdr:row>
      <xdr:rowOff>131989</xdr:rowOff>
    </xdr:from>
    <xdr:to>
      <xdr:col>24</xdr:col>
      <xdr:colOff>571954</xdr:colOff>
      <xdr:row>44</xdr:row>
      <xdr:rowOff>821418</xdr:rowOff>
    </xdr:to>
    <xdr:cxnSp macro="">
      <xdr:nvCxnSpPr>
        <xdr:cNvPr id="714" name="25 Conector recto"/>
        <xdr:cNvCxnSpPr/>
      </xdr:nvCxnSpPr>
      <xdr:spPr>
        <a:xfrm>
          <a:off x="21200382" y="13535025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15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16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17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18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19" name="1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20" name="1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21" name="1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22" name="1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23" name="5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24" name="6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25" name="7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26" name="8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27" name="9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28" name="10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29" name="1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30" name="1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31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32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33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34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35" name="1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36" name="2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37" name="3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738" name="4 Rectángulo"/>
        <xdr:cNvSpPr/>
      </xdr:nvSpPr>
      <xdr:spPr>
        <a:xfrm>
          <a:off x="21194485" y="13511893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44</xdr:row>
      <xdr:rowOff>130735</xdr:rowOff>
    </xdr:from>
    <xdr:to>
      <xdr:col>24</xdr:col>
      <xdr:colOff>579770</xdr:colOff>
      <xdr:row>44</xdr:row>
      <xdr:rowOff>830745</xdr:rowOff>
    </xdr:to>
    <xdr:cxnSp macro="">
      <xdr:nvCxnSpPr>
        <xdr:cNvPr id="739" name="28 Conector recto"/>
        <xdr:cNvCxnSpPr/>
      </xdr:nvCxnSpPr>
      <xdr:spPr>
        <a:xfrm flipV="1">
          <a:off x="21208199" y="1353377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44</xdr:row>
      <xdr:rowOff>131989</xdr:rowOff>
    </xdr:from>
    <xdr:to>
      <xdr:col>24</xdr:col>
      <xdr:colOff>571954</xdr:colOff>
      <xdr:row>44</xdr:row>
      <xdr:rowOff>821418</xdr:rowOff>
    </xdr:to>
    <xdr:cxnSp macro="">
      <xdr:nvCxnSpPr>
        <xdr:cNvPr id="740" name="25 Conector recto"/>
        <xdr:cNvCxnSpPr/>
      </xdr:nvCxnSpPr>
      <xdr:spPr>
        <a:xfrm>
          <a:off x="21200382" y="13535025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333375</xdr:colOff>
      <xdr:row>10</xdr:row>
      <xdr:rowOff>123825</xdr:rowOff>
    </xdr:from>
    <xdr:to>
      <xdr:col>11</xdr:col>
      <xdr:colOff>333375</xdr:colOff>
      <xdr:row>25</xdr:row>
      <xdr:rowOff>9525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2" name="1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" name="2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" name="3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" name="4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" name="5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" name="6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8" name="7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9" name="8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1" name="10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2" name="11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3" name="12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7</xdr:col>
      <xdr:colOff>451514</xdr:colOff>
      <xdr:row>19</xdr:row>
      <xdr:rowOff>2357</xdr:rowOff>
    </xdr:from>
    <xdr:to>
      <xdr:col>9</xdr:col>
      <xdr:colOff>72988</xdr:colOff>
      <xdr:row>24</xdr:row>
      <xdr:rowOff>165642</xdr:rowOff>
    </xdr:to>
    <xdr:sp macro="" textlink="">
      <xdr:nvSpPr>
        <xdr:cNvPr id="14" name="17 Rectángulo"/>
        <xdr:cNvSpPr/>
      </xdr:nvSpPr>
      <xdr:spPr>
        <a:xfrm>
          <a:off x="5956964" y="4326707"/>
          <a:ext cx="897824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7</xdr:col>
      <xdr:colOff>453831</xdr:colOff>
      <xdr:row>19</xdr:row>
      <xdr:rowOff>7567</xdr:rowOff>
    </xdr:from>
    <xdr:to>
      <xdr:col>9</xdr:col>
      <xdr:colOff>69813</xdr:colOff>
      <xdr:row>24</xdr:row>
      <xdr:rowOff>169695</xdr:rowOff>
    </xdr:to>
    <xdr:cxnSp macro="">
      <xdr:nvCxnSpPr>
        <xdr:cNvPr id="15" name="18 Conector recto"/>
        <xdr:cNvCxnSpPr/>
      </xdr:nvCxnSpPr>
      <xdr:spPr>
        <a:xfrm>
          <a:off x="5959281" y="4331917"/>
          <a:ext cx="892332" cy="11146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7</xdr:col>
      <xdr:colOff>463346</xdr:colOff>
      <xdr:row>19</xdr:row>
      <xdr:rowOff>7567</xdr:rowOff>
    </xdr:from>
    <xdr:to>
      <xdr:col>9</xdr:col>
      <xdr:colOff>77821</xdr:colOff>
      <xdr:row>24</xdr:row>
      <xdr:rowOff>165642</xdr:rowOff>
    </xdr:to>
    <xdr:cxnSp macro="">
      <xdr:nvCxnSpPr>
        <xdr:cNvPr id="16" name="19 Conector recto"/>
        <xdr:cNvCxnSpPr/>
      </xdr:nvCxnSpPr>
      <xdr:spPr>
        <a:xfrm flipV="1">
          <a:off x="5968796" y="4331917"/>
          <a:ext cx="890825" cy="111057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9</xdr:col>
      <xdr:colOff>458381</xdr:colOff>
      <xdr:row>19</xdr:row>
      <xdr:rowOff>5079</xdr:rowOff>
    </xdr:from>
    <xdr:to>
      <xdr:col>11</xdr:col>
      <xdr:colOff>80510</xdr:colOff>
      <xdr:row>24</xdr:row>
      <xdr:rowOff>168364</xdr:rowOff>
    </xdr:to>
    <xdr:sp macro="" textlink="">
      <xdr:nvSpPr>
        <xdr:cNvPr id="17" name="20 Rectángulo"/>
        <xdr:cNvSpPr/>
      </xdr:nvSpPr>
      <xdr:spPr>
        <a:xfrm>
          <a:off x="7240181" y="4329429"/>
          <a:ext cx="898479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10</xdr:col>
      <xdr:colOff>280128</xdr:colOff>
      <xdr:row>22</xdr:row>
      <xdr:rowOff>2357</xdr:rowOff>
    </xdr:from>
    <xdr:to>
      <xdr:col>11</xdr:col>
      <xdr:colOff>75471</xdr:colOff>
      <xdr:row>24</xdr:row>
      <xdr:rowOff>165642</xdr:rowOff>
    </xdr:to>
    <xdr:cxnSp macro="">
      <xdr:nvCxnSpPr>
        <xdr:cNvPr id="18" name="21 Conector recto"/>
        <xdr:cNvCxnSpPr/>
      </xdr:nvCxnSpPr>
      <xdr:spPr>
        <a:xfrm>
          <a:off x="7700103" y="4898207"/>
          <a:ext cx="433518" cy="5442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9</xdr:col>
      <xdr:colOff>471989</xdr:colOff>
      <xdr:row>21</xdr:row>
      <xdr:rowOff>179250</xdr:rowOff>
    </xdr:from>
    <xdr:to>
      <xdr:col>10</xdr:col>
      <xdr:colOff>280476</xdr:colOff>
      <xdr:row>24</xdr:row>
      <xdr:rowOff>168364</xdr:rowOff>
    </xdr:to>
    <xdr:cxnSp macro="">
      <xdr:nvCxnSpPr>
        <xdr:cNvPr id="19" name="22 Conector recto"/>
        <xdr:cNvCxnSpPr/>
      </xdr:nvCxnSpPr>
      <xdr:spPr>
        <a:xfrm flipV="1">
          <a:off x="7253789" y="4884600"/>
          <a:ext cx="446662" cy="560614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10</xdr:col>
      <xdr:colOff>265190</xdr:colOff>
      <xdr:row>19</xdr:row>
      <xdr:rowOff>5079</xdr:rowOff>
    </xdr:from>
    <xdr:to>
      <xdr:col>10</xdr:col>
      <xdr:colOff>277813</xdr:colOff>
      <xdr:row>22</xdr:row>
      <xdr:rowOff>7567</xdr:rowOff>
    </xdr:to>
    <xdr:cxnSp macro="">
      <xdr:nvCxnSpPr>
        <xdr:cNvPr id="20" name="23 Conector recto"/>
        <xdr:cNvCxnSpPr/>
      </xdr:nvCxnSpPr>
      <xdr:spPr>
        <a:xfrm>
          <a:off x="7685165" y="4329429"/>
          <a:ext cx="12623" cy="57398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11</xdr:col>
      <xdr:colOff>471760</xdr:colOff>
      <xdr:row>19</xdr:row>
      <xdr:rowOff>7801</xdr:rowOff>
    </xdr:from>
    <xdr:to>
      <xdr:col>13</xdr:col>
      <xdr:colOff>95131</xdr:colOff>
      <xdr:row>24</xdr:row>
      <xdr:rowOff>171086</xdr:rowOff>
    </xdr:to>
    <xdr:sp macro="" textlink="">
      <xdr:nvSpPr>
        <xdr:cNvPr id="21" name="24 Rectángulo"/>
        <xdr:cNvSpPr/>
      </xdr:nvSpPr>
      <xdr:spPr>
        <a:xfrm>
          <a:off x="8529910" y="4332151"/>
          <a:ext cx="899721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11</xdr:col>
      <xdr:colOff>471819</xdr:colOff>
      <xdr:row>18</xdr:row>
      <xdr:rowOff>189961</xdr:rowOff>
    </xdr:from>
    <xdr:to>
      <xdr:col>13</xdr:col>
      <xdr:colOff>89964</xdr:colOff>
      <xdr:row>24</xdr:row>
      <xdr:rowOff>173748</xdr:rowOff>
    </xdr:to>
    <xdr:cxnSp macro="">
      <xdr:nvCxnSpPr>
        <xdr:cNvPr id="22" name="25 Conector recto"/>
        <xdr:cNvCxnSpPr/>
      </xdr:nvCxnSpPr>
      <xdr:spPr>
        <a:xfrm>
          <a:off x="8529969" y="4323811"/>
          <a:ext cx="894495" cy="1126787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11</xdr:col>
      <xdr:colOff>475843</xdr:colOff>
      <xdr:row>21</xdr:row>
      <xdr:rowOff>181972</xdr:rowOff>
    </xdr:from>
    <xdr:to>
      <xdr:col>12</xdr:col>
      <xdr:colOff>283673</xdr:colOff>
      <xdr:row>24</xdr:row>
      <xdr:rowOff>171086</xdr:rowOff>
    </xdr:to>
    <xdr:cxnSp macro="">
      <xdr:nvCxnSpPr>
        <xdr:cNvPr id="23" name="26 Conector recto"/>
        <xdr:cNvCxnSpPr/>
      </xdr:nvCxnSpPr>
      <xdr:spPr>
        <a:xfrm flipV="1">
          <a:off x="8533993" y="4887322"/>
          <a:ext cx="446005" cy="560614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13</xdr:col>
      <xdr:colOff>467980</xdr:colOff>
      <xdr:row>19</xdr:row>
      <xdr:rowOff>10523</xdr:rowOff>
    </xdr:from>
    <xdr:to>
      <xdr:col>15</xdr:col>
      <xdr:colOff>91350</xdr:colOff>
      <xdr:row>24</xdr:row>
      <xdr:rowOff>173808</xdr:rowOff>
    </xdr:to>
    <xdr:sp macro="" textlink="">
      <xdr:nvSpPr>
        <xdr:cNvPr id="24" name="27 Rectángulo"/>
        <xdr:cNvSpPr/>
      </xdr:nvSpPr>
      <xdr:spPr>
        <a:xfrm>
          <a:off x="9802480" y="4334873"/>
          <a:ext cx="899720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13</xdr:col>
      <xdr:colOff>466185</xdr:colOff>
      <xdr:row>19</xdr:row>
      <xdr:rowOff>169695</xdr:rowOff>
    </xdr:from>
    <xdr:to>
      <xdr:col>15</xdr:col>
      <xdr:colOff>90831</xdr:colOff>
      <xdr:row>24</xdr:row>
      <xdr:rowOff>72418</xdr:rowOff>
    </xdr:to>
    <xdr:cxnSp macro="">
      <xdr:nvCxnSpPr>
        <xdr:cNvPr id="25" name="28 Conector recto"/>
        <xdr:cNvCxnSpPr/>
      </xdr:nvCxnSpPr>
      <xdr:spPr>
        <a:xfrm flipV="1">
          <a:off x="9800685" y="4494045"/>
          <a:ext cx="900996" cy="855223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15</xdr:col>
      <xdr:colOff>435429</xdr:colOff>
      <xdr:row>19</xdr:row>
      <xdr:rowOff>2596</xdr:rowOff>
    </xdr:from>
    <xdr:to>
      <xdr:col>17</xdr:col>
      <xdr:colOff>163287</xdr:colOff>
      <xdr:row>24</xdr:row>
      <xdr:rowOff>165881</xdr:rowOff>
    </xdr:to>
    <xdr:sp macro="" textlink="">
      <xdr:nvSpPr>
        <xdr:cNvPr id="26" name="29 Rectángulo"/>
        <xdr:cNvSpPr/>
      </xdr:nvSpPr>
      <xdr:spPr>
        <a:xfrm>
          <a:off x="12518572" y="4139167"/>
          <a:ext cx="1179286" cy="1070428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16</xdr:col>
      <xdr:colOff>244771</xdr:colOff>
      <xdr:row>19</xdr:row>
      <xdr:rowOff>5316</xdr:rowOff>
    </xdr:from>
    <xdr:to>
      <xdr:col>16</xdr:col>
      <xdr:colOff>258378</xdr:colOff>
      <xdr:row>24</xdr:row>
      <xdr:rowOff>168601</xdr:rowOff>
    </xdr:to>
    <xdr:cxnSp macro="">
      <xdr:nvCxnSpPr>
        <xdr:cNvPr id="27" name="30 Conector recto"/>
        <xdr:cNvCxnSpPr/>
      </xdr:nvCxnSpPr>
      <xdr:spPr>
        <a:xfrm flipV="1">
          <a:off x="13053628" y="4141887"/>
          <a:ext cx="13607" cy="10704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16</xdr:col>
      <xdr:colOff>350907</xdr:colOff>
      <xdr:row>19</xdr:row>
      <xdr:rowOff>8038</xdr:rowOff>
    </xdr:from>
    <xdr:to>
      <xdr:col>16</xdr:col>
      <xdr:colOff>364514</xdr:colOff>
      <xdr:row>24</xdr:row>
      <xdr:rowOff>171323</xdr:rowOff>
    </xdr:to>
    <xdr:cxnSp macro="">
      <xdr:nvCxnSpPr>
        <xdr:cNvPr id="28" name="31 Conector recto"/>
        <xdr:cNvCxnSpPr/>
      </xdr:nvCxnSpPr>
      <xdr:spPr>
        <a:xfrm flipV="1">
          <a:off x="13159764" y="4144609"/>
          <a:ext cx="13607" cy="10704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30" name="33 Rectángulo"/>
        <xdr:cNvSpPr/>
      </xdr:nvSpPr>
      <xdr:spPr>
        <a:xfrm>
          <a:off x="1745252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31" name="34 Rectángulo"/>
        <xdr:cNvSpPr/>
      </xdr:nvSpPr>
      <xdr:spPr>
        <a:xfrm>
          <a:off x="1745252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32" name="35 Rectángulo"/>
        <xdr:cNvSpPr/>
      </xdr:nvSpPr>
      <xdr:spPr>
        <a:xfrm>
          <a:off x="1745252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33" name="36 Rectángulo"/>
        <xdr:cNvSpPr/>
      </xdr:nvSpPr>
      <xdr:spPr>
        <a:xfrm>
          <a:off x="1745252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5" name="77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6" name="78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7" name="79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8" name="80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9" name="5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0" name="6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1" name="7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2" name="8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3" name="9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4" name="10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5" name="11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6" name="12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7" name="1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8" name="2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9" name="3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0" name="4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1" name="1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2" name="2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3" name="3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4" name="4 Rectángulo"/>
        <xdr:cNvSpPr/>
      </xdr:nvSpPr>
      <xdr:spPr>
        <a:xfrm>
          <a:off x="1745252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7" name="13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8" name="14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9" name="15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0" name="16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1" name="5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2" name="6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3" name="7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4" name="8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5" name="9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6" name="10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7" name="11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8" name="12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9" name="1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0" name="2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1" name="3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2" name="4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5" name="1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6" name="2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7" name="3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8" name="4 Rectángulo"/>
        <xdr:cNvSpPr/>
      </xdr:nvSpPr>
      <xdr:spPr>
        <a:xfrm>
          <a:off x="1745252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0" name="89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1" name="90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2" name="91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3" name="92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4" name="5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5" name="6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6" name="7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7" name="8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8" name="9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9" name="10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0" name="11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1" name="12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2" name="1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3" name="2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4" name="3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5" name="4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7" name="1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8" name="2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9" name="3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00" name="4 Rectángulo"/>
        <xdr:cNvSpPr/>
      </xdr:nvSpPr>
      <xdr:spPr>
        <a:xfrm>
          <a:off x="1745252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113393</xdr:colOff>
      <xdr:row>33</xdr:row>
      <xdr:rowOff>111883</xdr:rowOff>
    </xdr:from>
    <xdr:to>
      <xdr:col>24</xdr:col>
      <xdr:colOff>562428</xdr:colOff>
      <xdr:row>33</xdr:row>
      <xdr:rowOff>811893</xdr:rowOff>
    </xdr:to>
    <xdr:cxnSp macro="">
      <xdr:nvCxnSpPr>
        <xdr:cNvPr id="96" name="28 Conector recto"/>
        <xdr:cNvCxnSpPr/>
      </xdr:nvCxnSpPr>
      <xdr:spPr>
        <a:xfrm flipV="1">
          <a:off x="18766518" y="8954258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117929</xdr:colOff>
      <xdr:row>32</xdr:row>
      <xdr:rowOff>113393</xdr:rowOff>
    </xdr:from>
    <xdr:to>
      <xdr:col>24</xdr:col>
      <xdr:colOff>566965</xdr:colOff>
      <xdr:row>32</xdr:row>
      <xdr:rowOff>802822</xdr:rowOff>
    </xdr:to>
    <xdr:cxnSp macro="">
      <xdr:nvCxnSpPr>
        <xdr:cNvPr id="102" name="25 Conector recto"/>
        <xdr:cNvCxnSpPr/>
      </xdr:nvCxnSpPr>
      <xdr:spPr>
        <a:xfrm>
          <a:off x="20623893" y="76472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127000</xdr:colOff>
      <xdr:row>32</xdr:row>
      <xdr:rowOff>498230</xdr:rowOff>
    </xdr:from>
    <xdr:to>
      <xdr:col>24</xdr:col>
      <xdr:colOff>361461</xdr:colOff>
      <xdr:row>32</xdr:row>
      <xdr:rowOff>807358</xdr:rowOff>
    </xdr:to>
    <xdr:cxnSp macro="">
      <xdr:nvCxnSpPr>
        <xdr:cNvPr id="103" name="26 Conector recto"/>
        <xdr:cNvCxnSpPr/>
      </xdr:nvCxnSpPr>
      <xdr:spPr>
        <a:xfrm flipV="1">
          <a:off x="20632964" y="8032051"/>
          <a:ext cx="234461" cy="3091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1" name="1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4" name="2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5" name="3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6" name="4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07" name="5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08" name="6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09" name="7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10" name="8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11" name="9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12" name="10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13" name="11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14" name="12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5" name="77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6" name="78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7" name="79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8" name="80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9" name="5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0" name="6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1" name="7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2" name="8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3" name="9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4" name="10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5" name="11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6" name="12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7" name="1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8" name="2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9" name="3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0" name="4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1" name="1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2" name="2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3" name="3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34" name="4 Rectángulo"/>
        <xdr:cNvSpPr/>
      </xdr:nvSpPr>
      <xdr:spPr>
        <a:xfrm>
          <a:off x="17976396" y="7669326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5" name="13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6" name="14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7" name="15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8" name="16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9" name="5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0" name="6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1" name="7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2" name="8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3" name="9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4" name="10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5" name="11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6" name="12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7" name="1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8" name="2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9" name="3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0" name="4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1" name="1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2" name="2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3" name="3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54" name="4 Rectángulo"/>
        <xdr:cNvSpPr/>
      </xdr:nvSpPr>
      <xdr:spPr>
        <a:xfrm>
          <a:off x="17976396" y="8592060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5" name="89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6" name="90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7" name="91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8" name="92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59" name="5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0" name="6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1" name="7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2" name="8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3" name="9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4" name="10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5" name="11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6" name="12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7" name="1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8" name="2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69" name="3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70" name="4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71" name="1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72" name="2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73" name="3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174" name="4 Rectángulo"/>
        <xdr:cNvSpPr/>
      </xdr:nvSpPr>
      <xdr:spPr>
        <a:xfrm>
          <a:off x="17976396" y="9514795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36</xdr:row>
      <xdr:rowOff>130735</xdr:rowOff>
    </xdr:from>
    <xdr:to>
      <xdr:col>24</xdr:col>
      <xdr:colOff>579770</xdr:colOff>
      <xdr:row>36</xdr:row>
      <xdr:rowOff>830745</xdr:rowOff>
    </xdr:to>
    <xdr:cxnSp macro="">
      <xdr:nvCxnSpPr>
        <xdr:cNvPr id="175" name="28 Conector recto"/>
        <xdr:cNvCxnSpPr/>
      </xdr:nvCxnSpPr>
      <xdr:spPr>
        <a:xfrm flipV="1">
          <a:off x="18190882" y="11542059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121690</xdr:colOff>
      <xdr:row>39</xdr:row>
      <xdr:rowOff>120530</xdr:rowOff>
    </xdr:from>
    <xdr:to>
      <xdr:col>24</xdr:col>
      <xdr:colOff>570725</xdr:colOff>
      <xdr:row>39</xdr:row>
      <xdr:rowOff>820540</xdr:rowOff>
    </xdr:to>
    <xdr:cxnSp macro="">
      <xdr:nvCxnSpPr>
        <xdr:cNvPr id="176" name="28 Conector recto"/>
        <xdr:cNvCxnSpPr/>
      </xdr:nvCxnSpPr>
      <xdr:spPr>
        <a:xfrm flipV="1">
          <a:off x="18181837" y="12465677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128701</xdr:rowOff>
    </xdr:from>
    <xdr:to>
      <xdr:col>24</xdr:col>
      <xdr:colOff>566056</xdr:colOff>
      <xdr:row>35</xdr:row>
      <xdr:rowOff>828711</xdr:rowOff>
    </xdr:to>
    <xdr:cxnSp macro="">
      <xdr:nvCxnSpPr>
        <xdr:cNvPr id="177" name="28 Conector recto"/>
        <xdr:cNvCxnSpPr/>
      </xdr:nvCxnSpPr>
      <xdr:spPr>
        <a:xfrm flipV="1">
          <a:off x="18770146" y="10812576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113393</xdr:colOff>
      <xdr:row>35</xdr:row>
      <xdr:rowOff>122464</xdr:rowOff>
    </xdr:from>
    <xdr:to>
      <xdr:col>24</xdr:col>
      <xdr:colOff>562429</xdr:colOff>
      <xdr:row>35</xdr:row>
      <xdr:rowOff>811893</xdr:rowOff>
    </xdr:to>
    <xdr:cxnSp macro="">
      <xdr:nvCxnSpPr>
        <xdr:cNvPr id="178" name="25 Conector recto"/>
        <xdr:cNvCxnSpPr/>
      </xdr:nvCxnSpPr>
      <xdr:spPr>
        <a:xfrm>
          <a:off x="18766518" y="10806339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36</xdr:row>
      <xdr:rowOff>131989</xdr:rowOff>
    </xdr:from>
    <xdr:to>
      <xdr:col>24</xdr:col>
      <xdr:colOff>571954</xdr:colOff>
      <xdr:row>36</xdr:row>
      <xdr:rowOff>821418</xdr:rowOff>
    </xdr:to>
    <xdr:cxnSp macro="">
      <xdr:nvCxnSpPr>
        <xdr:cNvPr id="179" name="25 Conector recto"/>
        <xdr:cNvCxnSpPr/>
      </xdr:nvCxnSpPr>
      <xdr:spPr>
        <a:xfrm>
          <a:off x="18776043" y="11752489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107043</xdr:colOff>
      <xdr:row>34</xdr:row>
      <xdr:rowOff>121408</xdr:rowOff>
    </xdr:from>
    <xdr:to>
      <xdr:col>24</xdr:col>
      <xdr:colOff>556078</xdr:colOff>
      <xdr:row>34</xdr:row>
      <xdr:rowOff>821418</xdr:rowOff>
    </xdr:to>
    <xdr:cxnSp macro="">
      <xdr:nvCxnSpPr>
        <xdr:cNvPr id="180" name="28 Conector recto"/>
        <xdr:cNvCxnSpPr/>
      </xdr:nvCxnSpPr>
      <xdr:spPr>
        <a:xfrm flipV="1">
          <a:off x="18760168" y="988453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1" name="5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2" name="6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3" name="7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4" name="8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5" name="13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6" name="14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7" name="15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8" name="16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89" name="5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0" name="6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1" name="7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2" name="8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3" name="9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4" name="10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5" name="11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6" name="12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7" name="1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8" name="2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199" name="3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200" name="4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201" name="1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202" name="2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203" name="3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204" name="4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37</xdr:row>
      <xdr:rowOff>130735</xdr:rowOff>
    </xdr:from>
    <xdr:to>
      <xdr:col>24</xdr:col>
      <xdr:colOff>579770</xdr:colOff>
      <xdr:row>37</xdr:row>
      <xdr:rowOff>830745</xdr:rowOff>
    </xdr:to>
    <xdr:cxnSp macro="">
      <xdr:nvCxnSpPr>
        <xdr:cNvPr id="205" name="28 Conector recto"/>
        <xdr:cNvCxnSpPr/>
      </xdr:nvCxnSpPr>
      <xdr:spPr>
        <a:xfrm flipV="1">
          <a:off x="20442798" y="117036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37</xdr:row>
      <xdr:rowOff>131989</xdr:rowOff>
    </xdr:from>
    <xdr:to>
      <xdr:col>24</xdr:col>
      <xdr:colOff>571954</xdr:colOff>
      <xdr:row>37</xdr:row>
      <xdr:rowOff>821418</xdr:rowOff>
    </xdr:to>
    <xdr:cxnSp macro="">
      <xdr:nvCxnSpPr>
        <xdr:cNvPr id="206" name="25 Conector recto"/>
        <xdr:cNvCxnSpPr/>
      </xdr:nvCxnSpPr>
      <xdr:spPr>
        <a:xfrm>
          <a:off x="20434981" y="117048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7" name="5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8" name="6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09" name="7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0" name="8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1" name="13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2" name="14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3" name="15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4" name="16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5" name="5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6" name="6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7" name="7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8" name="8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19" name="9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20" name="10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21" name="11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22" name="12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23" name="1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24" name="2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25" name="3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26" name="4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27" name="1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28" name="2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29" name="3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30" name="4 Rectángulo"/>
        <xdr:cNvSpPr/>
      </xdr:nvSpPr>
      <xdr:spPr>
        <a:xfrm>
          <a:off x="20429084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38</xdr:row>
      <xdr:rowOff>130735</xdr:rowOff>
    </xdr:from>
    <xdr:to>
      <xdr:col>24</xdr:col>
      <xdr:colOff>579770</xdr:colOff>
      <xdr:row>38</xdr:row>
      <xdr:rowOff>830745</xdr:rowOff>
    </xdr:to>
    <xdr:cxnSp macro="">
      <xdr:nvCxnSpPr>
        <xdr:cNvPr id="231" name="28 Conector recto"/>
        <xdr:cNvCxnSpPr/>
      </xdr:nvCxnSpPr>
      <xdr:spPr>
        <a:xfrm flipV="1">
          <a:off x="20442798" y="117036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38</xdr:row>
      <xdr:rowOff>131989</xdr:rowOff>
    </xdr:from>
    <xdr:to>
      <xdr:col>24</xdr:col>
      <xdr:colOff>571954</xdr:colOff>
      <xdr:row>38</xdr:row>
      <xdr:rowOff>821418</xdr:rowOff>
    </xdr:to>
    <xdr:cxnSp macro="">
      <xdr:nvCxnSpPr>
        <xdr:cNvPr id="232" name="25 Conector recto"/>
        <xdr:cNvCxnSpPr/>
      </xdr:nvCxnSpPr>
      <xdr:spPr>
        <a:xfrm>
          <a:off x="20434981" y="117048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3" name="5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4" name="6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5" name="7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6" name="8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7" name="13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8" name="14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39" name="15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0" name="16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1" name="5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2" name="6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3" name="7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4" name="8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5" name="9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6" name="10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7" name="11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8" name="12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49" name="1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50" name="2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51" name="3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52" name="4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53" name="1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54" name="2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55" name="3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56" name="4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39</xdr:row>
      <xdr:rowOff>130735</xdr:rowOff>
    </xdr:from>
    <xdr:to>
      <xdr:col>24</xdr:col>
      <xdr:colOff>579770</xdr:colOff>
      <xdr:row>39</xdr:row>
      <xdr:rowOff>830745</xdr:rowOff>
    </xdr:to>
    <xdr:cxnSp macro="">
      <xdr:nvCxnSpPr>
        <xdr:cNvPr id="257" name="28 Conector recto"/>
        <xdr:cNvCxnSpPr/>
      </xdr:nvCxnSpPr>
      <xdr:spPr>
        <a:xfrm flipV="1">
          <a:off x="21200035" y="13541935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39</xdr:row>
      <xdr:rowOff>131989</xdr:rowOff>
    </xdr:from>
    <xdr:to>
      <xdr:col>24</xdr:col>
      <xdr:colOff>571954</xdr:colOff>
      <xdr:row>39</xdr:row>
      <xdr:rowOff>821418</xdr:rowOff>
    </xdr:to>
    <xdr:cxnSp macro="">
      <xdr:nvCxnSpPr>
        <xdr:cNvPr id="258" name="25 Conector recto"/>
        <xdr:cNvCxnSpPr/>
      </xdr:nvCxnSpPr>
      <xdr:spPr>
        <a:xfrm>
          <a:off x="21192218" y="13543189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59" name="5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60" name="6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61" name="7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62" name="8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63" name="13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64" name="14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65" name="15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66" name="16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67" name="5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68" name="6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69" name="7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70" name="8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71" name="9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72" name="10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73" name="11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74" name="12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75" name="1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76" name="2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77" name="3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78" name="4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79" name="1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80" name="2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81" name="3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282" name="4 Rectángulo"/>
        <xdr:cNvSpPr/>
      </xdr:nvSpPr>
      <xdr:spPr>
        <a:xfrm>
          <a:off x="21186321" y="135200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39</xdr:row>
      <xdr:rowOff>130735</xdr:rowOff>
    </xdr:from>
    <xdr:to>
      <xdr:col>24</xdr:col>
      <xdr:colOff>579770</xdr:colOff>
      <xdr:row>39</xdr:row>
      <xdr:rowOff>830745</xdr:rowOff>
    </xdr:to>
    <xdr:cxnSp macro="">
      <xdr:nvCxnSpPr>
        <xdr:cNvPr id="283" name="28 Conector recto"/>
        <xdr:cNvCxnSpPr/>
      </xdr:nvCxnSpPr>
      <xdr:spPr>
        <a:xfrm flipV="1">
          <a:off x="21200035" y="13541935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39</xdr:row>
      <xdr:rowOff>131989</xdr:rowOff>
    </xdr:from>
    <xdr:to>
      <xdr:col>24</xdr:col>
      <xdr:colOff>571954</xdr:colOff>
      <xdr:row>39</xdr:row>
      <xdr:rowOff>821418</xdr:rowOff>
    </xdr:to>
    <xdr:cxnSp macro="">
      <xdr:nvCxnSpPr>
        <xdr:cNvPr id="284" name="25 Conector recto"/>
        <xdr:cNvCxnSpPr/>
      </xdr:nvCxnSpPr>
      <xdr:spPr>
        <a:xfrm>
          <a:off x="21192218" y="13543189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85" name="5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86" name="6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87" name="7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88" name="8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89" name="13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90" name="14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91" name="15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92" name="16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93" name="5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94" name="6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95" name="7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96" name="8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97" name="9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98" name="10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299" name="11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00" name="12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01" name="1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02" name="2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03" name="3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04" name="4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05" name="1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06" name="2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07" name="3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08" name="4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40</xdr:row>
      <xdr:rowOff>130735</xdr:rowOff>
    </xdr:from>
    <xdr:to>
      <xdr:col>24</xdr:col>
      <xdr:colOff>579770</xdr:colOff>
      <xdr:row>40</xdr:row>
      <xdr:rowOff>830745</xdr:rowOff>
    </xdr:to>
    <xdr:cxnSp macro="">
      <xdr:nvCxnSpPr>
        <xdr:cNvPr id="309" name="28 Conector recto"/>
        <xdr:cNvCxnSpPr/>
      </xdr:nvCxnSpPr>
      <xdr:spPr>
        <a:xfrm flipV="1">
          <a:off x="21200035" y="15504085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40</xdr:row>
      <xdr:rowOff>131989</xdr:rowOff>
    </xdr:from>
    <xdr:to>
      <xdr:col>24</xdr:col>
      <xdr:colOff>571954</xdr:colOff>
      <xdr:row>40</xdr:row>
      <xdr:rowOff>821418</xdr:rowOff>
    </xdr:to>
    <xdr:cxnSp macro="">
      <xdr:nvCxnSpPr>
        <xdr:cNvPr id="310" name="25 Conector recto"/>
        <xdr:cNvCxnSpPr/>
      </xdr:nvCxnSpPr>
      <xdr:spPr>
        <a:xfrm>
          <a:off x="21192218" y="15505339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11" name="5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12" name="6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13" name="7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14" name="8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15" name="13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16" name="14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17" name="15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18" name="16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19" name="5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20" name="6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21" name="7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22" name="8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23" name="9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24" name="10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25" name="11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26" name="12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27" name="1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28" name="2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29" name="3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30" name="4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31" name="1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32" name="2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33" name="3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334" name="4 Rectángulo"/>
        <xdr:cNvSpPr/>
      </xdr:nvSpPr>
      <xdr:spPr>
        <a:xfrm>
          <a:off x="21186321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40</xdr:row>
      <xdr:rowOff>130735</xdr:rowOff>
    </xdr:from>
    <xdr:to>
      <xdr:col>24</xdr:col>
      <xdr:colOff>579770</xdr:colOff>
      <xdr:row>40</xdr:row>
      <xdr:rowOff>830745</xdr:rowOff>
    </xdr:to>
    <xdr:cxnSp macro="">
      <xdr:nvCxnSpPr>
        <xdr:cNvPr id="335" name="28 Conector recto"/>
        <xdr:cNvCxnSpPr/>
      </xdr:nvCxnSpPr>
      <xdr:spPr>
        <a:xfrm flipV="1">
          <a:off x="21200035" y="15504085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40</xdr:row>
      <xdr:rowOff>131989</xdr:rowOff>
    </xdr:from>
    <xdr:to>
      <xdr:col>24</xdr:col>
      <xdr:colOff>571954</xdr:colOff>
      <xdr:row>40</xdr:row>
      <xdr:rowOff>821418</xdr:rowOff>
    </xdr:to>
    <xdr:cxnSp macro="">
      <xdr:nvCxnSpPr>
        <xdr:cNvPr id="336" name="25 Conector recto"/>
        <xdr:cNvCxnSpPr/>
      </xdr:nvCxnSpPr>
      <xdr:spPr>
        <a:xfrm>
          <a:off x="21192218" y="15505339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37" name="5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38" name="6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39" name="7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40" name="8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41" name="13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42" name="14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43" name="15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44" name="16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45" name="5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46" name="6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47" name="7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48" name="8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49" name="9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50" name="10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51" name="11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52" name="12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53" name="1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54" name="2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55" name="3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56" name="4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57" name="1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58" name="2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59" name="3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60" name="4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41</xdr:row>
      <xdr:rowOff>130735</xdr:rowOff>
    </xdr:from>
    <xdr:to>
      <xdr:col>24</xdr:col>
      <xdr:colOff>579770</xdr:colOff>
      <xdr:row>41</xdr:row>
      <xdr:rowOff>830745</xdr:rowOff>
    </xdr:to>
    <xdr:cxnSp macro="">
      <xdr:nvCxnSpPr>
        <xdr:cNvPr id="361" name="28 Conector recto"/>
        <xdr:cNvCxnSpPr/>
      </xdr:nvCxnSpPr>
      <xdr:spPr>
        <a:xfrm flipV="1">
          <a:off x="21200035" y="163899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41</xdr:row>
      <xdr:rowOff>131989</xdr:rowOff>
    </xdr:from>
    <xdr:to>
      <xdr:col>24</xdr:col>
      <xdr:colOff>571954</xdr:colOff>
      <xdr:row>41</xdr:row>
      <xdr:rowOff>821418</xdr:rowOff>
    </xdr:to>
    <xdr:cxnSp macro="">
      <xdr:nvCxnSpPr>
        <xdr:cNvPr id="362" name="25 Conector recto"/>
        <xdr:cNvCxnSpPr/>
      </xdr:nvCxnSpPr>
      <xdr:spPr>
        <a:xfrm>
          <a:off x="21192218" y="163911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63" name="5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64" name="6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65" name="7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66" name="8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67" name="13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68" name="14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69" name="15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70" name="16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71" name="5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72" name="6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73" name="7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74" name="8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75" name="9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76" name="10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77" name="11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78" name="12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79" name="1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80" name="2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81" name="3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82" name="4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83" name="1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84" name="2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85" name="3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386" name="4 Rectángulo"/>
        <xdr:cNvSpPr/>
      </xdr:nvSpPr>
      <xdr:spPr>
        <a:xfrm>
          <a:off x="21186321" y="163680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41</xdr:row>
      <xdr:rowOff>130735</xdr:rowOff>
    </xdr:from>
    <xdr:to>
      <xdr:col>24</xdr:col>
      <xdr:colOff>579770</xdr:colOff>
      <xdr:row>41</xdr:row>
      <xdr:rowOff>830745</xdr:rowOff>
    </xdr:to>
    <xdr:cxnSp macro="">
      <xdr:nvCxnSpPr>
        <xdr:cNvPr id="387" name="28 Conector recto"/>
        <xdr:cNvCxnSpPr/>
      </xdr:nvCxnSpPr>
      <xdr:spPr>
        <a:xfrm flipV="1">
          <a:off x="21200035" y="163899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41</xdr:row>
      <xdr:rowOff>131989</xdr:rowOff>
    </xdr:from>
    <xdr:to>
      <xdr:col>24</xdr:col>
      <xdr:colOff>571954</xdr:colOff>
      <xdr:row>41</xdr:row>
      <xdr:rowOff>821418</xdr:rowOff>
    </xdr:to>
    <xdr:cxnSp macro="">
      <xdr:nvCxnSpPr>
        <xdr:cNvPr id="388" name="25 Conector recto"/>
        <xdr:cNvCxnSpPr/>
      </xdr:nvCxnSpPr>
      <xdr:spPr>
        <a:xfrm>
          <a:off x="21192218" y="163911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89" name="5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90" name="6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91" name="7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92" name="8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93" name="13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94" name="14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95" name="15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96" name="16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97" name="5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98" name="6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399" name="7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00" name="8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01" name="9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02" name="10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03" name="11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04" name="12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05" name="1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06" name="2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07" name="3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08" name="4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09" name="1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10" name="2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11" name="3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12" name="4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42</xdr:row>
      <xdr:rowOff>130735</xdr:rowOff>
    </xdr:from>
    <xdr:to>
      <xdr:col>24</xdr:col>
      <xdr:colOff>579770</xdr:colOff>
      <xdr:row>42</xdr:row>
      <xdr:rowOff>830745</xdr:rowOff>
    </xdr:to>
    <xdr:cxnSp macro="">
      <xdr:nvCxnSpPr>
        <xdr:cNvPr id="413" name="28 Conector recto"/>
        <xdr:cNvCxnSpPr/>
      </xdr:nvCxnSpPr>
      <xdr:spPr>
        <a:xfrm flipV="1">
          <a:off x="21200035" y="17370985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42</xdr:row>
      <xdr:rowOff>131989</xdr:rowOff>
    </xdr:from>
    <xdr:to>
      <xdr:col>24</xdr:col>
      <xdr:colOff>571954</xdr:colOff>
      <xdr:row>42</xdr:row>
      <xdr:rowOff>821418</xdr:rowOff>
    </xdr:to>
    <xdr:cxnSp macro="">
      <xdr:nvCxnSpPr>
        <xdr:cNvPr id="414" name="25 Conector recto"/>
        <xdr:cNvCxnSpPr/>
      </xdr:nvCxnSpPr>
      <xdr:spPr>
        <a:xfrm>
          <a:off x="21192218" y="17372239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15" name="5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16" name="6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17" name="7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18" name="8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19" name="13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20" name="14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21" name="15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22" name="16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23" name="5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24" name="6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25" name="7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26" name="8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27" name="9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28" name="10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29" name="11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30" name="12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31" name="1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32" name="2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33" name="3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34" name="4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35" name="1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36" name="2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37" name="3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438" name="4 Rectángulo"/>
        <xdr:cNvSpPr/>
      </xdr:nvSpPr>
      <xdr:spPr>
        <a:xfrm>
          <a:off x="21186321" y="173491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42</xdr:row>
      <xdr:rowOff>130735</xdr:rowOff>
    </xdr:from>
    <xdr:to>
      <xdr:col>24</xdr:col>
      <xdr:colOff>579770</xdr:colOff>
      <xdr:row>42</xdr:row>
      <xdr:rowOff>830745</xdr:rowOff>
    </xdr:to>
    <xdr:cxnSp macro="">
      <xdr:nvCxnSpPr>
        <xdr:cNvPr id="439" name="28 Conector recto"/>
        <xdr:cNvCxnSpPr/>
      </xdr:nvCxnSpPr>
      <xdr:spPr>
        <a:xfrm flipV="1">
          <a:off x="21200035" y="17370985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42</xdr:row>
      <xdr:rowOff>131989</xdr:rowOff>
    </xdr:from>
    <xdr:to>
      <xdr:col>24</xdr:col>
      <xdr:colOff>571954</xdr:colOff>
      <xdr:row>42</xdr:row>
      <xdr:rowOff>821418</xdr:rowOff>
    </xdr:to>
    <xdr:cxnSp macro="">
      <xdr:nvCxnSpPr>
        <xdr:cNvPr id="440" name="25 Conector recto"/>
        <xdr:cNvCxnSpPr/>
      </xdr:nvCxnSpPr>
      <xdr:spPr>
        <a:xfrm>
          <a:off x="21192218" y="17372239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41" name="5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42" name="6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43" name="7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44" name="8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45" name="13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46" name="14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47" name="15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48" name="16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49" name="5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50" name="6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51" name="7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52" name="8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53" name="9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54" name="10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55" name="11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56" name="12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57" name="1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58" name="2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59" name="3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60" name="4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61" name="1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62" name="2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63" name="3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64" name="4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43</xdr:row>
      <xdr:rowOff>130735</xdr:rowOff>
    </xdr:from>
    <xdr:to>
      <xdr:col>24</xdr:col>
      <xdr:colOff>579770</xdr:colOff>
      <xdr:row>43</xdr:row>
      <xdr:rowOff>830745</xdr:rowOff>
    </xdr:to>
    <xdr:cxnSp macro="">
      <xdr:nvCxnSpPr>
        <xdr:cNvPr id="465" name="28 Conector recto"/>
        <xdr:cNvCxnSpPr/>
      </xdr:nvCxnSpPr>
      <xdr:spPr>
        <a:xfrm flipV="1">
          <a:off x="21200035" y="182568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43</xdr:row>
      <xdr:rowOff>131989</xdr:rowOff>
    </xdr:from>
    <xdr:to>
      <xdr:col>24</xdr:col>
      <xdr:colOff>571954</xdr:colOff>
      <xdr:row>43</xdr:row>
      <xdr:rowOff>821418</xdr:rowOff>
    </xdr:to>
    <xdr:cxnSp macro="">
      <xdr:nvCxnSpPr>
        <xdr:cNvPr id="466" name="25 Conector recto"/>
        <xdr:cNvCxnSpPr/>
      </xdr:nvCxnSpPr>
      <xdr:spPr>
        <a:xfrm>
          <a:off x="21192218" y="182580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67" name="5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68" name="6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69" name="7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70" name="8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71" name="13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72" name="14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73" name="15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74" name="16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75" name="5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76" name="6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77" name="7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78" name="8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79" name="9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80" name="10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81" name="11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82" name="12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83" name="1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84" name="2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85" name="3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86" name="4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87" name="1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88" name="2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89" name="3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490" name="4 Rectángulo"/>
        <xdr:cNvSpPr/>
      </xdr:nvSpPr>
      <xdr:spPr>
        <a:xfrm>
          <a:off x="21186321" y="18234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43</xdr:row>
      <xdr:rowOff>130735</xdr:rowOff>
    </xdr:from>
    <xdr:to>
      <xdr:col>24</xdr:col>
      <xdr:colOff>579770</xdr:colOff>
      <xdr:row>43</xdr:row>
      <xdr:rowOff>830745</xdr:rowOff>
    </xdr:to>
    <xdr:cxnSp macro="">
      <xdr:nvCxnSpPr>
        <xdr:cNvPr id="491" name="28 Conector recto"/>
        <xdr:cNvCxnSpPr/>
      </xdr:nvCxnSpPr>
      <xdr:spPr>
        <a:xfrm flipV="1">
          <a:off x="21200035" y="182568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43</xdr:row>
      <xdr:rowOff>131989</xdr:rowOff>
    </xdr:from>
    <xdr:to>
      <xdr:col>24</xdr:col>
      <xdr:colOff>571954</xdr:colOff>
      <xdr:row>43</xdr:row>
      <xdr:rowOff>821418</xdr:rowOff>
    </xdr:to>
    <xdr:cxnSp macro="">
      <xdr:nvCxnSpPr>
        <xdr:cNvPr id="492" name="25 Conector recto"/>
        <xdr:cNvCxnSpPr/>
      </xdr:nvCxnSpPr>
      <xdr:spPr>
        <a:xfrm>
          <a:off x="21192218" y="182580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493" name="5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494" name="6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495" name="7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496" name="8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497" name="13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498" name="14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499" name="15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00" name="16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01" name="5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02" name="6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03" name="7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04" name="8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05" name="9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06" name="10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07" name="11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08" name="12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09" name="1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10" name="2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11" name="3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12" name="4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13" name="1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14" name="2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15" name="3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16" name="4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44</xdr:row>
      <xdr:rowOff>130735</xdr:rowOff>
    </xdr:from>
    <xdr:to>
      <xdr:col>24</xdr:col>
      <xdr:colOff>579770</xdr:colOff>
      <xdr:row>44</xdr:row>
      <xdr:rowOff>830745</xdr:rowOff>
    </xdr:to>
    <xdr:cxnSp macro="">
      <xdr:nvCxnSpPr>
        <xdr:cNvPr id="517" name="28 Conector recto"/>
        <xdr:cNvCxnSpPr/>
      </xdr:nvCxnSpPr>
      <xdr:spPr>
        <a:xfrm flipV="1">
          <a:off x="21200035" y="192855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44</xdr:row>
      <xdr:rowOff>131989</xdr:rowOff>
    </xdr:from>
    <xdr:to>
      <xdr:col>24</xdr:col>
      <xdr:colOff>571954</xdr:colOff>
      <xdr:row>44</xdr:row>
      <xdr:rowOff>821418</xdr:rowOff>
    </xdr:to>
    <xdr:cxnSp macro="">
      <xdr:nvCxnSpPr>
        <xdr:cNvPr id="518" name="25 Conector recto"/>
        <xdr:cNvCxnSpPr/>
      </xdr:nvCxnSpPr>
      <xdr:spPr>
        <a:xfrm>
          <a:off x="21192218" y="192867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19" name="5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20" name="6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21" name="7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22" name="8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23" name="13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24" name="14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25" name="15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26" name="16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27" name="5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28" name="6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29" name="7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30" name="8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31" name="9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32" name="10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33" name="11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34" name="12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35" name="1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36" name="2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37" name="3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38" name="4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39" name="1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40" name="2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41" name="3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44</xdr:row>
      <xdr:rowOff>108857</xdr:rowOff>
    </xdr:from>
    <xdr:to>
      <xdr:col>24</xdr:col>
      <xdr:colOff>568284</xdr:colOff>
      <xdr:row>44</xdr:row>
      <xdr:rowOff>816428</xdr:rowOff>
    </xdr:to>
    <xdr:sp macro="" textlink="">
      <xdr:nvSpPr>
        <xdr:cNvPr id="542" name="4 Rectángulo"/>
        <xdr:cNvSpPr/>
      </xdr:nvSpPr>
      <xdr:spPr>
        <a:xfrm>
          <a:off x="21186321" y="192636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44</xdr:row>
      <xdr:rowOff>130735</xdr:rowOff>
    </xdr:from>
    <xdr:to>
      <xdr:col>24</xdr:col>
      <xdr:colOff>579770</xdr:colOff>
      <xdr:row>44</xdr:row>
      <xdr:rowOff>830745</xdr:rowOff>
    </xdr:to>
    <xdr:cxnSp macro="">
      <xdr:nvCxnSpPr>
        <xdr:cNvPr id="543" name="28 Conector recto"/>
        <xdr:cNvCxnSpPr/>
      </xdr:nvCxnSpPr>
      <xdr:spPr>
        <a:xfrm flipV="1">
          <a:off x="21200035" y="192855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44</xdr:row>
      <xdr:rowOff>131989</xdr:rowOff>
    </xdr:from>
    <xdr:to>
      <xdr:col>24</xdr:col>
      <xdr:colOff>571954</xdr:colOff>
      <xdr:row>44</xdr:row>
      <xdr:rowOff>821418</xdr:rowOff>
    </xdr:to>
    <xdr:cxnSp macro="">
      <xdr:nvCxnSpPr>
        <xdr:cNvPr id="544" name="25 Conector recto"/>
        <xdr:cNvCxnSpPr/>
      </xdr:nvCxnSpPr>
      <xdr:spPr>
        <a:xfrm>
          <a:off x="21192218" y="192867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333374</xdr:colOff>
      <xdr:row>10</xdr:row>
      <xdr:rowOff>161925</xdr:rowOff>
    </xdr:from>
    <xdr:to>
      <xdr:col>12</xdr:col>
      <xdr:colOff>209549</xdr:colOff>
      <xdr:row>26</xdr:row>
      <xdr:rowOff>161925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2" name="1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" name="2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" name="3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" name="4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" name="5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" name="6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8" name="7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9" name="8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0" name="10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1" name="1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2" name="1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7</xdr:col>
      <xdr:colOff>451514</xdr:colOff>
      <xdr:row>19</xdr:row>
      <xdr:rowOff>2357</xdr:rowOff>
    </xdr:from>
    <xdr:to>
      <xdr:col>9</xdr:col>
      <xdr:colOff>72988</xdr:colOff>
      <xdr:row>24</xdr:row>
      <xdr:rowOff>165642</xdr:rowOff>
    </xdr:to>
    <xdr:sp macro="" textlink="">
      <xdr:nvSpPr>
        <xdr:cNvPr id="13" name="17 Rectángulo"/>
        <xdr:cNvSpPr/>
      </xdr:nvSpPr>
      <xdr:spPr>
        <a:xfrm>
          <a:off x="6347489" y="4326707"/>
          <a:ext cx="1126424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7</xdr:col>
      <xdr:colOff>453831</xdr:colOff>
      <xdr:row>19</xdr:row>
      <xdr:rowOff>7567</xdr:rowOff>
    </xdr:from>
    <xdr:to>
      <xdr:col>9</xdr:col>
      <xdr:colOff>69813</xdr:colOff>
      <xdr:row>24</xdr:row>
      <xdr:rowOff>169695</xdr:rowOff>
    </xdr:to>
    <xdr:cxnSp macro="">
      <xdr:nvCxnSpPr>
        <xdr:cNvPr id="14" name="18 Conector recto"/>
        <xdr:cNvCxnSpPr/>
      </xdr:nvCxnSpPr>
      <xdr:spPr>
        <a:xfrm>
          <a:off x="6349806" y="4331917"/>
          <a:ext cx="1120932" cy="11146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7</xdr:col>
      <xdr:colOff>463346</xdr:colOff>
      <xdr:row>19</xdr:row>
      <xdr:rowOff>7567</xdr:rowOff>
    </xdr:from>
    <xdr:to>
      <xdr:col>9</xdr:col>
      <xdr:colOff>77821</xdr:colOff>
      <xdr:row>24</xdr:row>
      <xdr:rowOff>165642</xdr:rowOff>
    </xdr:to>
    <xdr:cxnSp macro="">
      <xdr:nvCxnSpPr>
        <xdr:cNvPr id="15" name="19 Conector recto"/>
        <xdr:cNvCxnSpPr/>
      </xdr:nvCxnSpPr>
      <xdr:spPr>
        <a:xfrm flipV="1">
          <a:off x="6359321" y="4331917"/>
          <a:ext cx="1119425" cy="111057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9</xdr:col>
      <xdr:colOff>458381</xdr:colOff>
      <xdr:row>19</xdr:row>
      <xdr:rowOff>5079</xdr:rowOff>
    </xdr:from>
    <xdr:to>
      <xdr:col>11</xdr:col>
      <xdr:colOff>80510</xdr:colOff>
      <xdr:row>24</xdr:row>
      <xdr:rowOff>168364</xdr:rowOff>
    </xdr:to>
    <xdr:sp macro="" textlink="">
      <xdr:nvSpPr>
        <xdr:cNvPr id="16" name="20 Rectángulo"/>
        <xdr:cNvSpPr/>
      </xdr:nvSpPr>
      <xdr:spPr>
        <a:xfrm>
          <a:off x="7859306" y="4329429"/>
          <a:ext cx="1212804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10</xdr:col>
      <xdr:colOff>280128</xdr:colOff>
      <xdr:row>22</xdr:row>
      <xdr:rowOff>2357</xdr:rowOff>
    </xdr:from>
    <xdr:to>
      <xdr:col>11</xdr:col>
      <xdr:colOff>75471</xdr:colOff>
      <xdr:row>24</xdr:row>
      <xdr:rowOff>165642</xdr:rowOff>
    </xdr:to>
    <xdr:cxnSp macro="">
      <xdr:nvCxnSpPr>
        <xdr:cNvPr id="17" name="21 Conector recto"/>
        <xdr:cNvCxnSpPr/>
      </xdr:nvCxnSpPr>
      <xdr:spPr>
        <a:xfrm>
          <a:off x="8481153" y="4898207"/>
          <a:ext cx="585918" cy="5442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9</xdr:col>
      <xdr:colOff>471989</xdr:colOff>
      <xdr:row>21</xdr:row>
      <xdr:rowOff>179250</xdr:rowOff>
    </xdr:from>
    <xdr:to>
      <xdr:col>10</xdr:col>
      <xdr:colOff>280476</xdr:colOff>
      <xdr:row>24</xdr:row>
      <xdr:rowOff>168364</xdr:rowOff>
    </xdr:to>
    <xdr:cxnSp macro="">
      <xdr:nvCxnSpPr>
        <xdr:cNvPr id="18" name="22 Conector recto"/>
        <xdr:cNvCxnSpPr/>
      </xdr:nvCxnSpPr>
      <xdr:spPr>
        <a:xfrm flipV="1">
          <a:off x="7872914" y="4884600"/>
          <a:ext cx="608587" cy="560614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10</xdr:col>
      <xdr:colOff>265190</xdr:colOff>
      <xdr:row>19</xdr:row>
      <xdr:rowOff>5079</xdr:rowOff>
    </xdr:from>
    <xdr:to>
      <xdr:col>10</xdr:col>
      <xdr:colOff>277813</xdr:colOff>
      <xdr:row>22</xdr:row>
      <xdr:rowOff>7567</xdr:rowOff>
    </xdr:to>
    <xdr:cxnSp macro="">
      <xdr:nvCxnSpPr>
        <xdr:cNvPr id="19" name="23 Conector recto"/>
        <xdr:cNvCxnSpPr/>
      </xdr:nvCxnSpPr>
      <xdr:spPr>
        <a:xfrm>
          <a:off x="8466215" y="4329429"/>
          <a:ext cx="12623" cy="57398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11</xdr:col>
      <xdr:colOff>471760</xdr:colOff>
      <xdr:row>19</xdr:row>
      <xdr:rowOff>7801</xdr:rowOff>
    </xdr:from>
    <xdr:to>
      <xdr:col>13</xdr:col>
      <xdr:colOff>95131</xdr:colOff>
      <xdr:row>24</xdr:row>
      <xdr:rowOff>171086</xdr:rowOff>
    </xdr:to>
    <xdr:sp macro="" textlink="">
      <xdr:nvSpPr>
        <xdr:cNvPr id="20" name="24 Rectángulo"/>
        <xdr:cNvSpPr/>
      </xdr:nvSpPr>
      <xdr:spPr>
        <a:xfrm>
          <a:off x="9463360" y="4332151"/>
          <a:ext cx="880671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11</xdr:col>
      <xdr:colOff>471819</xdr:colOff>
      <xdr:row>18</xdr:row>
      <xdr:rowOff>189961</xdr:rowOff>
    </xdr:from>
    <xdr:to>
      <xdr:col>13</xdr:col>
      <xdr:colOff>89964</xdr:colOff>
      <xdr:row>24</xdr:row>
      <xdr:rowOff>173748</xdr:rowOff>
    </xdr:to>
    <xdr:cxnSp macro="">
      <xdr:nvCxnSpPr>
        <xdr:cNvPr id="21" name="25 Conector recto"/>
        <xdr:cNvCxnSpPr/>
      </xdr:nvCxnSpPr>
      <xdr:spPr>
        <a:xfrm>
          <a:off x="9463419" y="4323811"/>
          <a:ext cx="875445" cy="1126787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11</xdr:col>
      <xdr:colOff>475843</xdr:colOff>
      <xdr:row>21</xdr:row>
      <xdr:rowOff>181972</xdr:rowOff>
    </xdr:from>
    <xdr:to>
      <xdr:col>12</xdr:col>
      <xdr:colOff>283673</xdr:colOff>
      <xdr:row>24</xdr:row>
      <xdr:rowOff>171086</xdr:rowOff>
    </xdr:to>
    <xdr:cxnSp macro="">
      <xdr:nvCxnSpPr>
        <xdr:cNvPr id="22" name="26 Conector recto"/>
        <xdr:cNvCxnSpPr/>
      </xdr:nvCxnSpPr>
      <xdr:spPr>
        <a:xfrm flipV="1">
          <a:off x="9467443" y="4887322"/>
          <a:ext cx="436480" cy="560614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13</xdr:col>
      <xdr:colOff>467980</xdr:colOff>
      <xdr:row>19</xdr:row>
      <xdr:rowOff>10523</xdr:rowOff>
    </xdr:from>
    <xdr:to>
      <xdr:col>15</xdr:col>
      <xdr:colOff>91350</xdr:colOff>
      <xdr:row>24</xdr:row>
      <xdr:rowOff>173808</xdr:rowOff>
    </xdr:to>
    <xdr:sp macro="" textlink="">
      <xdr:nvSpPr>
        <xdr:cNvPr id="23" name="27 Rectángulo"/>
        <xdr:cNvSpPr/>
      </xdr:nvSpPr>
      <xdr:spPr>
        <a:xfrm>
          <a:off x="10716880" y="4334873"/>
          <a:ext cx="880670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13</xdr:col>
      <xdr:colOff>466185</xdr:colOff>
      <xdr:row>19</xdr:row>
      <xdr:rowOff>169695</xdr:rowOff>
    </xdr:from>
    <xdr:to>
      <xdr:col>15</xdr:col>
      <xdr:colOff>90831</xdr:colOff>
      <xdr:row>24</xdr:row>
      <xdr:rowOff>72418</xdr:rowOff>
    </xdr:to>
    <xdr:cxnSp macro="">
      <xdr:nvCxnSpPr>
        <xdr:cNvPr id="24" name="28 Conector recto"/>
        <xdr:cNvCxnSpPr/>
      </xdr:nvCxnSpPr>
      <xdr:spPr>
        <a:xfrm flipV="1">
          <a:off x="10715085" y="4494045"/>
          <a:ext cx="881946" cy="855223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15</xdr:col>
      <xdr:colOff>435429</xdr:colOff>
      <xdr:row>19</xdr:row>
      <xdr:rowOff>2596</xdr:rowOff>
    </xdr:from>
    <xdr:to>
      <xdr:col>17</xdr:col>
      <xdr:colOff>163287</xdr:colOff>
      <xdr:row>24</xdr:row>
      <xdr:rowOff>165881</xdr:rowOff>
    </xdr:to>
    <xdr:sp macro="" textlink="">
      <xdr:nvSpPr>
        <xdr:cNvPr id="25" name="29 Rectángulo"/>
        <xdr:cNvSpPr/>
      </xdr:nvSpPr>
      <xdr:spPr>
        <a:xfrm>
          <a:off x="11941629" y="4326946"/>
          <a:ext cx="1394733" cy="111578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16</xdr:col>
      <xdr:colOff>244771</xdr:colOff>
      <xdr:row>19</xdr:row>
      <xdr:rowOff>5316</xdr:rowOff>
    </xdr:from>
    <xdr:to>
      <xdr:col>16</xdr:col>
      <xdr:colOff>258378</xdr:colOff>
      <xdr:row>24</xdr:row>
      <xdr:rowOff>168601</xdr:rowOff>
    </xdr:to>
    <xdr:cxnSp macro="">
      <xdr:nvCxnSpPr>
        <xdr:cNvPr id="26" name="30 Conector recto"/>
        <xdr:cNvCxnSpPr/>
      </xdr:nvCxnSpPr>
      <xdr:spPr>
        <a:xfrm flipV="1">
          <a:off x="12789196" y="4329666"/>
          <a:ext cx="13607" cy="11157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16</xdr:col>
      <xdr:colOff>350907</xdr:colOff>
      <xdr:row>19</xdr:row>
      <xdr:rowOff>8038</xdr:rowOff>
    </xdr:from>
    <xdr:to>
      <xdr:col>16</xdr:col>
      <xdr:colOff>364514</xdr:colOff>
      <xdr:row>24</xdr:row>
      <xdr:rowOff>171323</xdr:rowOff>
    </xdr:to>
    <xdr:cxnSp macro="">
      <xdr:nvCxnSpPr>
        <xdr:cNvPr id="27" name="31 Conector recto"/>
        <xdr:cNvCxnSpPr/>
      </xdr:nvCxnSpPr>
      <xdr:spPr>
        <a:xfrm flipV="1">
          <a:off x="12895332" y="4332388"/>
          <a:ext cx="13607" cy="11157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28" name="33 Rectángulo"/>
        <xdr:cNvSpPr/>
      </xdr:nvSpPr>
      <xdr:spPr>
        <a:xfrm>
          <a:off x="1994807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29" name="34 Rectángulo"/>
        <xdr:cNvSpPr/>
      </xdr:nvSpPr>
      <xdr:spPr>
        <a:xfrm>
          <a:off x="1994807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30" name="35 Rectángulo"/>
        <xdr:cNvSpPr/>
      </xdr:nvSpPr>
      <xdr:spPr>
        <a:xfrm>
          <a:off x="1994807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25</xdr:col>
      <xdr:colOff>117021</xdr:colOff>
      <xdr:row>31</xdr:row>
      <xdr:rowOff>108857</xdr:rowOff>
    </xdr:from>
    <xdr:to>
      <xdr:col>25</xdr:col>
      <xdr:colOff>568284</xdr:colOff>
      <xdr:row>31</xdr:row>
      <xdr:rowOff>283028</xdr:rowOff>
    </xdr:to>
    <xdr:sp macro="" textlink="">
      <xdr:nvSpPr>
        <xdr:cNvPr id="31" name="36 Rectángulo"/>
        <xdr:cNvSpPr/>
      </xdr:nvSpPr>
      <xdr:spPr>
        <a:xfrm>
          <a:off x="19948071" y="7839075"/>
          <a:ext cx="451263" cy="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2" name="77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3" name="78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" name="79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5" name="80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6" name="5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7" name="6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8" name="7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9" name="8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0" name="9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1" name="10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2" name="11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3" name="12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4" name="1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5" name="2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6" name="3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7" name="4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8" name="1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49" name="2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0" name="3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51" name="4 Rectángulo"/>
        <xdr:cNvSpPr/>
      </xdr:nvSpPr>
      <xdr:spPr>
        <a:xfrm>
          <a:off x="190717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2" name="13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3" name="14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4" name="15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5" name="16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6" name="5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7" name="6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8" name="7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59" name="8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0" name="9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1" name="10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2" name="11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3" name="12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4" name="1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5" name="2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6" name="3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7" name="4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8" name="1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69" name="2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0" name="3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71" name="4 Rectángulo"/>
        <xdr:cNvSpPr/>
      </xdr:nvSpPr>
      <xdr:spPr>
        <a:xfrm>
          <a:off x="190717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2" name="89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3" name="90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4" name="9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5" name="9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6" name="5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7" name="6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8" name="7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79" name="8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0" name="9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1" name="10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2" name="1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3" name="1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4" name="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5" name="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6" name="3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7" name="4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8" name="1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89" name="2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0" name="3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91" name="4 Rectángulo"/>
        <xdr:cNvSpPr/>
      </xdr:nvSpPr>
      <xdr:spPr>
        <a:xfrm>
          <a:off x="190717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113393</xdr:colOff>
      <xdr:row>33</xdr:row>
      <xdr:rowOff>111883</xdr:rowOff>
    </xdr:from>
    <xdr:to>
      <xdr:col>24</xdr:col>
      <xdr:colOff>562428</xdr:colOff>
      <xdr:row>33</xdr:row>
      <xdr:rowOff>811893</xdr:rowOff>
    </xdr:to>
    <xdr:cxnSp macro="">
      <xdr:nvCxnSpPr>
        <xdr:cNvPr id="92" name="28 Conector recto"/>
        <xdr:cNvCxnSpPr/>
      </xdr:nvCxnSpPr>
      <xdr:spPr>
        <a:xfrm flipV="1">
          <a:off x="19068143" y="887488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117929</xdr:colOff>
      <xdr:row>32</xdr:row>
      <xdr:rowOff>113393</xdr:rowOff>
    </xdr:from>
    <xdr:to>
      <xdr:col>24</xdr:col>
      <xdr:colOff>566965</xdr:colOff>
      <xdr:row>32</xdr:row>
      <xdr:rowOff>802822</xdr:rowOff>
    </xdr:to>
    <xdr:cxnSp macro="">
      <xdr:nvCxnSpPr>
        <xdr:cNvPr id="93" name="25 Conector recto"/>
        <xdr:cNvCxnSpPr/>
      </xdr:nvCxnSpPr>
      <xdr:spPr>
        <a:xfrm>
          <a:off x="19072679" y="7952468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127000</xdr:colOff>
      <xdr:row>32</xdr:row>
      <xdr:rowOff>498230</xdr:rowOff>
    </xdr:from>
    <xdr:to>
      <xdr:col>24</xdr:col>
      <xdr:colOff>361461</xdr:colOff>
      <xdr:row>32</xdr:row>
      <xdr:rowOff>807358</xdr:rowOff>
    </xdr:to>
    <xdr:cxnSp macro="">
      <xdr:nvCxnSpPr>
        <xdr:cNvPr id="94" name="26 Conector recto"/>
        <xdr:cNvCxnSpPr/>
      </xdr:nvCxnSpPr>
      <xdr:spPr>
        <a:xfrm flipV="1">
          <a:off x="19081750" y="8337305"/>
          <a:ext cx="234461" cy="3091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95" name="1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96" name="2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97" name="3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98" name="4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99" name="5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00" name="6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01" name="7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02" name="8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03" name="9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04" name="10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05" name="11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06" name="12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7" name="77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8" name="78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09" name="79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0" name="80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1" name="5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2" name="6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3" name="7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4" name="8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5" name="9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6" name="10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7" name="11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8" name="12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19" name="1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0" name="2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1" name="3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2" name="4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3" name="1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4" name="2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5" name="3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126" name="4 Rectángulo"/>
        <xdr:cNvSpPr/>
      </xdr:nvSpPr>
      <xdr:spPr>
        <a:xfrm>
          <a:off x="190717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27" name="13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28" name="14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29" name="15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0" name="16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1" name="5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2" name="6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3" name="7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4" name="8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5" name="9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6" name="10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7" name="11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8" name="12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39" name="1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0" name="2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1" name="3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2" name="4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3" name="1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4" name="2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5" name="3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146" name="4 Rectángulo"/>
        <xdr:cNvSpPr/>
      </xdr:nvSpPr>
      <xdr:spPr>
        <a:xfrm>
          <a:off x="190717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47" name="89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48" name="90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49" name="91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50" name="92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51" name="5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52" name="6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53" name="7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54" name="8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55" name="9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56" name="10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57" name="11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58" name="12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59" name="1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60" name="2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61" name="3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62" name="4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63" name="1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64" name="2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65" name="3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166" name="4 Rectángulo"/>
        <xdr:cNvSpPr/>
      </xdr:nvSpPr>
      <xdr:spPr>
        <a:xfrm>
          <a:off x="190717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36</xdr:row>
      <xdr:rowOff>130735</xdr:rowOff>
    </xdr:from>
    <xdr:to>
      <xdr:col>24</xdr:col>
      <xdr:colOff>579770</xdr:colOff>
      <xdr:row>36</xdr:row>
      <xdr:rowOff>830745</xdr:rowOff>
    </xdr:to>
    <xdr:cxnSp macro="">
      <xdr:nvCxnSpPr>
        <xdr:cNvPr id="167" name="28 Conector recto"/>
        <xdr:cNvCxnSpPr/>
      </xdr:nvCxnSpPr>
      <xdr:spPr>
        <a:xfrm flipV="1">
          <a:off x="19085485" y="1168456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121690</xdr:colOff>
      <xdr:row>38</xdr:row>
      <xdr:rowOff>120530</xdr:rowOff>
    </xdr:from>
    <xdr:to>
      <xdr:col>24</xdr:col>
      <xdr:colOff>570725</xdr:colOff>
      <xdr:row>38</xdr:row>
      <xdr:rowOff>820540</xdr:rowOff>
    </xdr:to>
    <xdr:cxnSp macro="">
      <xdr:nvCxnSpPr>
        <xdr:cNvPr id="168" name="28 Conector recto"/>
        <xdr:cNvCxnSpPr/>
      </xdr:nvCxnSpPr>
      <xdr:spPr>
        <a:xfrm flipV="1">
          <a:off x="19076440" y="1454138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128701</xdr:rowOff>
    </xdr:from>
    <xdr:to>
      <xdr:col>24</xdr:col>
      <xdr:colOff>566056</xdr:colOff>
      <xdr:row>35</xdr:row>
      <xdr:rowOff>828711</xdr:rowOff>
    </xdr:to>
    <xdr:cxnSp macro="">
      <xdr:nvCxnSpPr>
        <xdr:cNvPr id="169" name="28 Conector recto"/>
        <xdr:cNvCxnSpPr/>
      </xdr:nvCxnSpPr>
      <xdr:spPr>
        <a:xfrm flipV="1">
          <a:off x="19071771" y="1073955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113393</xdr:colOff>
      <xdr:row>35</xdr:row>
      <xdr:rowOff>122464</xdr:rowOff>
    </xdr:from>
    <xdr:to>
      <xdr:col>24</xdr:col>
      <xdr:colOff>562429</xdr:colOff>
      <xdr:row>35</xdr:row>
      <xdr:rowOff>811893</xdr:rowOff>
    </xdr:to>
    <xdr:cxnSp macro="">
      <xdr:nvCxnSpPr>
        <xdr:cNvPr id="170" name="25 Conector recto"/>
        <xdr:cNvCxnSpPr/>
      </xdr:nvCxnSpPr>
      <xdr:spPr>
        <a:xfrm>
          <a:off x="19068143" y="107333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36</xdr:row>
      <xdr:rowOff>131989</xdr:rowOff>
    </xdr:from>
    <xdr:to>
      <xdr:col>24</xdr:col>
      <xdr:colOff>571954</xdr:colOff>
      <xdr:row>36</xdr:row>
      <xdr:rowOff>821418</xdr:rowOff>
    </xdr:to>
    <xdr:cxnSp macro="">
      <xdr:nvCxnSpPr>
        <xdr:cNvPr id="171" name="25 Conector recto"/>
        <xdr:cNvCxnSpPr/>
      </xdr:nvCxnSpPr>
      <xdr:spPr>
        <a:xfrm>
          <a:off x="19077668" y="116858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107043</xdr:colOff>
      <xdr:row>34</xdr:row>
      <xdr:rowOff>121408</xdr:rowOff>
    </xdr:from>
    <xdr:to>
      <xdr:col>24</xdr:col>
      <xdr:colOff>556078</xdr:colOff>
      <xdr:row>34</xdr:row>
      <xdr:rowOff>821418</xdr:rowOff>
    </xdr:to>
    <xdr:cxnSp macro="">
      <xdr:nvCxnSpPr>
        <xdr:cNvPr id="172" name="28 Conector recto"/>
        <xdr:cNvCxnSpPr/>
      </xdr:nvCxnSpPr>
      <xdr:spPr>
        <a:xfrm flipV="1">
          <a:off x="19061793" y="980833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73" name="1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74" name="2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75" name="3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76" name="4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177" name="5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178" name="6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179" name="7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180" name="8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81" name="10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82" name="11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183" name="12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84" name="77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85" name="78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86" name="79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87" name="80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88" name="5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89" name="6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0" name="7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1" name="8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2" name="9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3" name="10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4" name="11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5" name="12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6" name="1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7" name="2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8" name="3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199" name="4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200" name="1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201" name="2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202" name="3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203" name="4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04" name="13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05" name="14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06" name="15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07" name="16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08" name="5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09" name="6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0" name="7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1" name="8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2" name="9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3" name="10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4" name="11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5" name="12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6" name="1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7" name="2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8" name="3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19" name="4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20" name="1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21" name="2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22" name="3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223" name="4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24" name="89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25" name="90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26" name="91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27" name="92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28" name="5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29" name="6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0" name="7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1" name="8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2" name="9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3" name="10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4" name="11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5" name="12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6" name="1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7" name="2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8" name="3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39" name="4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40" name="1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41" name="2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42" name="3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243" name="4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113393</xdr:colOff>
      <xdr:row>33</xdr:row>
      <xdr:rowOff>111883</xdr:rowOff>
    </xdr:from>
    <xdr:to>
      <xdr:col>24</xdr:col>
      <xdr:colOff>562428</xdr:colOff>
      <xdr:row>33</xdr:row>
      <xdr:rowOff>811893</xdr:rowOff>
    </xdr:to>
    <xdr:cxnSp macro="">
      <xdr:nvCxnSpPr>
        <xdr:cNvPr id="244" name="28 Conector recto"/>
        <xdr:cNvCxnSpPr/>
      </xdr:nvCxnSpPr>
      <xdr:spPr>
        <a:xfrm flipV="1">
          <a:off x="20134943" y="887488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117929</xdr:colOff>
      <xdr:row>32</xdr:row>
      <xdr:rowOff>113393</xdr:rowOff>
    </xdr:from>
    <xdr:to>
      <xdr:col>24</xdr:col>
      <xdr:colOff>566965</xdr:colOff>
      <xdr:row>32</xdr:row>
      <xdr:rowOff>802822</xdr:rowOff>
    </xdr:to>
    <xdr:cxnSp macro="">
      <xdr:nvCxnSpPr>
        <xdr:cNvPr id="245" name="25 Conector recto"/>
        <xdr:cNvCxnSpPr/>
      </xdr:nvCxnSpPr>
      <xdr:spPr>
        <a:xfrm>
          <a:off x="20139479" y="7952468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127000</xdr:colOff>
      <xdr:row>32</xdr:row>
      <xdr:rowOff>498230</xdr:rowOff>
    </xdr:from>
    <xdr:to>
      <xdr:col>24</xdr:col>
      <xdr:colOff>361461</xdr:colOff>
      <xdr:row>32</xdr:row>
      <xdr:rowOff>807358</xdr:rowOff>
    </xdr:to>
    <xdr:cxnSp macro="">
      <xdr:nvCxnSpPr>
        <xdr:cNvPr id="246" name="26 Conector recto"/>
        <xdr:cNvCxnSpPr/>
      </xdr:nvCxnSpPr>
      <xdr:spPr>
        <a:xfrm flipV="1">
          <a:off x="20148550" y="8337305"/>
          <a:ext cx="234461" cy="3091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47" name="1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48" name="2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49" name="3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50" name="4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51" name="5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52" name="6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53" name="7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54" name="8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55" name="9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56" name="10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57" name="11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58" name="12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59" name="77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0" name="78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1" name="79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2" name="80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3" name="5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4" name="6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5" name="7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6" name="8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7" name="9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8" name="10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69" name="11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0" name="12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1" name="1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2" name="2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3" name="3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4" name="4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5" name="1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6" name="2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7" name="3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278" name="4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79" name="13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0" name="14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1" name="15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2" name="16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3" name="5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4" name="6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5" name="7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6" name="8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7" name="9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8" name="10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89" name="11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0" name="12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1" name="1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2" name="2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3" name="3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4" name="4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5" name="1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6" name="2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7" name="3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298" name="4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299" name="89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00" name="90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01" name="91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02" name="92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03" name="5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04" name="6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05" name="7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06" name="8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07" name="9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08" name="10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09" name="11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10" name="12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11" name="1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12" name="2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13" name="3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14" name="4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15" name="1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16" name="2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17" name="3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318" name="4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36</xdr:row>
      <xdr:rowOff>130735</xdr:rowOff>
    </xdr:from>
    <xdr:to>
      <xdr:col>24</xdr:col>
      <xdr:colOff>579770</xdr:colOff>
      <xdr:row>36</xdr:row>
      <xdr:rowOff>830745</xdr:rowOff>
    </xdr:to>
    <xdr:cxnSp macro="">
      <xdr:nvCxnSpPr>
        <xdr:cNvPr id="319" name="28 Conector recto"/>
        <xdr:cNvCxnSpPr/>
      </xdr:nvCxnSpPr>
      <xdr:spPr>
        <a:xfrm flipV="1">
          <a:off x="20152285" y="1168456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121690</xdr:colOff>
      <xdr:row>38</xdr:row>
      <xdr:rowOff>120530</xdr:rowOff>
    </xdr:from>
    <xdr:to>
      <xdr:col>24</xdr:col>
      <xdr:colOff>570725</xdr:colOff>
      <xdr:row>38</xdr:row>
      <xdr:rowOff>820540</xdr:rowOff>
    </xdr:to>
    <xdr:cxnSp macro="">
      <xdr:nvCxnSpPr>
        <xdr:cNvPr id="320" name="28 Conector recto"/>
        <xdr:cNvCxnSpPr/>
      </xdr:nvCxnSpPr>
      <xdr:spPr>
        <a:xfrm flipV="1">
          <a:off x="20143240" y="1454138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128701</xdr:rowOff>
    </xdr:from>
    <xdr:to>
      <xdr:col>24</xdr:col>
      <xdr:colOff>566056</xdr:colOff>
      <xdr:row>35</xdr:row>
      <xdr:rowOff>828711</xdr:rowOff>
    </xdr:to>
    <xdr:cxnSp macro="">
      <xdr:nvCxnSpPr>
        <xdr:cNvPr id="321" name="28 Conector recto"/>
        <xdr:cNvCxnSpPr/>
      </xdr:nvCxnSpPr>
      <xdr:spPr>
        <a:xfrm flipV="1">
          <a:off x="20138571" y="1073955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113393</xdr:colOff>
      <xdr:row>35</xdr:row>
      <xdr:rowOff>122464</xdr:rowOff>
    </xdr:from>
    <xdr:to>
      <xdr:col>24</xdr:col>
      <xdr:colOff>562429</xdr:colOff>
      <xdr:row>35</xdr:row>
      <xdr:rowOff>811893</xdr:rowOff>
    </xdr:to>
    <xdr:cxnSp macro="">
      <xdr:nvCxnSpPr>
        <xdr:cNvPr id="322" name="25 Conector recto"/>
        <xdr:cNvCxnSpPr/>
      </xdr:nvCxnSpPr>
      <xdr:spPr>
        <a:xfrm>
          <a:off x="20134943" y="107333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36</xdr:row>
      <xdr:rowOff>131989</xdr:rowOff>
    </xdr:from>
    <xdr:to>
      <xdr:col>24</xdr:col>
      <xdr:colOff>571954</xdr:colOff>
      <xdr:row>36</xdr:row>
      <xdr:rowOff>821418</xdr:rowOff>
    </xdr:to>
    <xdr:cxnSp macro="">
      <xdr:nvCxnSpPr>
        <xdr:cNvPr id="323" name="25 Conector recto"/>
        <xdr:cNvCxnSpPr/>
      </xdr:nvCxnSpPr>
      <xdr:spPr>
        <a:xfrm>
          <a:off x="20144468" y="116858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107043</xdr:colOff>
      <xdr:row>34</xdr:row>
      <xdr:rowOff>121408</xdr:rowOff>
    </xdr:from>
    <xdr:to>
      <xdr:col>24</xdr:col>
      <xdr:colOff>556078</xdr:colOff>
      <xdr:row>34</xdr:row>
      <xdr:rowOff>821418</xdr:rowOff>
    </xdr:to>
    <xdr:cxnSp macro="">
      <xdr:nvCxnSpPr>
        <xdr:cNvPr id="324" name="28 Conector recto"/>
        <xdr:cNvCxnSpPr/>
      </xdr:nvCxnSpPr>
      <xdr:spPr>
        <a:xfrm flipV="1">
          <a:off x="20128593" y="980833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25" name="1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26" name="2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27" name="3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28" name="4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29" name="5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30" name="6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31" name="7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32" name="8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33" name="10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34" name="11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35" name="12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36" name="77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37" name="78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38" name="79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39" name="80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0" name="5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1" name="6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2" name="7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3" name="8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4" name="9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5" name="10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6" name="11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7" name="12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8" name="1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49" name="2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50" name="3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51" name="4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52" name="1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53" name="2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54" name="3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32</xdr:row>
      <xdr:rowOff>108857</xdr:rowOff>
    </xdr:from>
    <xdr:to>
      <xdr:col>24</xdr:col>
      <xdr:colOff>568284</xdr:colOff>
      <xdr:row>32</xdr:row>
      <xdr:rowOff>816428</xdr:rowOff>
    </xdr:to>
    <xdr:sp macro="" textlink="">
      <xdr:nvSpPr>
        <xdr:cNvPr id="355" name="4 Rectángulo"/>
        <xdr:cNvSpPr/>
      </xdr:nvSpPr>
      <xdr:spPr>
        <a:xfrm>
          <a:off x="20138571" y="79479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56" name="13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57" name="14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58" name="15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59" name="16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60" name="5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61" name="6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62" name="7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63" name="8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64" name="9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65" name="10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66" name="11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67" name="12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68" name="1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69" name="2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70" name="3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71" name="4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72" name="1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73" name="2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74" name="3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33</xdr:row>
      <xdr:rowOff>108857</xdr:rowOff>
    </xdr:from>
    <xdr:to>
      <xdr:col>24</xdr:col>
      <xdr:colOff>568284</xdr:colOff>
      <xdr:row>33</xdr:row>
      <xdr:rowOff>816428</xdr:rowOff>
    </xdr:to>
    <xdr:sp macro="" textlink="">
      <xdr:nvSpPr>
        <xdr:cNvPr id="375" name="4 Rectángulo"/>
        <xdr:cNvSpPr/>
      </xdr:nvSpPr>
      <xdr:spPr>
        <a:xfrm>
          <a:off x="20138571" y="88718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76" name="89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77" name="90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78" name="91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79" name="92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80" name="5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81" name="6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82" name="7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83" name="8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84" name="9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85" name="10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86" name="11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87" name="12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88" name="1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89" name="2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90" name="3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91" name="4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92" name="1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93" name="2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94" name="3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34</xdr:row>
      <xdr:rowOff>108857</xdr:rowOff>
    </xdr:from>
    <xdr:to>
      <xdr:col>24</xdr:col>
      <xdr:colOff>568284</xdr:colOff>
      <xdr:row>34</xdr:row>
      <xdr:rowOff>816428</xdr:rowOff>
    </xdr:to>
    <xdr:sp macro="" textlink="">
      <xdr:nvSpPr>
        <xdr:cNvPr id="395" name="4 Rectángulo"/>
        <xdr:cNvSpPr/>
      </xdr:nvSpPr>
      <xdr:spPr>
        <a:xfrm>
          <a:off x="20138571" y="97957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113393</xdr:colOff>
      <xdr:row>33</xdr:row>
      <xdr:rowOff>111883</xdr:rowOff>
    </xdr:from>
    <xdr:to>
      <xdr:col>24</xdr:col>
      <xdr:colOff>562428</xdr:colOff>
      <xdr:row>33</xdr:row>
      <xdr:rowOff>811893</xdr:rowOff>
    </xdr:to>
    <xdr:cxnSp macro="">
      <xdr:nvCxnSpPr>
        <xdr:cNvPr id="396" name="28 Conector recto"/>
        <xdr:cNvCxnSpPr/>
      </xdr:nvCxnSpPr>
      <xdr:spPr>
        <a:xfrm flipV="1">
          <a:off x="20134943" y="887488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117929</xdr:colOff>
      <xdr:row>32</xdr:row>
      <xdr:rowOff>113393</xdr:rowOff>
    </xdr:from>
    <xdr:to>
      <xdr:col>24</xdr:col>
      <xdr:colOff>566965</xdr:colOff>
      <xdr:row>32</xdr:row>
      <xdr:rowOff>802822</xdr:rowOff>
    </xdr:to>
    <xdr:cxnSp macro="">
      <xdr:nvCxnSpPr>
        <xdr:cNvPr id="397" name="25 Conector recto"/>
        <xdr:cNvCxnSpPr/>
      </xdr:nvCxnSpPr>
      <xdr:spPr>
        <a:xfrm>
          <a:off x="20139479" y="7952468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127000</xdr:colOff>
      <xdr:row>32</xdr:row>
      <xdr:rowOff>498230</xdr:rowOff>
    </xdr:from>
    <xdr:to>
      <xdr:col>24</xdr:col>
      <xdr:colOff>361461</xdr:colOff>
      <xdr:row>32</xdr:row>
      <xdr:rowOff>807358</xdr:rowOff>
    </xdr:to>
    <xdr:cxnSp macro="">
      <xdr:nvCxnSpPr>
        <xdr:cNvPr id="398" name="26 Conector recto"/>
        <xdr:cNvCxnSpPr/>
      </xdr:nvCxnSpPr>
      <xdr:spPr>
        <a:xfrm flipV="1">
          <a:off x="20148550" y="8337305"/>
          <a:ext cx="234461" cy="309128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399" name="1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00" name="2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01" name="3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02" name="4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03" name="5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04" name="6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05" name="7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06" name="8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07" name="9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08" name="10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09" name="11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10" name="12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11" name="77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12" name="78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13" name="79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14" name="80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15" name="5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16" name="6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17" name="7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18" name="8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19" name="9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20" name="10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21" name="11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22" name="12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23" name="1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24" name="2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25" name="3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26" name="4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27" name="1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28" name="2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29" name="3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35</xdr:row>
      <xdr:rowOff>108857</xdr:rowOff>
    </xdr:from>
    <xdr:to>
      <xdr:col>24</xdr:col>
      <xdr:colOff>568284</xdr:colOff>
      <xdr:row>35</xdr:row>
      <xdr:rowOff>816428</xdr:rowOff>
    </xdr:to>
    <xdr:sp macro="" textlink="">
      <xdr:nvSpPr>
        <xdr:cNvPr id="430" name="4 Rectángulo"/>
        <xdr:cNvSpPr/>
      </xdr:nvSpPr>
      <xdr:spPr>
        <a:xfrm>
          <a:off x="20138571" y="1071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31" name="13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32" name="14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33" name="15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34" name="16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35" name="5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36" name="6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37" name="7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38" name="8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39" name="9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40" name="10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41" name="11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42" name="12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43" name="1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44" name="2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45" name="3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46" name="4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47" name="1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48" name="2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49" name="3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36</xdr:row>
      <xdr:rowOff>108857</xdr:rowOff>
    </xdr:from>
    <xdr:to>
      <xdr:col>24</xdr:col>
      <xdr:colOff>568284</xdr:colOff>
      <xdr:row>36</xdr:row>
      <xdr:rowOff>816428</xdr:rowOff>
    </xdr:to>
    <xdr:sp macro="" textlink="">
      <xdr:nvSpPr>
        <xdr:cNvPr id="450" name="4 Rectángulo"/>
        <xdr:cNvSpPr/>
      </xdr:nvSpPr>
      <xdr:spPr>
        <a:xfrm>
          <a:off x="20138571" y="11662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51" name="89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52" name="90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53" name="91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54" name="92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55" name="5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56" name="6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57" name="7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58" name="8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59" name="9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60" name="10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61" name="11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62" name="12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63" name="1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64" name="2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65" name="3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66" name="4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67" name="1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68" name="2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69" name="3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470" name="4 Rectángulo"/>
        <xdr:cNvSpPr/>
      </xdr:nvSpPr>
      <xdr:spPr>
        <a:xfrm>
          <a:off x="20138571" y="145297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36</xdr:row>
      <xdr:rowOff>130735</xdr:rowOff>
    </xdr:from>
    <xdr:to>
      <xdr:col>24</xdr:col>
      <xdr:colOff>579770</xdr:colOff>
      <xdr:row>36</xdr:row>
      <xdr:rowOff>830745</xdr:rowOff>
    </xdr:to>
    <xdr:cxnSp macro="">
      <xdr:nvCxnSpPr>
        <xdr:cNvPr id="471" name="28 Conector recto"/>
        <xdr:cNvCxnSpPr/>
      </xdr:nvCxnSpPr>
      <xdr:spPr>
        <a:xfrm flipV="1">
          <a:off x="20152285" y="1168456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121690</xdr:colOff>
      <xdr:row>38</xdr:row>
      <xdr:rowOff>120530</xdr:rowOff>
    </xdr:from>
    <xdr:to>
      <xdr:col>24</xdr:col>
      <xdr:colOff>570725</xdr:colOff>
      <xdr:row>38</xdr:row>
      <xdr:rowOff>820540</xdr:rowOff>
    </xdr:to>
    <xdr:cxnSp macro="">
      <xdr:nvCxnSpPr>
        <xdr:cNvPr id="472" name="28 Conector recto"/>
        <xdr:cNvCxnSpPr/>
      </xdr:nvCxnSpPr>
      <xdr:spPr>
        <a:xfrm flipV="1">
          <a:off x="20143240" y="1454138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35</xdr:row>
      <xdr:rowOff>128701</xdr:rowOff>
    </xdr:from>
    <xdr:to>
      <xdr:col>24</xdr:col>
      <xdr:colOff>566056</xdr:colOff>
      <xdr:row>35</xdr:row>
      <xdr:rowOff>828711</xdr:rowOff>
    </xdr:to>
    <xdr:cxnSp macro="">
      <xdr:nvCxnSpPr>
        <xdr:cNvPr id="473" name="28 Conector recto"/>
        <xdr:cNvCxnSpPr/>
      </xdr:nvCxnSpPr>
      <xdr:spPr>
        <a:xfrm flipV="1">
          <a:off x="20138571" y="10739551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113393</xdr:colOff>
      <xdr:row>35</xdr:row>
      <xdr:rowOff>122464</xdr:rowOff>
    </xdr:from>
    <xdr:to>
      <xdr:col>24</xdr:col>
      <xdr:colOff>562429</xdr:colOff>
      <xdr:row>35</xdr:row>
      <xdr:rowOff>811893</xdr:rowOff>
    </xdr:to>
    <xdr:cxnSp macro="">
      <xdr:nvCxnSpPr>
        <xdr:cNvPr id="474" name="25 Conector recto"/>
        <xdr:cNvCxnSpPr/>
      </xdr:nvCxnSpPr>
      <xdr:spPr>
        <a:xfrm>
          <a:off x="20134943" y="107333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36</xdr:row>
      <xdr:rowOff>131989</xdr:rowOff>
    </xdr:from>
    <xdr:to>
      <xdr:col>24</xdr:col>
      <xdr:colOff>571954</xdr:colOff>
      <xdr:row>36</xdr:row>
      <xdr:rowOff>821418</xdr:rowOff>
    </xdr:to>
    <xdr:cxnSp macro="">
      <xdr:nvCxnSpPr>
        <xdr:cNvPr id="475" name="25 Conector recto"/>
        <xdr:cNvCxnSpPr/>
      </xdr:nvCxnSpPr>
      <xdr:spPr>
        <a:xfrm>
          <a:off x="20144468" y="116858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107043</xdr:colOff>
      <xdr:row>34</xdr:row>
      <xdr:rowOff>121408</xdr:rowOff>
    </xdr:from>
    <xdr:to>
      <xdr:col>24</xdr:col>
      <xdr:colOff>556078</xdr:colOff>
      <xdr:row>34</xdr:row>
      <xdr:rowOff>821418</xdr:rowOff>
    </xdr:to>
    <xdr:cxnSp macro="">
      <xdr:nvCxnSpPr>
        <xdr:cNvPr id="476" name="28 Conector recto"/>
        <xdr:cNvCxnSpPr/>
      </xdr:nvCxnSpPr>
      <xdr:spPr>
        <a:xfrm flipV="1">
          <a:off x="20128593" y="9808333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77" name="5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78" name="6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79" name="7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80" name="8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81" name="13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82" name="14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83" name="15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84" name="16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85" name="5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86" name="6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87" name="7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88" name="8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89" name="9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90" name="10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91" name="11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92" name="12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93" name="1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94" name="2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95" name="3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96" name="4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97" name="1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98" name="2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499" name="3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00" name="4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39</xdr:row>
      <xdr:rowOff>130735</xdr:rowOff>
    </xdr:from>
    <xdr:to>
      <xdr:col>24</xdr:col>
      <xdr:colOff>579770</xdr:colOff>
      <xdr:row>39</xdr:row>
      <xdr:rowOff>830745</xdr:rowOff>
    </xdr:to>
    <xdr:cxnSp macro="">
      <xdr:nvCxnSpPr>
        <xdr:cNvPr id="501" name="28 Conector recto"/>
        <xdr:cNvCxnSpPr/>
      </xdr:nvCxnSpPr>
      <xdr:spPr>
        <a:xfrm flipV="1">
          <a:off x="20485660" y="15504085"/>
          <a:ext cx="449035" cy="6904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39</xdr:row>
      <xdr:rowOff>131989</xdr:rowOff>
    </xdr:from>
    <xdr:to>
      <xdr:col>24</xdr:col>
      <xdr:colOff>571954</xdr:colOff>
      <xdr:row>39</xdr:row>
      <xdr:rowOff>821418</xdr:rowOff>
    </xdr:to>
    <xdr:cxnSp macro="">
      <xdr:nvCxnSpPr>
        <xdr:cNvPr id="502" name="25 Conector recto"/>
        <xdr:cNvCxnSpPr/>
      </xdr:nvCxnSpPr>
      <xdr:spPr>
        <a:xfrm>
          <a:off x="20477843" y="15505339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03" name="5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04" name="6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05" name="7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06" name="8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07" name="13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08" name="14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09" name="15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10" name="16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11" name="5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12" name="6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13" name="7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14" name="8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15" name="9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16" name="10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17" name="11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18" name="12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19" name="1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20" name="2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21" name="3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22" name="4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23" name="1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24" name="2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25" name="3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39</xdr:row>
      <xdr:rowOff>108857</xdr:rowOff>
    </xdr:from>
    <xdr:to>
      <xdr:col>24</xdr:col>
      <xdr:colOff>568284</xdr:colOff>
      <xdr:row>39</xdr:row>
      <xdr:rowOff>816428</xdr:rowOff>
    </xdr:to>
    <xdr:sp macro="" textlink="">
      <xdr:nvSpPr>
        <xdr:cNvPr id="526" name="4 Rectángulo"/>
        <xdr:cNvSpPr/>
      </xdr:nvSpPr>
      <xdr:spPr>
        <a:xfrm>
          <a:off x="20471946" y="1548220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39</xdr:row>
      <xdr:rowOff>130735</xdr:rowOff>
    </xdr:from>
    <xdr:to>
      <xdr:col>24</xdr:col>
      <xdr:colOff>579770</xdr:colOff>
      <xdr:row>39</xdr:row>
      <xdr:rowOff>830745</xdr:rowOff>
    </xdr:to>
    <xdr:cxnSp macro="">
      <xdr:nvCxnSpPr>
        <xdr:cNvPr id="527" name="28 Conector recto"/>
        <xdr:cNvCxnSpPr/>
      </xdr:nvCxnSpPr>
      <xdr:spPr>
        <a:xfrm flipV="1">
          <a:off x="20485660" y="15504085"/>
          <a:ext cx="449035" cy="6904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39</xdr:row>
      <xdr:rowOff>131989</xdr:rowOff>
    </xdr:from>
    <xdr:to>
      <xdr:col>24</xdr:col>
      <xdr:colOff>571954</xdr:colOff>
      <xdr:row>39</xdr:row>
      <xdr:rowOff>821418</xdr:rowOff>
    </xdr:to>
    <xdr:cxnSp macro="">
      <xdr:nvCxnSpPr>
        <xdr:cNvPr id="528" name="25 Conector recto"/>
        <xdr:cNvCxnSpPr/>
      </xdr:nvCxnSpPr>
      <xdr:spPr>
        <a:xfrm>
          <a:off x="20477843" y="15505339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29" name="5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30" name="6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31" name="7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32" name="8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33" name="13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34" name="14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35" name="15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36" name="16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37" name="5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38" name="6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39" name="7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40" name="8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41" name="9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42" name="10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43" name="11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44" name="12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45" name="1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46" name="2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47" name="3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48" name="4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49" name="1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50" name="2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51" name="3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52" name="4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40</xdr:row>
      <xdr:rowOff>130735</xdr:rowOff>
    </xdr:from>
    <xdr:to>
      <xdr:col>24</xdr:col>
      <xdr:colOff>579770</xdr:colOff>
      <xdr:row>40</xdr:row>
      <xdr:rowOff>830745</xdr:rowOff>
    </xdr:to>
    <xdr:cxnSp macro="">
      <xdr:nvCxnSpPr>
        <xdr:cNvPr id="553" name="28 Conector recto"/>
        <xdr:cNvCxnSpPr/>
      </xdr:nvCxnSpPr>
      <xdr:spPr>
        <a:xfrm flipV="1">
          <a:off x="20485660" y="16323235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40</xdr:row>
      <xdr:rowOff>131989</xdr:rowOff>
    </xdr:from>
    <xdr:to>
      <xdr:col>24</xdr:col>
      <xdr:colOff>571954</xdr:colOff>
      <xdr:row>40</xdr:row>
      <xdr:rowOff>821418</xdr:rowOff>
    </xdr:to>
    <xdr:cxnSp macro="">
      <xdr:nvCxnSpPr>
        <xdr:cNvPr id="554" name="25 Conector recto"/>
        <xdr:cNvCxnSpPr/>
      </xdr:nvCxnSpPr>
      <xdr:spPr>
        <a:xfrm>
          <a:off x="20477843" y="16324489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55" name="5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56" name="6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57" name="7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58" name="8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59" name="13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60" name="14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61" name="15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62" name="16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63" name="5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64" name="6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65" name="7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66" name="8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67" name="9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68" name="10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69" name="11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70" name="12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71" name="1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72" name="2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73" name="3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74" name="4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75" name="1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76" name="2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77" name="3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40</xdr:row>
      <xdr:rowOff>108857</xdr:rowOff>
    </xdr:from>
    <xdr:to>
      <xdr:col>24</xdr:col>
      <xdr:colOff>568284</xdr:colOff>
      <xdr:row>40</xdr:row>
      <xdr:rowOff>816428</xdr:rowOff>
    </xdr:to>
    <xdr:sp macro="" textlink="">
      <xdr:nvSpPr>
        <xdr:cNvPr id="578" name="4 Rectángulo"/>
        <xdr:cNvSpPr/>
      </xdr:nvSpPr>
      <xdr:spPr>
        <a:xfrm>
          <a:off x="20471946" y="16301357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40</xdr:row>
      <xdr:rowOff>130735</xdr:rowOff>
    </xdr:from>
    <xdr:to>
      <xdr:col>24</xdr:col>
      <xdr:colOff>579770</xdr:colOff>
      <xdr:row>40</xdr:row>
      <xdr:rowOff>830745</xdr:rowOff>
    </xdr:to>
    <xdr:cxnSp macro="">
      <xdr:nvCxnSpPr>
        <xdr:cNvPr id="579" name="28 Conector recto"/>
        <xdr:cNvCxnSpPr/>
      </xdr:nvCxnSpPr>
      <xdr:spPr>
        <a:xfrm flipV="1">
          <a:off x="20485660" y="16323235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40</xdr:row>
      <xdr:rowOff>131989</xdr:rowOff>
    </xdr:from>
    <xdr:to>
      <xdr:col>24</xdr:col>
      <xdr:colOff>571954</xdr:colOff>
      <xdr:row>40</xdr:row>
      <xdr:rowOff>821418</xdr:rowOff>
    </xdr:to>
    <xdr:cxnSp macro="">
      <xdr:nvCxnSpPr>
        <xdr:cNvPr id="580" name="25 Conector recto"/>
        <xdr:cNvCxnSpPr/>
      </xdr:nvCxnSpPr>
      <xdr:spPr>
        <a:xfrm>
          <a:off x="20477843" y="16324489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81" name="5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82" name="6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83" name="7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84" name="8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85" name="13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86" name="14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87" name="15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88" name="16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89" name="5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90" name="6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91" name="7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92" name="8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93" name="9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94" name="10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95" name="11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96" name="12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97" name="1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98" name="2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599" name="3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00" name="4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01" name="1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02" name="2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03" name="3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04" name="4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41</xdr:row>
      <xdr:rowOff>130735</xdr:rowOff>
    </xdr:from>
    <xdr:to>
      <xdr:col>24</xdr:col>
      <xdr:colOff>579770</xdr:colOff>
      <xdr:row>41</xdr:row>
      <xdr:rowOff>830745</xdr:rowOff>
    </xdr:to>
    <xdr:cxnSp macro="">
      <xdr:nvCxnSpPr>
        <xdr:cNvPr id="605" name="28 Conector recto"/>
        <xdr:cNvCxnSpPr/>
      </xdr:nvCxnSpPr>
      <xdr:spPr>
        <a:xfrm flipV="1">
          <a:off x="20485660" y="17266210"/>
          <a:ext cx="449035" cy="51903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41</xdr:row>
      <xdr:rowOff>131989</xdr:rowOff>
    </xdr:from>
    <xdr:to>
      <xdr:col>24</xdr:col>
      <xdr:colOff>571954</xdr:colOff>
      <xdr:row>41</xdr:row>
      <xdr:rowOff>821418</xdr:rowOff>
    </xdr:to>
    <xdr:cxnSp macro="">
      <xdr:nvCxnSpPr>
        <xdr:cNvPr id="606" name="25 Conector recto"/>
        <xdr:cNvCxnSpPr/>
      </xdr:nvCxnSpPr>
      <xdr:spPr>
        <a:xfrm>
          <a:off x="20477843" y="17267464"/>
          <a:ext cx="449036" cy="51797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07" name="5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08" name="6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09" name="7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10" name="8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11" name="13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12" name="14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13" name="15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14" name="16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15" name="5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16" name="6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17" name="7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18" name="8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19" name="9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20" name="10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21" name="11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22" name="12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23" name="1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24" name="2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25" name="3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26" name="4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27" name="1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28" name="2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29" name="3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41</xdr:row>
      <xdr:rowOff>108857</xdr:rowOff>
    </xdr:from>
    <xdr:to>
      <xdr:col>24</xdr:col>
      <xdr:colOff>568284</xdr:colOff>
      <xdr:row>41</xdr:row>
      <xdr:rowOff>816428</xdr:rowOff>
    </xdr:to>
    <xdr:sp macro="" textlink="">
      <xdr:nvSpPr>
        <xdr:cNvPr id="630" name="4 Rectángulo"/>
        <xdr:cNvSpPr/>
      </xdr:nvSpPr>
      <xdr:spPr>
        <a:xfrm>
          <a:off x="20471946" y="17244332"/>
          <a:ext cx="451263" cy="53612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41</xdr:row>
      <xdr:rowOff>130735</xdr:rowOff>
    </xdr:from>
    <xdr:to>
      <xdr:col>24</xdr:col>
      <xdr:colOff>579770</xdr:colOff>
      <xdr:row>41</xdr:row>
      <xdr:rowOff>830745</xdr:rowOff>
    </xdr:to>
    <xdr:cxnSp macro="">
      <xdr:nvCxnSpPr>
        <xdr:cNvPr id="631" name="28 Conector recto"/>
        <xdr:cNvCxnSpPr/>
      </xdr:nvCxnSpPr>
      <xdr:spPr>
        <a:xfrm flipV="1">
          <a:off x="20485660" y="17266210"/>
          <a:ext cx="449035" cy="51903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41</xdr:row>
      <xdr:rowOff>131989</xdr:rowOff>
    </xdr:from>
    <xdr:to>
      <xdr:col>24</xdr:col>
      <xdr:colOff>571954</xdr:colOff>
      <xdr:row>41</xdr:row>
      <xdr:rowOff>821418</xdr:rowOff>
    </xdr:to>
    <xdr:cxnSp macro="">
      <xdr:nvCxnSpPr>
        <xdr:cNvPr id="632" name="25 Conector recto"/>
        <xdr:cNvCxnSpPr/>
      </xdr:nvCxnSpPr>
      <xdr:spPr>
        <a:xfrm>
          <a:off x="20477843" y="17267464"/>
          <a:ext cx="449036" cy="51797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33" name="5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34" name="6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35" name="7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36" name="8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37" name="13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38" name="14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39" name="15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40" name="16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41" name="5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42" name="6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43" name="7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44" name="8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45" name="9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46" name="10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47" name="11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48" name="12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49" name="1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50" name="2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51" name="3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52" name="4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53" name="1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54" name="2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55" name="3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56" name="4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42</xdr:row>
      <xdr:rowOff>130735</xdr:rowOff>
    </xdr:from>
    <xdr:to>
      <xdr:col>24</xdr:col>
      <xdr:colOff>579770</xdr:colOff>
      <xdr:row>42</xdr:row>
      <xdr:rowOff>830745</xdr:rowOff>
    </xdr:to>
    <xdr:cxnSp macro="">
      <xdr:nvCxnSpPr>
        <xdr:cNvPr id="657" name="28 Conector recto"/>
        <xdr:cNvCxnSpPr/>
      </xdr:nvCxnSpPr>
      <xdr:spPr>
        <a:xfrm flipV="1">
          <a:off x="20485660" y="17913910"/>
          <a:ext cx="449035" cy="4999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42</xdr:row>
      <xdr:rowOff>131989</xdr:rowOff>
    </xdr:from>
    <xdr:to>
      <xdr:col>24</xdr:col>
      <xdr:colOff>571954</xdr:colOff>
      <xdr:row>42</xdr:row>
      <xdr:rowOff>821418</xdr:rowOff>
    </xdr:to>
    <xdr:cxnSp macro="">
      <xdr:nvCxnSpPr>
        <xdr:cNvPr id="658" name="25 Conector recto"/>
        <xdr:cNvCxnSpPr/>
      </xdr:nvCxnSpPr>
      <xdr:spPr>
        <a:xfrm>
          <a:off x="20477843" y="17915164"/>
          <a:ext cx="449036" cy="4989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59" name="5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60" name="6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61" name="7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62" name="8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63" name="13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64" name="14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65" name="15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66" name="16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67" name="5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68" name="6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69" name="7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70" name="8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71" name="9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72" name="10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73" name="11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74" name="12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75" name="1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76" name="2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77" name="3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78" name="4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79" name="1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80" name="2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81" name="3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42</xdr:row>
      <xdr:rowOff>108857</xdr:rowOff>
    </xdr:from>
    <xdr:to>
      <xdr:col>24</xdr:col>
      <xdr:colOff>568284</xdr:colOff>
      <xdr:row>42</xdr:row>
      <xdr:rowOff>816428</xdr:rowOff>
    </xdr:to>
    <xdr:sp macro="" textlink="">
      <xdr:nvSpPr>
        <xdr:cNvPr id="682" name="4 Rectángulo"/>
        <xdr:cNvSpPr/>
      </xdr:nvSpPr>
      <xdr:spPr>
        <a:xfrm>
          <a:off x="20471946" y="17892032"/>
          <a:ext cx="451263" cy="5170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42</xdr:row>
      <xdr:rowOff>130735</xdr:rowOff>
    </xdr:from>
    <xdr:to>
      <xdr:col>24</xdr:col>
      <xdr:colOff>579770</xdr:colOff>
      <xdr:row>42</xdr:row>
      <xdr:rowOff>830745</xdr:rowOff>
    </xdr:to>
    <xdr:cxnSp macro="">
      <xdr:nvCxnSpPr>
        <xdr:cNvPr id="683" name="28 Conector recto"/>
        <xdr:cNvCxnSpPr/>
      </xdr:nvCxnSpPr>
      <xdr:spPr>
        <a:xfrm flipV="1">
          <a:off x="20485660" y="17913910"/>
          <a:ext cx="449035" cy="499985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42</xdr:row>
      <xdr:rowOff>131989</xdr:rowOff>
    </xdr:from>
    <xdr:to>
      <xdr:col>24</xdr:col>
      <xdr:colOff>571954</xdr:colOff>
      <xdr:row>42</xdr:row>
      <xdr:rowOff>821418</xdr:rowOff>
    </xdr:to>
    <xdr:cxnSp macro="">
      <xdr:nvCxnSpPr>
        <xdr:cNvPr id="684" name="25 Conector recto"/>
        <xdr:cNvCxnSpPr/>
      </xdr:nvCxnSpPr>
      <xdr:spPr>
        <a:xfrm>
          <a:off x="20477843" y="17915164"/>
          <a:ext cx="449036" cy="4989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85" name="5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86" name="6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87" name="7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88" name="8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89" name="13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90" name="14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91" name="15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92" name="16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93" name="5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94" name="6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95" name="7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96" name="8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97" name="9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98" name="10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699" name="11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00" name="12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01" name="1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02" name="2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03" name="3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04" name="4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05" name="1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06" name="2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07" name="3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08" name="4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43</xdr:row>
      <xdr:rowOff>130735</xdr:rowOff>
    </xdr:from>
    <xdr:to>
      <xdr:col>24</xdr:col>
      <xdr:colOff>579770</xdr:colOff>
      <xdr:row>43</xdr:row>
      <xdr:rowOff>830745</xdr:rowOff>
    </xdr:to>
    <xdr:cxnSp macro="">
      <xdr:nvCxnSpPr>
        <xdr:cNvPr id="709" name="28 Conector recto"/>
        <xdr:cNvCxnSpPr/>
      </xdr:nvCxnSpPr>
      <xdr:spPr>
        <a:xfrm flipV="1">
          <a:off x="20485660" y="1854256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43</xdr:row>
      <xdr:rowOff>131989</xdr:rowOff>
    </xdr:from>
    <xdr:to>
      <xdr:col>24</xdr:col>
      <xdr:colOff>571954</xdr:colOff>
      <xdr:row>43</xdr:row>
      <xdr:rowOff>821418</xdr:rowOff>
    </xdr:to>
    <xdr:cxnSp macro="">
      <xdr:nvCxnSpPr>
        <xdr:cNvPr id="710" name="25 Conector recto"/>
        <xdr:cNvCxnSpPr/>
      </xdr:nvCxnSpPr>
      <xdr:spPr>
        <a:xfrm>
          <a:off x="20477843" y="185438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11" name="5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12" name="6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13" name="7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14" name="8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15" name="13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16" name="14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17" name="15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18" name="16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19" name="5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20" name="6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21" name="7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22" name="8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23" name="9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24" name="10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25" name="11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26" name="12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27" name="1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28" name="2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29" name="3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30" name="4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31" name="1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32" name="2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33" name="3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43</xdr:row>
      <xdr:rowOff>108857</xdr:rowOff>
    </xdr:from>
    <xdr:to>
      <xdr:col>24</xdr:col>
      <xdr:colOff>568284</xdr:colOff>
      <xdr:row>43</xdr:row>
      <xdr:rowOff>816428</xdr:rowOff>
    </xdr:to>
    <xdr:sp macro="" textlink="">
      <xdr:nvSpPr>
        <xdr:cNvPr id="734" name="4 Rectángulo"/>
        <xdr:cNvSpPr/>
      </xdr:nvSpPr>
      <xdr:spPr>
        <a:xfrm>
          <a:off x="20471946" y="1852068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43</xdr:row>
      <xdr:rowOff>130735</xdr:rowOff>
    </xdr:from>
    <xdr:to>
      <xdr:col>24</xdr:col>
      <xdr:colOff>579770</xdr:colOff>
      <xdr:row>43</xdr:row>
      <xdr:rowOff>830745</xdr:rowOff>
    </xdr:to>
    <xdr:cxnSp macro="">
      <xdr:nvCxnSpPr>
        <xdr:cNvPr id="735" name="28 Conector recto"/>
        <xdr:cNvCxnSpPr/>
      </xdr:nvCxnSpPr>
      <xdr:spPr>
        <a:xfrm flipV="1">
          <a:off x="20485660" y="1854256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43</xdr:row>
      <xdr:rowOff>131989</xdr:rowOff>
    </xdr:from>
    <xdr:to>
      <xdr:col>24</xdr:col>
      <xdr:colOff>571954</xdr:colOff>
      <xdr:row>43</xdr:row>
      <xdr:rowOff>821418</xdr:rowOff>
    </xdr:to>
    <xdr:cxnSp macro="">
      <xdr:nvCxnSpPr>
        <xdr:cNvPr id="736" name="25 Conector recto"/>
        <xdr:cNvCxnSpPr/>
      </xdr:nvCxnSpPr>
      <xdr:spPr>
        <a:xfrm>
          <a:off x="20477843" y="1854381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37" name="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38" name="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39" name="7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40" name="8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41" name="1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42" name="1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43" name="1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44" name="1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45" name="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46" name="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47" name="7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48" name="8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49" name="9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50" name="10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51" name="1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52" name="1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53" name="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54" name="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55" name="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56" name="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57" name="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58" name="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59" name="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60" name="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37</xdr:row>
      <xdr:rowOff>130735</xdr:rowOff>
    </xdr:from>
    <xdr:to>
      <xdr:col>24</xdr:col>
      <xdr:colOff>579770</xdr:colOff>
      <xdr:row>37</xdr:row>
      <xdr:rowOff>830745</xdr:rowOff>
    </xdr:to>
    <xdr:cxnSp macro="">
      <xdr:nvCxnSpPr>
        <xdr:cNvPr id="761" name="28 Conector recto"/>
        <xdr:cNvCxnSpPr/>
      </xdr:nvCxnSpPr>
      <xdr:spPr>
        <a:xfrm flipV="1">
          <a:off x="20109423" y="117036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37</xdr:row>
      <xdr:rowOff>131989</xdr:rowOff>
    </xdr:from>
    <xdr:to>
      <xdr:col>24</xdr:col>
      <xdr:colOff>571954</xdr:colOff>
      <xdr:row>37</xdr:row>
      <xdr:rowOff>821418</xdr:rowOff>
    </xdr:to>
    <xdr:cxnSp macro="">
      <xdr:nvCxnSpPr>
        <xdr:cNvPr id="762" name="25 Conector recto"/>
        <xdr:cNvCxnSpPr/>
      </xdr:nvCxnSpPr>
      <xdr:spPr>
        <a:xfrm>
          <a:off x="20101606" y="117048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63" name="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64" name="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65" name="7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66" name="8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67" name="1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68" name="1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69" name="1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70" name="1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71" name="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72" name="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73" name="7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74" name="8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75" name="9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76" name="10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77" name="1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78" name="1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79" name="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80" name="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81" name="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82" name="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83" name="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84" name="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85" name="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86" name="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37</xdr:row>
      <xdr:rowOff>130735</xdr:rowOff>
    </xdr:from>
    <xdr:to>
      <xdr:col>24</xdr:col>
      <xdr:colOff>579770</xdr:colOff>
      <xdr:row>37</xdr:row>
      <xdr:rowOff>830745</xdr:rowOff>
    </xdr:to>
    <xdr:cxnSp macro="">
      <xdr:nvCxnSpPr>
        <xdr:cNvPr id="787" name="28 Conector recto"/>
        <xdr:cNvCxnSpPr/>
      </xdr:nvCxnSpPr>
      <xdr:spPr>
        <a:xfrm flipV="1">
          <a:off x="20109423" y="117036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37</xdr:row>
      <xdr:rowOff>131989</xdr:rowOff>
    </xdr:from>
    <xdr:to>
      <xdr:col>24</xdr:col>
      <xdr:colOff>571954</xdr:colOff>
      <xdr:row>37</xdr:row>
      <xdr:rowOff>821418</xdr:rowOff>
    </xdr:to>
    <xdr:cxnSp macro="">
      <xdr:nvCxnSpPr>
        <xdr:cNvPr id="788" name="25 Conector recto"/>
        <xdr:cNvCxnSpPr/>
      </xdr:nvCxnSpPr>
      <xdr:spPr>
        <a:xfrm>
          <a:off x="20101606" y="117048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89" name="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90" name="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91" name="7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92" name="8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93" name="1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94" name="1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95" name="1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96" name="1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97" name="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98" name="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799" name="7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00" name="8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01" name="9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02" name="10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03" name="1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04" name="1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05" name="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06" name="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07" name="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08" name="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09" name="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10" name="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11" name="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37</xdr:row>
      <xdr:rowOff>108857</xdr:rowOff>
    </xdr:from>
    <xdr:to>
      <xdr:col>24</xdr:col>
      <xdr:colOff>568284</xdr:colOff>
      <xdr:row>37</xdr:row>
      <xdr:rowOff>816428</xdr:rowOff>
    </xdr:to>
    <xdr:sp macro="" textlink="">
      <xdr:nvSpPr>
        <xdr:cNvPr id="812" name="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37</xdr:row>
      <xdr:rowOff>130735</xdr:rowOff>
    </xdr:from>
    <xdr:to>
      <xdr:col>24</xdr:col>
      <xdr:colOff>579770</xdr:colOff>
      <xdr:row>37</xdr:row>
      <xdr:rowOff>830745</xdr:rowOff>
    </xdr:to>
    <xdr:cxnSp macro="">
      <xdr:nvCxnSpPr>
        <xdr:cNvPr id="813" name="28 Conector recto"/>
        <xdr:cNvCxnSpPr/>
      </xdr:nvCxnSpPr>
      <xdr:spPr>
        <a:xfrm flipV="1">
          <a:off x="20109423" y="117036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37</xdr:row>
      <xdr:rowOff>131989</xdr:rowOff>
    </xdr:from>
    <xdr:to>
      <xdr:col>24</xdr:col>
      <xdr:colOff>571954</xdr:colOff>
      <xdr:row>37</xdr:row>
      <xdr:rowOff>821418</xdr:rowOff>
    </xdr:to>
    <xdr:cxnSp macro="">
      <xdr:nvCxnSpPr>
        <xdr:cNvPr id="814" name="25 Conector recto"/>
        <xdr:cNvCxnSpPr/>
      </xdr:nvCxnSpPr>
      <xdr:spPr>
        <a:xfrm>
          <a:off x="20101606" y="117048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15" name="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16" name="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17" name="7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18" name="8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19" name="1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20" name="1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21" name="1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22" name="1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23" name="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24" name="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25" name="7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26" name="8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27" name="9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28" name="10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29" name="1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30" name="1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31" name="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32" name="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33" name="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34" name="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35" name="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36" name="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37" name="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38" name="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38</xdr:row>
      <xdr:rowOff>130735</xdr:rowOff>
    </xdr:from>
    <xdr:to>
      <xdr:col>24</xdr:col>
      <xdr:colOff>579770</xdr:colOff>
      <xdr:row>38</xdr:row>
      <xdr:rowOff>830745</xdr:rowOff>
    </xdr:to>
    <xdr:cxnSp macro="">
      <xdr:nvCxnSpPr>
        <xdr:cNvPr id="839" name="28 Conector recto"/>
        <xdr:cNvCxnSpPr/>
      </xdr:nvCxnSpPr>
      <xdr:spPr>
        <a:xfrm flipV="1">
          <a:off x="20109423" y="117036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38</xdr:row>
      <xdr:rowOff>131989</xdr:rowOff>
    </xdr:from>
    <xdr:to>
      <xdr:col>24</xdr:col>
      <xdr:colOff>571954</xdr:colOff>
      <xdr:row>38</xdr:row>
      <xdr:rowOff>821418</xdr:rowOff>
    </xdr:to>
    <xdr:cxnSp macro="">
      <xdr:nvCxnSpPr>
        <xdr:cNvPr id="840" name="25 Conector recto"/>
        <xdr:cNvCxnSpPr/>
      </xdr:nvCxnSpPr>
      <xdr:spPr>
        <a:xfrm>
          <a:off x="20101606" y="117048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41" name="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42" name="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43" name="7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44" name="8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45" name="1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46" name="1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47" name="1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48" name="1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49" name="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50" name="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51" name="7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52" name="8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53" name="9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54" name="10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55" name="1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56" name="1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57" name="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58" name="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59" name="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60" name="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61" name="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62" name="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63" name="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64" name="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38</xdr:row>
      <xdr:rowOff>130735</xdr:rowOff>
    </xdr:from>
    <xdr:to>
      <xdr:col>24</xdr:col>
      <xdr:colOff>579770</xdr:colOff>
      <xdr:row>38</xdr:row>
      <xdr:rowOff>830745</xdr:rowOff>
    </xdr:to>
    <xdr:cxnSp macro="">
      <xdr:nvCxnSpPr>
        <xdr:cNvPr id="865" name="28 Conector recto"/>
        <xdr:cNvCxnSpPr/>
      </xdr:nvCxnSpPr>
      <xdr:spPr>
        <a:xfrm flipV="1">
          <a:off x="20109423" y="117036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38</xdr:row>
      <xdr:rowOff>131989</xdr:rowOff>
    </xdr:from>
    <xdr:to>
      <xdr:col>24</xdr:col>
      <xdr:colOff>571954</xdr:colOff>
      <xdr:row>38</xdr:row>
      <xdr:rowOff>821418</xdr:rowOff>
    </xdr:to>
    <xdr:cxnSp macro="">
      <xdr:nvCxnSpPr>
        <xdr:cNvPr id="866" name="25 Conector recto"/>
        <xdr:cNvCxnSpPr/>
      </xdr:nvCxnSpPr>
      <xdr:spPr>
        <a:xfrm>
          <a:off x="20101606" y="117048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67" name="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68" name="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69" name="7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70" name="8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71" name="1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72" name="1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73" name="1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74" name="1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75" name="5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76" name="6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77" name="7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78" name="8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79" name="9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80" name="10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81" name="1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82" name="1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83" name="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84" name="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85" name="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86" name="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87" name="1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 fLocksWithSheet="0"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88" name="2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89" name="3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117021</xdr:colOff>
      <xdr:row>38</xdr:row>
      <xdr:rowOff>108857</xdr:rowOff>
    </xdr:from>
    <xdr:to>
      <xdr:col>24</xdr:col>
      <xdr:colOff>568284</xdr:colOff>
      <xdr:row>38</xdr:row>
      <xdr:rowOff>816428</xdr:rowOff>
    </xdr:to>
    <xdr:sp macro="" textlink="">
      <xdr:nvSpPr>
        <xdr:cNvPr id="890" name="4 Rectángulo"/>
        <xdr:cNvSpPr/>
      </xdr:nvSpPr>
      <xdr:spPr>
        <a:xfrm>
          <a:off x="20095709" y="11681732"/>
          <a:ext cx="451263" cy="707571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O"/>
        </a:p>
      </xdr:txBody>
    </xdr:sp>
    <xdr:clientData/>
  </xdr:twoCellAnchor>
  <xdr:twoCellAnchor>
    <xdr:from>
      <xdr:col>24</xdr:col>
      <xdr:colOff>130735</xdr:colOff>
      <xdr:row>38</xdr:row>
      <xdr:rowOff>130735</xdr:rowOff>
    </xdr:from>
    <xdr:to>
      <xdr:col>24</xdr:col>
      <xdr:colOff>579770</xdr:colOff>
      <xdr:row>38</xdr:row>
      <xdr:rowOff>830745</xdr:rowOff>
    </xdr:to>
    <xdr:cxnSp macro="">
      <xdr:nvCxnSpPr>
        <xdr:cNvPr id="891" name="28 Conector recto"/>
        <xdr:cNvCxnSpPr/>
      </xdr:nvCxnSpPr>
      <xdr:spPr>
        <a:xfrm flipV="1">
          <a:off x="20109423" y="11703610"/>
          <a:ext cx="449035" cy="700010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  <xdr:twoCellAnchor>
    <xdr:from>
      <xdr:col>24</xdr:col>
      <xdr:colOff>122918</xdr:colOff>
      <xdr:row>38</xdr:row>
      <xdr:rowOff>131989</xdr:rowOff>
    </xdr:from>
    <xdr:to>
      <xdr:col>24</xdr:col>
      <xdr:colOff>571954</xdr:colOff>
      <xdr:row>38</xdr:row>
      <xdr:rowOff>821418</xdr:rowOff>
    </xdr:to>
    <xdr:cxnSp macro="">
      <xdr:nvCxnSpPr>
        <xdr:cNvPr id="892" name="25 Conector recto"/>
        <xdr:cNvCxnSpPr/>
      </xdr:nvCxnSpPr>
      <xdr:spPr>
        <a:xfrm>
          <a:off x="20101606" y="11704864"/>
          <a:ext cx="449036" cy="689429"/>
        </a:xfrm>
        <a:prstGeom prst="lin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200025</xdr:colOff>
      <xdr:row>7</xdr:row>
      <xdr:rowOff>104774</xdr:rowOff>
    </xdr:from>
    <xdr:to>
      <xdr:col>12</xdr:col>
      <xdr:colOff>704850</xdr:colOff>
      <xdr:row>23</xdr:row>
      <xdr:rowOff>76199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B87"/>
  <sheetViews>
    <sheetView tabSelected="1" topLeftCell="D1" zoomScale="70" zoomScaleNormal="70" zoomScaleSheetLayoutView="70" zoomScalePageLayoutView="70" workbookViewId="0">
      <selection activeCell="N66" sqref="N66"/>
    </sheetView>
  </sheetViews>
  <sheetFormatPr baseColWidth="10" defaultColWidth="10.85546875" defaultRowHeight="15" x14ac:dyDescent="0.25"/>
  <cols>
    <col min="1" max="1" width="12.7109375" style="4" customWidth="1"/>
    <col min="2" max="2" width="25.28515625" style="4" customWidth="1"/>
    <col min="3" max="3" width="17.28515625" style="4" customWidth="1"/>
    <col min="4" max="4" width="9.7109375" style="4" customWidth="1"/>
    <col min="5" max="5" width="11.140625" style="4" customWidth="1"/>
    <col min="6" max="6" width="10.85546875" style="4" customWidth="1"/>
    <col min="7" max="7" width="11.140625" style="4" customWidth="1"/>
    <col min="8" max="8" width="10.5703125" style="4" customWidth="1"/>
    <col min="9" max="10" width="12" style="4" customWidth="1"/>
    <col min="11" max="11" width="11.85546875" style="4" customWidth="1"/>
    <col min="12" max="13" width="9.42578125" style="4" customWidth="1"/>
    <col min="14" max="14" width="10.5703125" style="4" customWidth="1"/>
    <col min="15" max="15" width="9.42578125" style="4" customWidth="1"/>
    <col min="16" max="16" width="15.5703125" style="4" customWidth="1"/>
    <col min="17" max="17" width="9.42578125" style="4" customWidth="1"/>
    <col min="18" max="18" width="13" style="4" customWidth="1"/>
    <col min="19" max="19" width="20.7109375" style="4" customWidth="1"/>
    <col min="20" max="20" width="17.42578125" style="4" customWidth="1"/>
    <col min="21" max="21" width="15.5703125" style="4" customWidth="1"/>
    <col min="22" max="22" width="21.28515625" style="4" customWidth="1"/>
    <col min="23" max="23" width="12.7109375" style="4" customWidth="1"/>
    <col min="24" max="24" width="14.5703125" style="4" customWidth="1"/>
    <col min="25" max="25" width="13.140625" style="4" customWidth="1"/>
    <col min="26" max="26" width="13.28515625" style="4" customWidth="1"/>
    <col min="27" max="16384" width="10.85546875" style="4"/>
  </cols>
  <sheetData>
    <row r="1" spans="1:26" ht="6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3"/>
    </row>
    <row r="2" spans="1:26" ht="28.5" customHeight="1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 t="s">
        <v>0</v>
      </c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11.25" customHeight="1" x14ac:dyDescent="0.25">
      <c r="A3" s="5"/>
      <c r="B3" s="6"/>
      <c r="C3" s="6"/>
      <c r="D3" s="6"/>
      <c r="E3" s="6"/>
      <c r="F3" s="6"/>
      <c r="G3" s="6"/>
      <c r="H3" s="6"/>
      <c r="I3" s="7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9.5" x14ac:dyDescent="0.25">
      <c r="A4" s="5"/>
      <c r="B4" s="9" t="s">
        <v>1</v>
      </c>
      <c r="C4" s="169" t="s">
        <v>74</v>
      </c>
      <c r="D4" s="169"/>
      <c r="E4" s="169"/>
      <c r="F4" s="169"/>
      <c r="G4" s="169"/>
      <c r="H4" s="169"/>
      <c r="I4" s="169"/>
      <c r="J4" s="169"/>
      <c r="L4" s="9" t="s">
        <v>2</v>
      </c>
      <c r="M4" s="169" t="s">
        <v>73</v>
      </c>
      <c r="N4" s="169"/>
      <c r="O4" s="169"/>
      <c r="P4" s="169"/>
      <c r="Q4" s="169"/>
      <c r="R4" s="169"/>
      <c r="S4" s="169"/>
      <c r="T4" s="6"/>
      <c r="U4" s="6"/>
      <c r="V4" s="9" t="s">
        <v>3</v>
      </c>
      <c r="W4" s="175">
        <v>43376</v>
      </c>
      <c r="X4" s="169"/>
      <c r="Y4" s="169"/>
      <c r="Z4" s="8"/>
    </row>
    <row r="5" spans="1:26" ht="19.5" x14ac:dyDescent="0.25">
      <c r="A5" s="5"/>
      <c r="B5" s="9" t="s">
        <v>4</v>
      </c>
      <c r="C5" s="169" t="s">
        <v>72</v>
      </c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8"/>
    </row>
    <row r="6" spans="1:26" x14ac:dyDescent="0.2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9.5" x14ac:dyDescent="0.25">
      <c r="A7" s="10" t="s">
        <v>5</v>
      </c>
      <c r="B7" s="11"/>
      <c r="C7" s="11"/>
      <c r="D7" s="12"/>
      <c r="E7" s="13"/>
      <c r="F7" s="13"/>
      <c r="G7" s="11" t="s">
        <v>6</v>
      </c>
      <c r="H7" s="6"/>
      <c r="I7" s="11"/>
      <c r="J7" s="12"/>
      <c r="K7" s="13"/>
      <c r="L7" s="13"/>
      <c r="M7" s="11" t="s">
        <v>7</v>
      </c>
      <c r="N7" s="11"/>
      <c r="O7" s="11"/>
      <c r="P7" s="12"/>
      <c r="Q7" s="12"/>
      <c r="R7" s="13"/>
      <c r="S7" s="13"/>
      <c r="T7" s="11" t="s">
        <v>8</v>
      </c>
      <c r="U7" s="11"/>
      <c r="V7" s="11"/>
      <c r="W7" s="12"/>
      <c r="X7" s="13"/>
      <c r="Y7" s="13"/>
      <c r="Z7" s="8"/>
    </row>
    <row r="8" spans="1:26" ht="19.5" x14ac:dyDescent="0.25">
      <c r="A8" s="14"/>
      <c r="B8" s="12" t="s">
        <v>9</v>
      </c>
      <c r="C8" s="170" t="s">
        <v>65</v>
      </c>
      <c r="D8" s="170"/>
      <c r="E8" s="170"/>
      <c r="F8" s="170"/>
      <c r="G8" s="13"/>
      <c r="H8" s="12" t="s">
        <v>9</v>
      </c>
      <c r="I8" s="170" t="s">
        <v>65</v>
      </c>
      <c r="J8" s="170"/>
      <c r="K8" s="170"/>
      <c r="L8" s="170"/>
      <c r="M8" s="13"/>
      <c r="N8" s="12" t="s">
        <v>10</v>
      </c>
      <c r="O8" s="176">
        <v>0</v>
      </c>
      <c r="P8" s="170"/>
      <c r="Q8" s="170"/>
      <c r="R8" s="170"/>
      <c r="S8" s="170"/>
      <c r="T8" s="13"/>
      <c r="U8" s="12" t="s">
        <v>11</v>
      </c>
      <c r="V8" s="170" t="s">
        <v>96</v>
      </c>
      <c r="W8" s="170"/>
      <c r="X8" s="170"/>
      <c r="Y8" s="170"/>
      <c r="Z8" s="8"/>
    </row>
    <row r="9" spans="1:26" ht="19.5" customHeight="1" x14ac:dyDescent="0.25">
      <c r="A9" s="14"/>
      <c r="B9" s="12" t="s">
        <v>10</v>
      </c>
      <c r="C9" s="170" t="s">
        <v>65</v>
      </c>
      <c r="D9" s="170"/>
      <c r="E9" s="170"/>
      <c r="F9" s="170"/>
      <c r="G9" s="13"/>
      <c r="H9" s="12" t="s">
        <v>10</v>
      </c>
      <c r="I9" s="170" t="s">
        <v>65</v>
      </c>
      <c r="J9" s="170"/>
      <c r="K9" s="170"/>
      <c r="L9" s="170"/>
      <c r="M9" s="13"/>
      <c r="N9" s="12" t="s">
        <v>12</v>
      </c>
      <c r="O9" s="171" t="s">
        <v>68</v>
      </c>
      <c r="P9" s="171"/>
      <c r="Q9" s="171"/>
      <c r="R9" s="171"/>
      <c r="S9" s="171"/>
      <c r="T9" s="13"/>
      <c r="U9" s="12" t="s">
        <v>13</v>
      </c>
      <c r="V9" s="171" t="s">
        <v>97</v>
      </c>
      <c r="W9" s="171"/>
      <c r="X9" s="171"/>
      <c r="Y9" s="171"/>
      <c r="Z9" s="8"/>
    </row>
    <row r="10" spans="1:26" ht="19.5" x14ac:dyDescent="0.25">
      <c r="A10" s="14"/>
      <c r="B10" s="12" t="s">
        <v>13</v>
      </c>
      <c r="C10" s="170" t="s">
        <v>75</v>
      </c>
      <c r="D10" s="170"/>
      <c r="E10" s="170"/>
      <c r="F10" s="170"/>
      <c r="G10" s="13"/>
      <c r="H10" s="12" t="s">
        <v>13</v>
      </c>
      <c r="I10" s="170" t="s">
        <v>75</v>
      </c>
      <c r="J10" s="170"/>
      <c r="K10" s="170"/>
      <c r="L10" s="170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9.5" x14ac:dyDescent="0.25">
      <c r="A11" s="14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6"/>
      <c r="T11" s="6"/>
      <c r="U11" s="6"/>
      <c r="V11" s="6"/>
      <c r="W11" s="6"/>
      <c r="X11" s="6"/>
      <c r="Y11" s="6"/>
      <c r="Z11" s="8"/>
    </row>
    <row r="12" spans="1:26" ht="19.5" x14ac:dyDescent="0.25">
      <c r="A12" s="10" t="s">
        <v>14</v>
      </c>
      <c r="B12" s="11"/>
      <c r="C12" s="11"/>
      <c r="D12" s="13"/>
      <c r="E12" s="13"/>
      <c r="F12" s="13"/>
      <c r="G12" s="13"/>
      <c r="H12" s="13"/>
      <c r="I12" s="13"/>
      <c r="J12" s="13"/>
      <c r="K12" s="6"/>
      <c r="L12" s="6"/>
      <c r="M12" s="6"/>
      <c r="N12" s="6"/>
      <c r="O12" s="6"/>
      <c r="P12" s="6"/>
      <c r="Q12" s="6"/>
      <c r="R12" s="12" t="s">
        <v>15</v>
      </c>
      <c r="S12" s="170" t="s">
        <v>76</v>
      </c>
      <c r="T12" s="170"/>
      <c r="U12" s="170"/>
      <c r="V12" s="170"/>
      <c r="W12" s="15" t="s">
        <v>16</v>
      </c>
      <c r="X12" s="6"/>
      <c r="Y12" s="6"/>
      <c r="Z12" s="8"/>
    </row>
    <row r="13" spans="1:26" ht="19.5" x14ac:dyDescent="0.25">
      <c r="A13" s="14"/>
      <c r="B13" s="13"/>
      <c r="C13" s="13"/>
      <c r="D13" s="12" t="s">
        <v>17</v>
      </c>
      <c r="E13" s="169" t="s">
        <v>66</v>
      </c>
      <c r="F13" s="169"/>
      <c r="G13" s="169"/>
      <c r="H13" s="169"/>
      <c r="I13" s="169"/>
      <c r="J13" s="16" t="s">
        <v>18</v>
      </c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15" t="s">
        <v>19</v>
      </c>
      <c r="X13" s="6"/>
      <c r="Y13" s="6"/>
      <c r="Z13" s="8"/>
    </row>
    <row r="14" spans="1:26" ht="19.5" x14ac:dyDescent="0.25">
      <c r="A14" s="14"/>
      <c r="B14" s="13"/>
      <c r="C14" s="13"/>
      <c r="D14" s="12" t="s">
        <v>20</v>
      </c>
      <c r="E14" s="182" t="s">
        <v>65</v>
      </c>
      <c r="F14" s="182"/>
      <c r="G14" s="182"/>
      <c r="H14" s="182"/>
      <c r="I14" s="182"/>
      <c r="J14" s="17" t="s">
        <v>21</v>
      </c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15" t="s">
        <v>22</v>
      </c>
      <c r="X14" s="6"/>
      <c r="Y14" s="6"/>
      <c r="Z14" s="8"/>
    </row>
    <row r="15" spans="1:26" ht="19.5" x14ac:dyDescent="0.25">
      <c r="A15" s="14"/>
      <c r="B15" s="13"/>
      <c r="C15" s="13"/>
      <c r="D15" s="12" t="s">
        <v>23</v>
      </c>
      <c r="E15" s="182" t="s">
        <v>69</v>
      </c>
      <c r="F15" s="182"/>
      <c r="G15" s="182"/>
      <c r="H15" s="182"/>
      <c r="I15" s="182"/>
      <c r="J15" s="17" t="s">
        <v>24</v>
      </c>
      <c r="K15" s="6"/>
      <c r="L15" s="6"/>
      <c r="M15" s="6"/>
      <c r="N15" s="6"/>
      <c r="O15" s="6"/>
      <c r="P15" s="6"/>
      <c r="Q15" s="6"/>
      <c r="R15" s="12" t="s">
        <v>25</v>
      </c>
      <c r="S15" s="169" t="s">
        <v>70</v>
      </c>
      <c r="T15" s="169"/>
      <c r="U15" s="169"/>
      <c r="V15" s="169"/>
      <c r="W15" s="15" t="s">
        <v>26</v>
      </c>
      <c r="X15" s="6"/>
      <c r="Y15" s="6"/>
      <c r="Z15" s="8"/>
    </row>
    <row r="16" spans="1:26" ht="19.5" x14ac:dyDescent="0.25">
      <c r="A16" s="14"/>
      <c r="B16" s="13"/>
      <c r="C16" s="13"/>
      <c r="D16" s="12" t="s">
        <v>27</v>
      </c>
      <c r="E16" s="182" t="s">
        <v>65</v>
      </c>
      <c r="F16" s="182"/>
      <c r="G16" s="182"/>
      <c r="H16" s="182"/>
      <c r="I16" s="182"/>
      <c r="J16" s="16" t="s">
        <v>28</v>
      </c>
      <c r="K16" s="6"/>
      <c r="L16" s="6"/>
      <c r="M16" s="6"/>
      <c r="N16" s="6"/>
      <c r="O16" s="6"/>
      <c r="P16" s="6"/>
      <c r="Q16" s="6"/>
      <c r="R16" s="12" t="s">
        <v>29</v>
      </c>
      <c r="S16" s="182">
        <v>21</v>
      </c>
      <c r="T16" s="182"/>
      <c r="U16" s="182"/>
      <c r="V16" s="182"/>
      <c r="W16" s="16" t="s">
        <v>28</v>
      </c>
      <c r="X16" s="6"/>
      <c r="Y16" s="6"/>
      <c r="Z16" s="8"/>
    </row>
    <row r="17" spans="1:26" x14ac:dyDescent="0.25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x14ac:dyDescent="0.25">
      <c r="A18" s="5"/>
      <c r="B18" s="6"/>
      <c r="C18" s="6"/>
      <c r="D18" s="6"/>
      <c r="E18" s="6"/>
      <c r="F18" s="18" t="s">
        <v>30</v>
      </c>
      <c r="G18" s="6"/>
      <c r="H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x14ac:dyDescent="0.25">
      <c r="A19" s="5"/>
      <c r="B19" s="6"/>
      <c r="C19" s="6"/>
      <c r="D19" s="6"/>
      <c r="E19" s="6"/>
      <c r="F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x14ac:dyDescent="0.25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R21" s="6"/>
      <c r="S21" s="6"/>
      <c r="T21" s="6"/>
      <c r="U21" s="6"/>
      <c r="V21" s="6"/>
      <c r="W21" s="6"/>
      <c r="X21" s="6"/>
      <c r="Y21" s="6"/>
      <c r="Z21" s="8"/>
    </row>
    <row r="22" spans="1:2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x14ac:dyDescent="0.25">
      <c r="A23" s="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x14ac:dyDescent="0.25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x14ac:dyDescent="0.25">
      <c r="A26" s="5"/>
      <c r="B26" s="6"/>
      <c r="C26" s="6"/>
      <c r="D26" s="6"/>
      <c r="E26" s="6"/>
      <c r="F26" s="6"/>
      <c r="G26" s="6"/>
      <c r="H26" s="6"/>
      <c r="I26" s="19" t="s">
        <v>31</v>
      </c>
      <c r="J26" s="19"/>
      <c r="K26" s="19" t="s">
        <v>32</v>
      </c>
      <c r="L26" s="19"/>
      <c r="M26" s="19" t="s">
        <v>33</v>
      </c>
      <c r="N26" s="19"/>
      <c r="O26" s="19" t="s">
        <v>34</v>
      </c>
      <c r="P26" s="19"/>
      <c r="Q26" s="19" t="s">
        <v>35</v>
      </c>
      <c r="S26" s="6"/>
      <c r="T26" s="6"/>
      <c r="U26" s="6"/>
      <c r="V26" s="6"/>
      <c r="W26" s="6"/>
      <c r="X26" s="6"/>
      <c r="Y26" s="6"/>
      <c r="Z26" s="8"/>
    </row>
    <row r="27" spans="1:26" x14ac:dyDescent="0.25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x14ac:dyDescent="0.25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s="23" customFormat="1" ht="17.25" x14ac:dyDescent="0.3">
      <c r="A29" s="20"/>
      <c r="B29" s="21"/>
      <c r="C29" s="21"/>
      <c r="D29" s="21"/>
      <c r="E29" s="177" t="s">
        <v>36</v>
      </c>
      <c r="F29" s="178"/>
      <c r="G29" s="179"/>
      <c r="H29" s="177" t="s">
        <v>37</v>
      </c>
      <c r="I29" s="178"/>
      <c r="J29" s="179"/>
      <c r="K29" s="21"/>
      <c r="L29" s="177" t="s">
        <v>38</v>
      </c>
      <c r="M29" s="178"/>
      <c r="N29" s="179"/>
      <c r="O29" s="21"/>
      <c r="P29" s="21"/>
      <c r="Q29" s="21"/>
      <c r="R29" s="21"/>
      <c r="S29" s="21"/>
      <c r="T29" s="21"/>
      <c r="U29" s="177" t="s">
        <v>39</v>
      </c>
      <c r="V29" s="178"/>
      <c r="W29" s="179"/>
      <c r="X29" s="21"/>
      <c r="Y29" s="21"/>
      <c r="Z29" s="22"/>
    </row>
    <row r="30" spans="1:26" s="23" customFormat="1" ht="103.5" customHeight="1" x14ac:dyDescent="0.3">
      <c r="A30" s="24" t="s">
        <v>40</v>
      </c>
      <c r="B30" s="24" t="s">
        <v>41</v>
      </c>
      <c r="C30" s="24" t="s">
        <v>42</v>
      </c>
      <c r="D30" s="24" t="s">
        <v>43</v>
      </c>
      <c r="E30" s="24" t="s">
        <v>44</v>
      </c>
      <c r="F30" s="24" t="s">
        <v>45</v>
      </c>
      <c r="G30" s="24" t="s">
        <v>46</v>
      </c>
      <c r="H30" s="24" t="s">
        <v>44</v>
      </c>
      <c r="I30" s="24" t="s">
        <v>45</v>
      </c>
      <c r="J30" s="24" t="s">
        <v>46</v>
      </c>
      <c r="K30" s="24" t="s">
        <v>47</v>
      </c>
      <c r="L30" s="24" t="s">
        <v>48</v>
      </c>
      <c r="M30" s="24" t="s">
        <v>49</v>
      </c>
      <c r="N30" s="24" t="s">
        <v>50</v>
      </c>
      <c r="O30" s="24" t="s">
        <v>51</v>
      </c>
      <c r="P30" s="24" t="s">
        <v>52</v>
      </c>
      <c r="Q30" s="24" t="s">
        <v>53</v>
      </c>
      <c r="R30" s="24" t="s">
        <v>54</v>
      </c>
      <c r="S30" s="24" t="s">
        <v>55</v>
      </c>
      <c r="T30" s="24" t="s">
        <v>56</v>
      </c>
      <c r="U30" s="24" t="s">
        <v>57</v>
      </c>
      <c r="V30" s="24" t="s">
        <v>58</v>
      </c>
      <c r="W30" s="24" t="s">
        <v>59</v>
      </c>
      <c r="X30" s="24" t="s">
        <v>60</v>
      </c>
      <c r="Y30" s="24" t="s">
        <v>61</v>
      </c>
    </row>
    <row r="31" spans="1:26" ht="21" customHeight="1" thickBot="1" x14ac:dyDescent="0.3">
      <c r="A31" s="180" t="s">
        <v>62</v>
      </c>
      <c r="B31" s="181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74"/>
    </row>
    <row r="32" spans="1:26" s="23" customFormat="1" ht="22.5" hidden="1" customHeight="1" x14ac:dyDescent="0.3">
      <c r="A32" s="172" t="s">
        <v>71</v>
      </c>
      <c r="B32" s="173"/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4"/>
    </row>
    <row r="33" spans="1:28" ht="72.75" customHeight="1" x14ac:dyDescent="0.25">
      <c r="A33" s="166">
        <v>1</v>
      </c>
      <c r="B33" s="36">
        <v>43353</v>
      </c>
      <c r="C33" s="36">
        <v>43360</v>
      </c>
      <c r="D33" s="37">
        <v>7</v>
      </c>
      <c r="E33" s="37">
        <v>15.108000000000001</v>
      </c>
      <c r="F33" s="37">
        <v>15.195</v>
      </c>
      <c r="G33" s="37">
        <v>15.055999999999999</v>
      </c>
      <c r="H33" s="37">
        <v>15.154</v>
      </c>
      <c r="I33" s="37">
        <v>15.151999999999999</v>
      </c>
      <c r="J33" s="37">
        <v>15.148999999999999</v>
      </c>
      <c r="K33" s="38">
        <f t="shared" ref="K33:K39" si="0">SUM(E33:J33)/6</f>
        <v>15.135666666666667</v>
      </c>
      <c r="L33" s="37">
        <v>30</v>
      </c>
      <c r="M33" s="37">
        <v>30</v>
      </c>
      <c r="N33" s="37">
        <v>30</v>
      </c>
      <c r="O33" s="38">
        <f>SUM(L33:N33)/3</f>
        <v>30</v>
      </c>
      <c r="P33" s="38">
        <f>((PI()/4)*POWER(K33,2))</f>
        <v>179.9256128917167</v>
      </c>
      <c r="Q33" s="38">
        <v>12.904999999999999</v>
      </c>
      <c r="R33" s="38">
        <f>Q33/((P33*O33)/POWER(100,3))</f>
        <v>2390.80284209203</v>
      </c>
      <c r="S33" s="37">
        <f>272*AB33</f>
        <v>27744</v>
      </c>
      <c r="T33" s="38">
        <f>S33/P33</f>
        <v>154.19705707323041</v>
      </c>
      <c r="U33" s="38">
        <f>T33/10.1972</f>
        <v>15.121509539209823</v>
      </c>
      <c r="V33" s="38">
        <f>U33*145.03777</f>
        <v>2193.1900226007201</v>
      </c>
      <c r="W33" s="39">
        <f>U33/S16</f>
        <v>0.7200718828195154</v>
      </c>
      <c r="X33" s="40" t="s">
        <v>64</v>
      </c>
      <c r="Y33" s="41"/>
      <c r="AB33" s="4">
        <v>102</v>
      </c>
    </row>
    <row r="34" spans="1:28" ht="72.75" customHeight="1" x14ac:dyDescent="0.25">
      <c r="A34" s="167"/>
      <c r="B34" s="28">
        <v>43353</v>
      </c>
      <c r="C34" s="28">
        <v>43360</v>
      </c>
      <c r="D34" s="29">
        <v>7</v>
      </c>
      <c r="E34" s="29">
        <v>14.973000000000001</v>
      </c>
      <c r="F34" s="29">
        <v>14.981</v>
      </c>
      <c r="G34" s="29">
        <v>14.992000000000001</v>
      </c>
      <c r="H34" s="29">
        <v>15.246</v>
      </c>
      <c r="I34" s="29">
        <v>15.263</v>
      </c>
      <c r="J34" s="29">
        <v>15.119</v>
      </c>
      <c r="K34" s="26">
        <f t="shared" si="0"/>
        <v>15.095666666666666</v>
      </c>
      <c r="L34" s="29">
        <v>30</v>
      </c>
      <c r="M34" s="29">
        <v>30</v>
      </c>
      <c r="N34" s="29">
        <v>30</v>
      </c>
      <c r="O34" s="26">
        <f>SUM(L34:N34)/3</f>
        <v>30</v>
      </c>
      <c r="P34" s="26">
        <f>((PI()/4)*POWER(K34,2))</f>
        <v>178.97586754463441</v>
      </c>
      <c r="Q34" s="26">
        <v>13.404999999999999</v>
      </c>
      <c r="R34" s="26">
        <f>Q34/((P34*O34)/POWER(100,3))</f>
        <v>2496.6121939422842</v>
      </c>
      <c r="S34" s="29">
        <f>AB33*279</f>
        <v>28458</v>
      </c>
      <c r="T34" s="26">
        <f>S34/P34</f>
        <v>159.00467694563861</v>
      </c>
      <c r="U34" s="26">
        <f>T34/10.1972</f>
        <v>15.592974242501725</v>
      </c>
      <c r="V34" s="26">
        <f>U34*145.03777</f>
        <v>2261.5702117998894</v>
      </c>
      <c r="W34" s="25">
        <f>U34/$S$16</f>
        <v>0.7425225829762726</v>
      </c>
      <c r="X34" s="27" t="s">
        <v>63</v>
      </c>
      <c r="Y34" s="42"/>
    </row>
    <row r="35" spans="1:28" ht="72.75" customHeight="1" thickBot="1" x14ac:dyDescent="0.3">
      <c r="A35" s="167"/>
      <c r="B35" s="49">
        <v>43353</v>
      </c>
      <c r="C35" s="49">
        <v>43360</v>
      </c>
      <c r="D35" s="50">
        <v>7</v>
      </c>
      <c r="E35" s="50">
        <v>14.14</v>
      </c>
      <c r="F35" s="50">
        <v>15.21</v>
      </c>
      <c r="G35" s="50">
        <v>15.157</v>
      </c>
      <c r="H35" s="50">
        <v>15.186</v>
      </c>
      <c r="I35" s="50">
        <v>15.442</v>
      </c>
      <c r="J35" s="50">
        <v>14.159000000000001</v>
      </c>
      <c r="K35" s="51">
        <f t="shared" si="0"/>
        <v>14.882333333333335</v>
      </c>
      <c r="L35" s="50">
        <v>30</v>
      </c>
      <c r="M35" s="50">
        <v>30</v>
      </c>
      <c r="N35" s="50">
        <v>30</v>
      </c>
      <c r="O35" s="51">
        <f t="shared" ref="O35:O45" si="1">SUM(L35:N35)/3</f>
        <v>30</v>
      </c>
      <c r="P35" s="51">
        <f t="shared" ref="P35" si="2">((PI()/4)*POWER(K35,2))</f>
        <v>173.95300543427101</v>
      </c>
      <c r="Q35" s="51">
        <v>13.42</v>
      </c>
      <c r="R35" s="51">
        <f t="shared" ref="R35:R45" si="3">Q35/((P35*O35)/POWER(100,3))</f>
        <v>2571.5757667800708</v>
      </c>
      <c r="S35" s="50">
        <f>AB33*275.9</f>
        <v>28141.8</v>
      </c>
      <c r="T35" s="51">
        <f t="shared" ref="T35:T45" si="4">S35/P35</f>
        <v>161.77817640887795</v>
      </c>
      <c r="U35" s="51">
        <f>T35/10.1972</f>
        <v>15.864960617510487</v>
      </c>
      <c r="V35" s="51">
        <f t="shared" ref="V35" si="5">U35*145.03777</f>
        <v>2301.0185091015437</v>
      </c>
      <c r="W35" s="52">
        <f t="shared" ref="W35:W45" si="6">U35/$S$16</f>
        <v>0.75547431511954699</v>
      </c>
      <c r="X35" s="32" t="s">
        <v>63</v>
      </c>
      <c r="Y35" s="53"/>
    </row>
    <row r="36" spans="1:28" ht="73.5" customHeight="1" thickBot="1" x14ac:dyDescent="0.3">
      <c r="A36" s="166">
        <v>2</v>
      </c>
      <c r="B36" s="36">
        <v>43353</v>
      </c>
      <c r="C36" s="36">
        <v>43360</v>
      </c>
      <c r="D36" s="37">
        <v>14</v>
      </c>
      <c r="E36" s="54">
        <v>15.121</v>
      </c>
      <c r="F36" s="54">
        <v>15.076000000000001</v>
      </c>
      <c r="G36" s="54">
        <v>15.135999999999999</v>
      </c>
      <c r="H36" s="54">
        <v>15.151999999999999</v>
      </c>
      <c r="I36" s="54">
        <v>15.034000000000001</v>
      </c>
      <c r="J36" s="54">
        <v>15.12</v>
      </c>
      <c r="K36" s="38">
        <f t="shared" si="0"/>
        <v>15.106500000000002</v>
      </c>
      <c r="L36" s="37">
        <v>30</v>
      </c>
      <c r="M36" s="37">
        <v>30</v>
      </c>
      <c r="N36" s="37">
        <v>30</v>
      </c>
      <c r="O36" s="38">
        <f>SUM(L36:N36)/3</f>
        <v>30</v>
      </c>
      <c r="P36" s="38">
        <f>((PI()/4)*POWER(K36,2))</f>
        <v>179.23284207879956</v>
      </c>
      <c r="Q36" s="38">
        <v>13.285</v>
      </c>
      <c r="R36" s="38">
        <f>Q36/((P36*O36)/POWER(100,3))</f>
        <v>2470.7153454534969</v>
      </c>
      <c r="S36" s="37">
        <f>AB33*326.5</f>
        <v>33303</v>
      </c>
      <c r="T36" s="38">
        <f>S36/P36</f>
        <v>185.80858069169247</v>
      </c>
      <c r="U36" s="38">
        <f>T36/10.1972</f>
        <v>18.221529507285574</v>
      </c>
      <c r="V36" s="38">
        <f t="shared" ref="V36:V45" si="7">U36*145.03777</f>
        <v>2642.8100057258985</v>
      </c>
      <c r="W36" s="39">
        <f>U36/$S$16</f>
        <v>0.86769188129931307</v>
      </c>
      <c r="X36" s="40" t="s">
        <v>67</v>
      </c>
      <c r="Y36" s="41"/>
    </row>
    <row r="37" spans="1:28" ht="72.75" customHeight="1" thickBot="1" x14ac:dyDescent="0.3">
      <c r="A37" s="167"/>
      <c r="B37" s="28">
        <v>43353</v>
      </c>
      <c r="C37" s="28">
        <v>43360</v>
      </c>
      <c r="D37" s="29">
        <v>14</v>
      </c>
      <c r="E37" s="30">
        <v>14.944000000000001</v>
      </c>
      <c r="F37" s="30">
        <v>15.145</v>
      </c>
      <c r="G37" s="30">
        <v>15.087</v>
      </c>
      <c r="H37" s="30">
        <v>15.19</v>
      </c>
      <c r="I37" s="30">
        <v>15.212999999999999</v>
      </c>
      <c r="J37" s="30">
        <v>15.18</v>
      </c>
      <c r="K37" s="26">
        <f t="shared" si="0"/>
        <v>15.126499999999998</v>
      </c>
      <c r="L37" s="29">
        <v>30</v>
      </c>
      <c r="M37" s="29">
        <v>30</v>
      </c>
      <c r="N37" s="29">
        <v>30</v>
      </c>
      <c r="O37" s="26">
        <f>SUM(L37:N37)/3</f>
        <v>30</v>
      </c>
      <c r="P37" s="26">
        <f>((PI()/4)*POWER(K37,2))</f>
        <v>179.70774093227936</v>
      </c>
      <c r="Q37" s="26">
        <v>12.86</v>
      </c>
      <c r="R37" s="26">
        <f t="shared" si="3"/>
        <v>2385.3544897000534</v>
      </c>
      <c r="S37" s="29">
        <f>AB33*330.4</f>
        <v>33700.799999999996</v>
      </c>
      <c r="T37" s="26">
        <f>S37/P37</f>
        <v>187.53115377873303</v>
      </c>
      <c r="U37" s="26">
        <f>T37/10.1972</f>
        <v>18.390455593568138</v>
      </c>
      <c r="V37" s="26">
        <f t="shared" si="7"/>
        <v>2667.3106685751491</v>
      </c>
      <c r="W37" s="25">
        <f>U37/$S$16</f>
        <v>0.87573598064610181</v>
      </c>
      <c r="X37" s="40" t="s">
        <v>67</v>
      </c>
      <c r="Y37" s="41"/>
    </row>
    <row r="38" spans="1:28" ht="79.5" customHeight="1" thickBot="1" x14ac:dyDescent="0.3">
      <c r="A38" s="167"/>
      <c r="B38" s="28">
        <v>43353</v>
      </c>
      <c r="C38" s="28">
        <v>43360</v>
      </c>
      <c r="D38" s="29">
        <v>14</v>
      </c>
      <c r="E38" s="29">
        <v>15.096</v>
      </c>
      <c r="F38" s="29">
        <v>14.945</v>
      </c>
      <c r="G38" s="29">
        <v>15.034000000000001</v>
      </c>
      <c r="H38" s="29">
        <v>15.074999999999999</v>
      </c>
      <c r="I38" s="29">
        <v>15.214</v>
      </c>
      <c r="J38" s="29">
        <v>15.606</v>
      </c>
      <c r="K38" s="26">
        <f t="shared" si="0"/>
        <v>15.161666666666667</v>
      </c>
      <c r="L38" s="29">
        <v>30</v>
      </c>
      <c r="M38" s="29">
        <v>30</v>
      </c>
      <c r="N38" s="29">
        <v>30</v>
      </c>
      <c r="O38" s="26">
        <f t="shared" si="1"/>
        <v>30</v>
      </c>
      <c r="P38" s="26">
        <f>((PI()/4)*POWER(K38,2))</f>
        <v>180.54429511056853</v>
      </c>
      <c r="Q38" s="26">
        <v>12.84</v>
      </c>
      <c r="R38" s="26">
        <f t="shared" si="3"/>
        <v>2370.6093827993022</v>
      </c>
      <c r="S38" s="29">
        <f>AB33*327.4</f>
        <v>33394.799999999996</v>
      </c>
      <c r="T38" s="26">
        <f t="shared" si="4"/>
        <v>184.96735097361247</v>
      </c>
      <c r="U38" s="26">
        <f t="shared" ref="U38:U45" si="8">T38/10.1972</f>
        <v>18.139033359511675</v>
      </c>
      <c r="V38" s="26">
        <f t="shared" si="7"/>
        <v>2630.8449484191815</v>
      </c>
      <c r="W38" s="25">
        <f t="shared" si="6"/>
        <v>0.86376349331007973</v>
      </c>
      <c r="X38" s="40" t="s">
        <v>67</v>
      </c>
      <c r="Y38" s="41"/>
    </row>
    <row r="39" spans="1:28" ht="79.5" customHeight="1" thickBot="1" x14ac:dyDescent="0.3">
      <c r="A39" s="168"/>
      <c r="B39" s="43">
        <v>43353</v>
      </c>
      <c r="C39" s="43">
        <v>43360</v>
      </c>
      <c r="D39" s="44">
        <v>14</v>
      </c>
      <c r="E39" s="44">
        <v>15.249000000000001</v>
      </c>
      <c r="F39" s="44">
        <v>15.125</v>
      </c>
      <c r="G39" s="44">
        <v>14.930999999999999</v>
      </c>
      <c r="H39" s="44">
        <v>15.167</v>
      </c>
      <c r="I39" s="44">
        <v>15.055999999999999</v>
      </c>
      <c r="J39" s="44">
        <v>15.285</v>
      </c>
      <c r="K39" s="45">
        <f t="shared" si="0"/>
        <v>15.1355</v>
      </c>
      <c r="L39" s="44">
        <v>30</v>
      </c>
      <c r="M39" s="44">
        <v>30</v>
      </c>
      <c r="N39" s="44">
        <v>30</v>
      </c>
      <c r="O39" s="45">
        <f t="shared" si="1"/>
        <v>30</v>
      </c>
      <c r="P39" s="45">
        <f>((PI()/4)*POWER(K39,2))</f>
        <v>179.92165040526601</v>
      </c>
      <c r="Q39" s="45">
        <v>13.315</v>
      </c>
      <c r="R39" s="45">
        <f t="shared" si="3"/>
        <v>2466.8144847138587</v>
      </c>
      <c r="S39" s="44">
        <f>AB33*324.1</f>
        <v>33058.200000000004</v>
      </c>
      <c r="T39" s="45">
        <f t="shared" si="4"/>
        <v>183.7366427305318</v>
      </c>
      <c r="U39" s="45">
        <f t="shared" si="8"/>
        <v>18.018342557813103</v>
      </c>
      <c r="V39" s="45">
        <f t="shared" si="7"/>
        <v>2613.3402236813085</v>
      </c>
      <c r="W39" s="46">
        <f t="shared" si="6"/>
        <v>0.85801631227681441</v>
      </c>
      <c r="X39" s="40" t="s">
        <v>67</v>
      </c>
      <c r="Y39" s="41"/>
    </row>
    <row r="40" spans="1:28" s="65" customFormat="1" ht="66" customHeight="1" thickBot="1" x14ac:dyDescent="0.3">
      <c r="A40" s="162">
        <v>3</v>
      </c>
      <c r="B40" s="56">
        <v>43348</v>
      </c>
      <c r="C40" s="56">
        <v>43369</v>
      </c>
      <c r="D40" s="57">
        <v>21</v>
      </c>
      <c r="E40" s="70">
        <v>15.157999999999999</v>
      </c>
      <c r="F40" s="70">
        <v>15.161</v>
      </c>
      <c r="G40" s="70">
        <v>15.092000000000001</v>
      </c>
      <c r="H40" s="70">
        <v>15.324999999999999</v>
      </c>
      <c r="I40" s="70">
        <v>14.948</v>
      </c>
      <c r="J40" s="70">
        <v>15.266999999999999</v>
      </c>
      <c r="K40" s="66">
        <f t="shared" ref="K40:K45" si="9">SUM(E40:J40)/6</f>
        <v>15.158499999999998</v>
      </c>
      <c r="L40" s="70">
        <v>30</v>
      </c>
      <c r="M40" s="70">
        <v>30</v>
      </c>
      <c r="N40" s="70">
        <v>30</v>
      </c>
      <c r="O40" s="66">
        <f t="shared" si="1"/>
        <v>30</v>
      </c>
      <c r="P40" s="66">
        <f t="shared" ref="P40:P45" si="10">((PI()/4)*POWER(K40,2))</f>
        <v>180.46888600039111</v>
      </c>
      <c r="Q40" s="64">
        <v>13.13</v>
      </c>
      <c r="R40" s="64">
        <f t="shared" si="3"/>
        <v>2425.1641175738082</v>
      </c>
      <c r="S40" s="70">
        <f>AB33*359.1</f>
        <v>36628.200000000004</v>
      </c>
      <c r="T40" s="64">
        <f t="shared" si="4"/>
        <v>202.96130159478363</v>
      </c>
      <c r="U40" s="64">
        <f t="shared" si="8"/>
        <v>19.903630564741658</v>
      </c>
      <c r="V40" s="64">
        <f t="shared" si="7"/>
        <v>2886.7781920139705</v>
      </c>
      <c r="W40" s="25">
        <f>U40/$S$16</f>
        <v>0.94779193165436459</v>
      </c>
      <c r="X40" s="40" t="s">
        <v>67</v>
      </c>
      <c r="Y40" s="41"/>
      <c r="AB40" s="4"/>
    </row>
    <row r="41" spans="1:28" s="65" customFormat="1" ht="46.5" customHeight="1" thickBot="1" x14ac:dyDescent="0.3">
      <c r="A41" s="163"/>
      <c r="B41" s="59">
        <v>43348</v>
      </c>
      <c r="C41" s="59">
        <v>43369</v>
      </c>
      <c r="D41" s="60">
        <v>21</v>
      </c>
      <c r="E41" s="71">
        <v>15.198</v>
      </c>
      <c r="F41" s="71">
        <v>15.19</v>
      </c>
      <c r="G41" s="71">
        <v>15.247</v>
      </c>
      <c r="H41" s="71">
        <v>15.207000000000001</v>
      </c>
      <c r="I41" s="71">
        <v>15.243</v>
      </c>
      <c r="J41" s="71">
        <v>15.186</v>
      </c>
      <c r="K41" s="58">
        <f t="shared" si="9"/>
        <v>15.211833333333331</v>
      </c>
      <c r="L41" s="71">
        <v>30</v>
      </c>
      <c r="M41" s="71">
        <v>30</v>
      </c>
      <c r="N41" s="71">
        <v>30</v>
      </c>
      <c r="O41" s="58">
        <f t="shared" si="1"/>
        <v>30</v>
      </c>
      <c r="P41" s="58">
        <f t="shared" si="10"/>
        <v>181.74103554821875</v>
      </c>
      <c r="Q41" s="69">
        <v>12.984999999999999</v>
      </c>
      <c r="R41" s="69">
        <f t="shared" si="3"/>
        <v>2381.593854286672</v>
      </c>
      <c r="S41" s="71">
        <f>AB33*356.4</f>
        <v>36352.799999999996</v>
      </c>
      <c r="T41" s="69">
        <f t="shared" si="4"/>
        <v>200.02527161982098</v>
      </c>
      <c r="U41" s="69">
        <f t="shared" si="8"/>
        <v>19.615705450498272</v>
      </c>
      <c r="V41" s="69">
        <f t="shared" si="7"/>
        <v>2845.0181755171147</v>
      </c>
      <c r="W41" s="25">
        <f t="shared" si="6"/>
        <v>0.93408121192848914</v>
      </c>
      <c r="X41" s="40" t="s">
        <v>67</v>
      </c>
      <c r="Y41" s="41"/>
      <c r="AB41" s="4"/>
    </row>
    <row r="42" spans="1:28" s="65" customFormat="1" ht="51" customHeight="1" thickBot="1" x14ac:dyDescent="0.3">
      <c r="A42" s="164"/>
      <c r="B42" s="80">
        <v>43348</v>
      </c>
      <c r="C42" s="80">
        <v>43369</v>
      </c>
      <c r="D42" s="81">
        <v>21</v>
      </c>
      <c r="E42" s="82">
        <v>15.233000000000001</v>
      </c>
      <c r="F42" s="82">
        <v>15.236000000000001</v>
      </c>
      <c r="G42" s="82">
        <v>15.269</v>
      </c>
      <c r="H42" s="82">
        <v>15.398</v>
      </c>
      <c r="I42" s="82">
        <v>15.199</v>
      </c>
      <c r="J42" s="82">
        <v>15.137</v>
      </c>
      <c r="K42" s="78">
        <f t="shared" si="9"/>
        <v>15.245333333333333</v>
      </c>
      <c r="L42" s="82">
        <v>30</v>
      </c>
      <c r="M42" s="82">
        <v>30</v>
      </c>
      <c r="N42" s="82">
        <v>30</v>
      </c>
      <c r="O42" s="78">
        <f t="shared" si="1"/>
        <v>30</v>
      </c>
      <c r="P42" s="78">
        <f t="shared" si="10"/>
        <v>182.54238914075549</v>
      </c>
      <c r="Q42" s="83">
        <v>13.33</v>
      </c>
      <c r="R42" s="83">
        <f t="shared" si="3"/>
        <v>2434.1378209458794</v>
      </c>
      <c r="S42" s="82">
        <f>AB33*360.5</f>
        <v>36771</v>
      </c>
      <c r="T42" s="83">
        <f t="shared" si="4"/>
        <v>201.43814361740644</v>
      </c>
      <c r="U42" s="83">
        <f t="shared" si="8"/>
        <v>19.754260347684308</v>
      </c>
      <c r="V42" s="83">
        <f t="shared" si="7"/>
        <v>2865.1138688275569</v>
      </c>
      <c r="W42" s="52">
        <f t="shared" si="6"/>
        <v>0.94067906417544322</v>
      </c>
      <c r="X42" s="40" t="s">
        <v>67</v>
      </c>
      <c r="Y42" s="41"/>
      <c r="AB42" s="4"/>
    </row>
    <row r="43" spans="1:28" s="63" customFormat="1" ht="54.75" customHeight="1" thickBot="1" x14ac:dyDescent="0.3">
      <c r="A43" s="162">
        <v>4</v>
      </c>
      <c r="B43" s="56">
        <v>43348</v>
      </c>
      <c r="C43" s="79">
        <v>43376</v>
      </c>
      <c r="D43" s="57">
        <v>28</v>
      </c>
      <c r="E43" s="105">
        <v>15.05</v>
      </c>
      <c r="F43" s="105">
        <v>15.09</v>
      </c>
      <c r="G43" s="105">
        <v>15.13</v>
      </c>
      <c r="H43" s="105">
        <v>15.19</v>
      </c>
      <c r="I43" s="105">
        <v>14.99</v>
      </c>
      <c r="J43" s="105">
        <v>15.09</v>
      </c>
      <c r="K43" s="84">
        <f>SUM(E43:J43)/6</f>
        <v>15.090000000000002</v>
      </c>
      <c r="L43" s="70">
        <v>30</v>
      </c>
      <c r="M43" s="70">
        <v>30</v>
      </c>
      <c r="N43" s="70">
        <v>30</v>
      </c>
      <c r="O43" s="64">
        <f t="shared" si="1"/>
        <v>30</v>
      </c>
      <c r="P43" s="85">
        <f>((PI()/4)*POWER(K43,2))</f>
        <v>178.84152353072253</v>
      </c>
      <c r="Q43" s="106">
        <v>13.010999999999999</v>
      </c>
      <c r="R43" s="106">
        <f>Q43/((P43*O43)/POWER(100,3))</f>
        <v>2425.0520317531082</v>
      </c>
      <c r="S43" s="105">
        <f>AB33*360.2</f>
        <v>36740.400000000001</v>
      </c>
      <c r="T43" s="64">
        <f>S43/P43</f>
        <v>205.43551226059927</v>
      </c>
      <c r="U43" s="64">
        <f t="shared" si="8"/>
        <v>20.146266843898253</v>
      </c>
      <c r="V43" s="64">
        <f t="shared" si="7"/>
        <v>2921.9696168639407</v>
      </c>
      <c r="W43" s="25">
        <f t="shared" si="6"/>
        <v>0.95934604018563108</v>
      </c>
      <c r="X43" s="40" t="s">
        <v>67</v>
      </c>
      <c r="Y43" s="41"/>
      <c r="AB43" s="4"/>
    </row>
    <row r="44" spans="1:28" s="63" customFormat="1" ht="42" customHeight="1" thickBot="1" x14ac:dyDescent="0.3">
      <c r="A44" s="163"/>
      <c r="B44" s="59">
        <v>43348</v>
      </c>
      <c r="C44" s="59">
        <v>43376</v>
      </c>
      <c r="D44" s="60">
        <v>28</v>
      </c>
      <c r="E44" s="107">
        <v>15.06</v>
      </c>
      <c r="F44" s="107">
        <v>15.01</v>
      </c>
      <c r="G44" s="107">
        <v>15.08</v>
      </c>
      <c r="H44" s="107">
        <v>14.93</v>
      </c>
      <c r="I44" s="107">
        <v>15.04</v>
      </c>
      <c r="J44" s="107">
        <v>15.04</v>
      </c>
      <c r="K44" s="58">
        <f t="shared" si="9"/>
        <v>15.026666666666666</v>
      </c>
      <c r="L44" s="71">
        <v>30</v>
      </c>
      <c r="M44" s="71">
        <v>30</v>
      </c>
      <c r="N44" s="71">
        <v>30</v>
      </c>
      <c r="O44" s="69">
        <f t="shared" si="1"/>
        <v>30</v>
      </c>
      <c r="P44" s="68">
        <f t="shared" si="10"/>
        <v>177.34346380050442</v>
      </c>
      <c r="Q44" s="108">
        <v>13.1</v>
      </c>
      <c r="R44" s="108">
        <f t="shared" si="3"/>
        <v>2462.2653539567591</v>
      </c>
      <c r="S44" s="107">
        <f>AB33*361.91</f>
        <v>36914.82</v>
      </c>
      <c r="T44" s="69">
        <f t="shared" si="4"/>
        <v>208.15438702339702</v>
      </c>
      <c r="U44" s="69">
        <f t="shared" si="8"/>
        <v>20.412896385615365</v>
      </c>
      <c r="V44" s="69">
        <f t="shared" si="7"/>
        <v>2960.6409710107127</v>
      </c>
      <c r="W44" s="25">
        <f t="shared" si="6"/>
        <v>0.97204268502930313</v>
      </c>
      <c r="X44" s="40" t="s">
        <v>67</v>
      </c>
      <c r="Y44" s="41"/>
      <c r="AB44" s="4"/>
    </row>
    <row r="45" spans="1:28" s="63" customFormat="1" ht="42.75" customHeight="1" thickBot="1" x14ac:dyDescent="0.3">
      <c r="A45" s="165"/>
      <c r="B45" s="61">
        <v>43348</v>
      </c>
      <c r="C45" s="86">
        <v>43376</v>
      </c>
      <c r="D45" s="62">
        <v>28</v>
      </c>
      <c r="E45" s="109">
        <v>15.11</v>
      </c>
      <c r="F45" s="109">
        <v>15.01</v>
      </c>
      <c r="G45" s="109">
        <v>15.11</v>
      </c>
      <c r="H45" s="109">
        <v>15.11</v>
      </c>
      <c r="I45" s="109">
        <v>15.12</v>
      </c>
      <c r="J45" s="109">
        <v>15.09</v>
      </c>
      <c r="K45" s="67">
        <f t="shared" si="9"/>
        <v>15.091666666666667</v>
      </c>
      <c r="L45" s="109">
        <v>30</v>
      </c>
      <c r="M45" s="109">
        <v>30</v>
      </c>
      <c r="N45" s="109">
        <v>30</v>
      </c>
      <c r="O45" s="110">
        <f t="shared" si="1"/>
        <v>30</v>
      </c>
      <c r="P45" s="67">
        <f t="shared" si="10"/>
        <v>178.88103124000295</v>
      </c>
      <c r="Q45" s="110">
        <v>13.144</v>
      </c>
      <c r="R45" s="110">
        <f t="shared" si="3"/>
        <v>2449.3001314683506</v>
      </c>
      <c r="S45" s="109">
        <f>AB33*358.08</f>
        <v>36524.159999999996</v>
      </c>
      <c r="T45" s="111">
        <f t="shared" si="4"/>
        <v>204.18129159259979</v>
      </c>
      <c r="U45" s="111">
        <f t="shared" si="8"/>
        <v>20.023270269544561</v>
      </c>
      <c r="V45" s="111">
        <f t="shared" si="7"/>
        <v>2904.1304680020421</v>
      </c>
      <c r="W45" s="25">
        <f t="shared" si="6"/>
        <v>0.95348906045450288</v>
      </c>
      <c r="X45" s="40" t="s">
        <v>67</v>
      </c>
      <c r="Y45" s="41"/>
      <c r="AB45" s="4"/>
    </row>
    <row r="49" spans="14:25" x14ac:dyDescent="0.25">
      <c r="N49" s="4" t="s">
        <v>78</v>
      </c>
    </row>
    <row r="51" spans="14:25" x14ac:dyDescent="0.25">
      <c r="N51" s="183" t="s">
        <v>79</v>
      </c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</row>
    <row r="52" spans="14:25" x14ac:dyDescent="0.25"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</row>
    <row r="53" spans="14:25" x14ac:dyDescent="0.25"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</row>
    <row r="64" spans="14:25" x14ac:dyDescent="0.25">
      <c r="N64" s="4" t="s">
        <v>80</v>
      </c>
    </row>
    <row r="66" spans="13:27" x14ac:dyDescent="0.25">
      <c r="N66" s="4" t="s">
        <v>81</v>
      </c>
    </row>
    <row r="68" spans="13:27" x14ac:dyDescent="0.25">
      <c r="N68" s="4" t="s">
        <v>82</v>
      </c>
    </row>
    <row r="71" spans="13:27" x14ac:dyDescent="0.25">
      <c r="N71" s="127" t="s">
        <v>83</v>
      </c>
      <c r="P71" s="127" t="s">
        <v>91</v>
      </c>
      <c r="Q71" s="127"/>
      <c r="R71" s="127"/>
      <c r="S71" s="127" t="s">
        <v>84</v>
      </c>
      <c r="T71" s="127"/>
      <c r="U71" s="127" t="s">
        <v>91</v>
      </c>
      <c r="V71" s="127"/>
      <c r="W71" s="127"/>
      <c r="X71" s="127" t="s">
        <v>85</v>
      </c>
      <c r="Y71" s="127" t="s">
        <v>91</v>
      </c>
    </row>
    <row r="73" spans="13:27" ht="45" x14ac:dyDescent="0.25">
      <c r="N73" s="130" t="s">
        <v>86</v>
      </c>
      <c r="O73" s="131" t="s">
        <v>87</v>
      </c>
      <c r="P73" s="131" t="s">
        <v>90</v>
      </c>
      <c r="Q73" s="127"/>
      <c r="R73" s="127"/>
      <c r="S73" s="129" t="s">
        <v>86</v>
      </c>
      <c r="T73" s="129" t="s">
        <v>88</v>
      </c>
      <c r="U73" s="129" t="s">
        <v>90</v>
      </c>
      <c r="V73" s="128"/>
      <c r="W73" s="128"/>
      <c r="X73" s="129" t="s">
        <v>86</v>
      </c>
      <c r="Y73" s="129" t="s">
        <v>89</v>
      </c>
      <c r="Z73" s="129" t="s">
        <v>90</v>
      </c>
      <c r="AA73" s="127"/>
    </row>
    <row r="74" spans="13:27" ht="15.75" thickBot="1" x14ac:dyDescent="0.3"/>
    <row r="75" spans="13:27" x14ac:dyDescent="0.25">
      <c r="M75" s="184" t="s">
        <v>92</v>
      </c>
      <c r="N75" s="119">
        <v>0.7200718828195154</v>
      </c>
      <c r="O75" s="119">
        <v>0.88190031955990833</v>
      </c>
      <c r="P75" s="116">
        <f>O75-N75</f>
        <v>0.16182843674039293</v>
      </c>
      <c r="R75" s="184" t="s">
        <v>92</v>
      </c>
      <c r="S75" s="119">
        <v>0.7200718828195154</v>
      </c>
      <c r="T75" s="119">
        <v>0.88863132546120327</v>
      </c>
      <c r="U75" s="116">
        <f>T75-S75</f>
        <v>0.16855944264168787</v>
      </c>
      <c r="W75" s="184" t="s">
        <v>92</v>
      </c>
      <c r="X75" s="119">
        <v>0.7200718828195154</v>
      </c>
      <c r="Y75" s="119">
        <v>0.62240872815765313</v>
      </c>
      <c r="Z75" s="116">
        <f>Y75-X75</f>
        <v>-9.7663154661862261E-2</v>
      </c>
    </row>
    <row r="76" spans="13:27" x14ac:dyDescent="0.25">
      <c r="M76" s="185"/>
      <c r="N76" s="120">
        <v>0.7425225829762726</v>
      </c>
      <c r="O76" s="120">
        <v>0.86445366803974366</v>
      </c>
      <c r="P76" s="117">
        <f t="shared" ref="P76:P87" si="11">O76-N76</f>
        <v>0.12193108506347106</v>
      </c>
      <c r="R76" s="185"/>
      <c r="S76" s="120">
        <v>0.7425225829762726</v>
      </c>
      <c r="T76" s="120">
        <v>0.86137826224154901</v>
      </c>
      <c r="U76" s="117">
        <f t="shared" ref="U76:U87" si="12">T76-S76</f>
        <v>0.1188556792652764</v>
      </c>
      <c r="W76" s="185"/>
      <c r="X76" s="120">
        <v>0.7425225829762726</v>
      </c>
      <c r="Y76" s="120">
        <v>0.63065446664757507</v>
      </c>
      <c r="Z76" s="117">
        <f>Y76-X76</f>
        <v>-0.11186811632869753</v>
      </c>
    </row>
    <row r="77" spans="13:27" ht="15.75" thickBot="1" x14ac:dyDescent="0.3">
      <c r="M77" s="186"/>
      <c r="N77" s="121">
        <v>0.75547431511954699</v>
      </c>
      <c r="O77" s="121">
        <v>0.8459237541885084</v>
      </c>
      <c r="P77" s="118">
        <f t="shared" si="11"/>
        <v>9.0449439068961413E-2</v>
      </c>
      <c r="R77" s="186"/>
      <c r="S77" s="121">
        <v>0.75547431511954699</v>
      </c>
      <c r="T77" s="121">
        <v>0.87688237721579942</v>
      </c>
      <c r="U77" s="118">
        <f t="shared" si="12"/>
        <v>0.12140806209625243</v>
      </c>
      <c r="W77" s="186"/>
      <c r="X77" s="121">
        <v>0.75547431511954699</v>
      </c>
      <c r="Y77" s="121">
        <v>0.64266339754738477</v>
      </c>
      <c r="Z77" s="118">
        <f t="shared" ref="Z77:Z86" si="13">Y77-X77</f>
        <v>-0.11281091757216222</v>
      </c>
    </row>
    <row r="78" spans="13:27" x14ac:dyDescent="0.25">
      <c r="M78" s="187" t="s">
        <v>93</v>
      </c>
      <c r="N78" s="125">
        <v>0.86769188129931307</v>
      </c>
      <c r="O78" s="119">
        <v>0.92068366388535816</v>
      </c>
      <c r="P78" s="122">
        <f t="shared" si="11"/>
        <v>5.2991782586045089E-2</v>
      </c>
      <c r="R78" s="187" t="s">
        <v>93</v>
      </c>
      <c r="S78" s="125">
        <v>0.86769188129931307</v>
      </c>
      <c r="T78" s="119">
        <v>0.93051714725167822</v>
      </c>
      <c r="U78" s="122">
        <f t="shared" si="12"/>
        <v>6.282526595236515E-2</v>
      </c>
      <c r="W78" s="190" t="s">
        <v>93</v>
      </c>
      <c r="X78" s="125">
        <v>0.86769188129931307</v>
      </c>
      <c r="Y78" s="119">
        <v>0.64136215024980969</v>
      </c>
      <c r="Z78" s="122">
        <f t="shared" si="13"/>
        <v>-0.22632973104950338</v>
      </c>
    </row>
    <row r="79" spans="13:27" x14ac:dyDescent="0.25">
      <c r="M79" s="188"/>
      <c r="N79" s="126">
        <v>0.87573598064610181</v>
      </c>
      <c r="O79" s="120">
        <v>0.90251852520290166</v>
      </c>
      <c r="P79" s="123">
        <f t="shared" si="11"/>
        <v>2.6782544556799848E-2</v>
      </c>
      <c r="R79" s="188"/>
      <c r="S79" s="126">
        <v>0.87573598064610181</v>
      </c>
      <c r="T79" s="120">
        <v>0.92465234891645542</v>
      </c>
      <c r="U79" s="123">
        <f>T79-S79</f>
        <v>4.8916368270353616E-2</v>
      </c>
      <c r="W79" s="191"/>
      <c r="X79" s="126">
        <v>0.87573598064610181</v>
      </c>
      <c r="Y79" s="120">
        <v>0.65143167012712255</v>
      </c>
      <c r="Z79" s="123">
        <f t="shared" si="13"/>
        <v>-0.22430431051897926</v>
      </c>
    </row>
    <row r="80" spans="13:27" ht="15.75" thickBot="1" x14ac:dyDescent="0.3">
      <c r="M80" s="188"/>
      <c r="N80" s="126">
        <v>0.86376349331007973</v>
      </c>
      <c r="O80" s="120">
        <v>0.92214185326058185</v>
      </c>
      <c r="P80" s="123">
        <f t="shared" si="11"/>
        <v>5.8378359950502112E-2</v>
      </c>
      <c r="R80" s="188"/>
      <c r="S80" s="126">
        <v>0.86376349331007973</v>
      </c>
      <c r="T80" s="120">
        <v>0.9150128191055541</v>
      </c>
      <c r="U80" s="123">
        <f t="shared" si="12"/>
        <v>5.1249325795474365E-2</v>
      </c>
      <c r="W80" s="192"/>
      <c r="X80" s="126">
        <v>0.86376349331007973</v>
      </c>
      <c r="Y80" s="120">
        <v>0.65311034171888149</v>
      </c>
      <c r="Z80" s="123">
        <f t="shared" si="13"/>
        <v>-0.21065315159119824</v>
      </c>
    </row>
    <row r="81" spans="13:26" ht="15.75" thickBot="1" x14ac:dyDescent="0.3">
      <c r="M81" s="189"/>
      <c r="N81" s="126">
        <v>0.85801631227681441</v>
      </c>
      <c r="O81" s="121">
        <v>0.97272119449611594</v>
      </c>
      <c r="P81" s="124">
        <f t="shared" si="11"/>
        <v>0.11470488221930153</v>
      </c>
      <c r="R81" s="189"/>
      <c r="S81" s="126">
        <v>0.85801631227681441</v>
      </c>
      <c r="T81" s="121">
        <v>0.93771192117551838</v>
      </c>
      <c r="U81" s="124">
        <f t="shared" si="12"/>
        <v>7.9695608898703973E-2</v>
      </c>
      <c r="W81" s="184" t="s">
        <v>94</v>
      </c>
      <c r="X81" s="119">
        <v>0.94779193165436459</v>
      </c>
      <c r="Y81" s="119">
        <v>0.68325036512025028</v>
      </c>
      <c r="Z81" s="116">
        <f t="shared" si="13"/>
        <v>-0.26454156653411431</v>
      </c>
    </row>
    <row r="82" spans="13:26" x14ac:dyDescent="0.25">
      <c r="M82" s="184" t="s">
        <v>94</v>
      </c>
      <c r="N82" s="119">
        <v>0.94779193165436459</v>
      </c>
      <c r="O82" s="119">
        <v>0.98399704556622458</v>
      </c>
      <c r="P82" s="116">
        <f t="shared" si="11"/>
        <v>3.6205113911859987E-2</v>
      </c>
      <c r="R82" s="184" t="s">
        <v>94</v>
      </c>
      <c r="S82" s="119">
        <v>0.94779193165436459</v>
      </c>
      <c r="T82" s="119">
        <v>0.97057881699592463</v>
      </c>
      <c r="U82" s="116">
        <f t="shared" si="12"/>
        <v>2.2786885341560037E-2</v>
      </c>
      <c r="W82" s="185"/>
      <c r="X82" s="120">
        <v>0.93408121192848914</v>
      </c>
      <c r="Y82" s="120">
        <v>0.69025628281483098</v>
      </c>
      <c r="Z82" s="117">
        <f t="shared" si="13"/>
        <v>-0.24382492911365816</v>
      </c>
    </row>
    <row r="83" spans="13:26" ht="15.75" thickBot="1" x14ac:dyDescent="0.3">
      <c r="M83" s="185"/>
      <c r="N83" s="120">
        <v>0.93408121192848914</v>
      </c>
      <c r="O83" s="120">
        <v>0.99954562777168376</v>
      </c>
      <c r="P83" s="117">
        <f t="shared" si="11"/>
        <v>6.5464415843194623E-2</v>
      </c>
      <c r="R83" s="185"/>
      <c r="S83" s="120">
        <v>0.93408121192848914</v>
      </c>
      <c r="T83" s="120">
        <v>0.9665612199391086</v>
      </c>
      <c r="U83" s="117">
        <f t="shared" si="12"/>
        <v>3.2480008010619454E-2</v>
      </c>
      <c r="W83" s="186"/>
      <c r="X83" s="121">
        <v>0.94067906417544322</v>
      </c>
      <c r="Y83" s="121">
        <v>0.69800464066100876</v>
      </c>
      <c r="Z83" s="118">
        <f t="shared" si="13"/>
        <v>-0.24267442351443447</v>
      </c>
    </row>
    <row r="84" spans="13:26" ht="15.75" thickBot="1" x14ac:dyDescent="0.3">
      <c r="M84" s="186"/>
      <c r="N84" s="121">
        <v>0.94067906417544322</v>
      </c>
      <c r="O84" s="121">
        <v>0.98835674259226669</v>
      </c>
      <c r="P84" s="118">
        <f t="shared" si="11"/>
        <v>4.7677678416823466E-2</v>
      </c>
      <c r="R84" s="186"/>
      <c r="S84" s="121">
        <v>0.94067906417544322</v>
      </c>
      <c r="T84" s="121">
        <v>0.98987115218918342</v>
      </c>
      <c r="U84" s="118">
        <f t="shared" si="12"/>
        <v>4.9192088013740198E-2</v>
      </c>
      <c r="W84" s="184" t="s">
        <v>95</v>
      </c>
      <c r="X84" s="119">
        <v>0.95934604018563108</v>
      </c>
      <c r="Y84" s="119">
        <v>0.72954345620228001</v>
      </c>
      <c r="Z84" s="116">
        <f t="shared" si="13"/>
        <v>-0.22980258398335107</v>
      </c>
    </row>
    <row r="85" spans="13:26" x14ac:dyDescent="0.25">
      <c r="M85" s="184" t="s">
        <v>95</v>
      </c>
      <c r="N85" s="119">
        <v>0.95934604018563108</v>
      </c>
      <c r="O85" s="119">
        <v>0.98163400743668372</v>
      </c>
      <c r="P85" s="116">
        <f t="shared" si="11"/>
        <v>2.2287967251052643E-2</v>
      </c>
      <c r="R85" s="184" t="s">
        <v>95</v>
      </c>
      <c r="S85" s="119">
        <v>0.95934604018563108</v>
      </c>
      <c r="T85" s="119">
        <v>1.0028005052767759</v>
      </c>
      <c r="U85" s="116">
        <f t="shared" si="12"/>
        <v>4.3454465091144812E-2</v>
      </c>
      <c r="W85" s="185"/>
      <c r="X85" s="120">
        <v>0.97204268502930313</v>
      </c>
      <c r="Y85" s="120">
        <v>0.75231556023334556</v>
      </c>
      <c r="Z85" s="117">
        <f t="shared" si="13"/>
        <v>-0.21972712479595757</v>
      </c>
    </row>
    <row r="86" spans="13:26" ht="15.75" thickBot="1" x14ac:dyDescent="0.3">
      <c r="M86" s="185"/>
      <c r="N86" s="120">
        <v>0.97204268502930313</v>
      </c>
      <c r="O86" s="120">
        <v>1.0058674221186672</v>
      </c>
      <c r="P86" s="117">
        <f t="shared" si="11"/>
        <v>3.3824737089364065E-2</v>
      </c>
      <c r="R86" s="185"/>
      <c r="S86" s="120">
        <v>0.97204268502930313</v>
      </c>
      <c r="T86" s="120">
        <v>1.0186549564030296</v>
      </c>
      <c r="U86" s="117">
        <f t="shared" si="12"/>
        <v>4.6612271373726477E-2</v>
      </c>
      <c r="W86" s="186"/>
      <c r="X86" s="121">
        <v>0.95348906045450288</v>
      </c>
      <c r="Y86" s="121">
        <v>0.74477082437261066</v>
      </c>
      <c r="Z86" s="118">
        <f t="shared" si="13"/>
        <v>-0.20871823608189222</v>
      </c>
    </row>
    <row r="87" spans="13:26" ht="15.75" thickBot="1" x14ac:dyDescent="0.3">
      <c r="M87" s="186"/>
      <c r="N87" s="121">
        <v>0.95348906045450288</v>
      </c>
      <c r="O87" s="121">
        <v>1.012994517998665</v>
      </c>
      <c r="P87" s="118">
        <f t="shared" si="11"/>
        <v>5.9505457544162144E-2</v>
      </c>
      <c r="R87" s="186"/>
      <c r="S87" s="121">
        <v>0.95348906045450288</v>
      </c>
      <c r="T87" s="121">
        <v>0.99691903860467312</v>
      </c>
      <c r="U87" s="118">
        <f t="shared" si="12"/>
        <v>4.3429978150170245E-2</v>
      </c>
    </row>
  </sheetData>
  <sheetProtection selectLockedCells="1"/>
  <mergeCells count="44">
    <mergeCell ref="N51:Y53"/>
    <mergeCell ref="M75:M77"/>
    <mergeCell ref="M78:M81"/>
    <mergeCell ref="M82:M84"/>
    <mergeCell ref="M85:M87"/>
    <mergeCell ref="R75:R77"/>
    <mergeCell ref="R78:R81"/>
    <mergeCell ref="R82:R84"/>
    <mergeCell ref="R85:R87"/>
    <mergeCell ref="W75:W77"/>
    <mergeCell ref="W81:W83"/>
    <mergeCell ref="W84:W86"/>
    <mergeCell ref="W78:W80"/>
    <mergeCell ref="V9:Y9"/>
    <mergeCell ref="C10:F10"/>
    <mergeCell ref="I10:L10"/>
    <mergeCell ref="U29:W29"/>
    <mergeCell ref="A31:Z31"/>
    <mergeCell ref="S12:V12"/>
    <mergeCell ref="E13:I13"/>
    <mergeCell ref="E14:I14"/>
    <mergeCell ref="E15:I15"/>
    <mergeCell ref="S15:V15"/>
    <mergeCell ref="E16:I16"/>
    <mergeCell ref="S16:V16"/>
    <mergeCell ref="E29:G29"/>
    <mergeCell ref="H29:J29"/>
    <mergeCell ref="L29:N29"/>
    <mergeCell ref="A40:A42"/>
    <mergeCell ref="A43:A45"/>
    <mergeCell ref="A36:A39"/>
    <mergeCell ref="C4:J4"/>
    <mergeCell ref="M4:S4"/>
    <mergeCell ref="C9:F9"/>
    <mergeCell ref="I9:L9"/>
    <mergeCell ref="O9:S9"/>
    <mergeCell ref="A32:Z32"/>
    <mergeCell ref="A33:A35"/>
    <mergeCell ref="W4:Y4"/>
    <mergeCell ref="C5:Y5"/>
    <mergeCell ref="C8:F8"/>
    <mergeCell ref="I8:L8"/>
    <mergeCell ref="O8:S8"/>
    <mergeCell ref="V8:Y8"/>
  </mergeCells>
  <printOptions horizontalCentered="1" verticalCentered="1"/>
  <pageMargins left="0.39370078740157483" right="0.39370078740157483" top="0.39370078740157483" bottom="0.39370078740157483" header="0.31496062992125984" footer="0.39370078740157483"/>
  <pageSetup paperSize="9" scale="33" orientation="portrait" r:id="rId1"/>
  <colBreaks count="1" manualBreakCount="1">
    <brk id="26" max="34" man="1"/>
  </colBreaks>
  <ignoredErrors>
    <ignoredError sqref="K33:K42 K44:K4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29"/>
  <sheetViews>
    <sheetView topLeftCell="A4" zoomScale="80" zoomScaleNormal="80" workbookViewId="0">
      <selection activeCell="D29" sqref="D29:E29"/>
    </sheetView>
  </sheetViews>
  <sheetFormatPr baseColWidth="10" defaultRowHeight="15" x14ac:dyDescent="0.25"/>
  <cols>
    <col min="1" max="2" width="24.5703125" customWidth="1"/>
    <col min="3" max="3" width="27.28515625" customWidth="1"/>
    <col min="4" max="5" width="35.7109375" customWidth="1"/>
    <col min="6" max="6" width="16.42578125" customWidth="1"/>
    <col min="8" max="8" width="14.85546875" customWidth="1"/>
  </cols>
  <sheetData>
    <row r="1" spans="1:8" x14ac:dyDescent="0.25">
      <c r="C1" t="s">
        <v>100</v>
      </c>
      <c r="D1" t="s">
        <v>102</v>
      </c>
      <c r="E1" t="s">
        <v>103</v>
      </c>
      <c r="F1" t="s">
        <v>101</v>
      </c>
      <c r="H1" t="s">
        <v>104</v>
      </c>
    </row>
    <row r="2" spans="1:8" x14ac:dyDescent="0.25">
      <c r="A2" t="s">
        <v>99</v>
      </c>
      <c r="C2">
        <v>20.412896385615365</v>
      </c>
      <c r="D2">
        <f>0.041/1000</f>
        <v>4.1E-5</v>
      </c>
      <c r="E2">
        <f>0.007/1000</f>
        <v>6.9999999999999999E-6</v>
      </c>
      <c r="F2">
        <v>28595.7</v>
      </c>
      <c r="G2">
        <f>F2*0.00980665</f>
        <v>280.42802140499998</v>
      </c>
      <c r="H2">
        <f>C2/D2</f>
        <v>497875.52160037478</v>
      </c>
    </row>
    <row r="7" spans="1:8" ht="15.75" thickBot="1" x14ac:dyDescent="0.3"/>
    <row r="8" spans="1:8" x14ac:dyDescent="0.25">
      <c r="A8" s="143" t="s">
        <v>111</v>
      </c>
      <c r="B8" s="144" t="s">
        <v>112</v>
      </c>
      <c r="C8" s="144" t="s">
        <v>113</v>
      </c>
      <c r="D8" s="144" t="s">
        <v>105</v>
      </c>
      <c r="E8" s="145" t="s">
        <v>106</v>
      </c>
    </row>
    <row r="9" spans="1:8" x14ac:dyDescent="0.25">
      <c r="A9" s="138">
        <v>0</v>
      </c>
      <c r="B9" s="134">
        <f t="shared" ref="B9:B25" si="0">+D9/(D10/B10)</f>
        <v>0</v>
      </c>
      <c r="C9" s="133">
        <v>177.34346380050442</v>
      </c>
      <c r="D9" s="133">
        <f t="shared" ref="D9:D25" si="1">+(A9/(C9/100^2))/1000</f>
        <v>0</v>
      </c>
      <c r="E9" s="139">
        <f t="shared" ref="E9:E26" si="2">B9/300</f>
        <v>0</v>
      </c>
    </row>
    <row r="10" spans="1:8" x14ac:dyDescent="0.25">
      <c r="A10" s="138">
        <v>20</v>
      </c>
      <c r="B10" s="134">
        <f t="shared" si="0"/>
        <v>2.817606587273079E-3</v>
      </c>
      <c r="C10" s="133">
        <v>177.34346380050442</v>
      </c>
      <c r="D10" s="133">
        <f t="shared" si="1"/>
        <v>1.1277551239496604</v>
      </c>
      <c r="E10" s="139">
        <f t="shared" si="2"/>
        <v>9.3920219575769302E-6</v>
      </c>
    </row>
    <row r="11" spans="1:8" x14ac:dyDescent="0.25">
      <c r="A11" s="138">
        <v>40</v>
      </c>
      <c r="B11" s="134">
        <f t="shared" si="0"/>
        <v>5.6352131745461579E-3</v>
      </c>
      <c r="C11" s="133">
        <v>177.34346380050442</v>
      </c>
      <c r="D11" s="133">
        <f t="shared" si="1"/>
        <v>2.2555102478993208</v>
      </c>
      <c r="E11" s="139">
        <f t="shared" si="2"/>
        <v>1.878404391515386E-5</v>
      </c>
    </row>
    <row r="12" spans="1:8" x14ac:dyDescent="0.25">
      <c r="A12" s="138">
        <v>60</v>
      </c>
      <c r="B12" s="134">
        <f t="shared" si="0"/>
        <v>8.4528197618192382E-3</v>
      </c>
      <c r="C12" s="133">
        <v>177.34346380050442</v>
      </c>
      <c r="D12" s="133">
        <f t="shared" si="1"/>
        <v>3.3832653718489816</v>
      </c>
      <c r="E12" s="139">
        <f t="shared" si="2"/>
        <v>2.8176065872730796E-5</v>
      </c>
    </row>
    <row r="13" spans="1:8" x14ac:dyDescent="0.25">
      <c r="A13" s="138">
        <v>80</v>
      </c>
      <c r="B13" s="134">
        <f t="shared" si="0"/>
        <v>1.1270426349092316E-2</v>
      </c>
      <c r="C13" s="133">
        <v>177.34346380050442</v>
      </c>
      <c r="D13" s="133">
        <f t="shared" si="1"/>
        <v>4.5110204957986415</v>
      </c>
      <c r="E13" s="139">
        <f t="shared" si="2"/>
        <v>3.7568087830307721E-5</v>
      </c>
    </row>
    <row r="14" spans="1:8" x14ac:dyDescent="0.25">
      <c r="A14" s="138">
        <v>100</v>
      </c>
      <c r="B14" s="134">
        <f t="shared" si="0"/>
        <v>1.4088032936365395E-2</v>
      </c>
      <c r="C14" s="133">
        <v>177.34346380050442</v>
      </c>
      <c r="D14" s="133">
        <f t="shared" si="1"/>
        <v>5.6387756197483023</v>
      </c>
      <c r="E14" s="139">
        <f t="shared" si="2"/>
        <v>4.6960109787884653E-5</v>
      </c>
    </row>
    <row r="15" spans="1:8" x14ac:dyDescent="0.25">
      <c r="A15" s="138">
        <v>120</v>
      </c>
      <c r="B15" s="134">
        <f t="shared" si="0"/>
        <v>1.6905639523638476E-2</v>
      </c>
      <c r="C15" s="133">
        <v>177.34346380050442</v>
      </c>
      <c r="D15" s="133">
        <f t="shared" si="1"/>
        <v>6.7665307436979631</v>
      </c>
      <c r="E15" s="139">
        <f t="shared" si="2"/>
        <v>5.6352131745461591E-5</v>
      </c>
    </row>
    <row r="16" spans="1:8" x14ac:dyDescent="0.25">
      <c r="A16" s="138">
        <v>140</v>
      </c>
      <c r="B16" s="134">
        <f t="shared" si="0"/>
        <v>1.9723246110911551E-2</v>
      </c>
      <c r="C16" s="133">
        <v>177.34346380050442</v>
      </c>
      <c r="D16" s="133">
        <f t="shared" si="1"/>
        <v>7.8942858676476222</v>
      </c>
      <c r="E16" s="139">
        <f t="shared" si="2"/>
        <v>6.5744153703038496E-5</v>
      </c>
    </row>
    <row r="17" spans="1:5" x14ac:dyDescent="0.25">
      <c r="A17" s="138">
        <v>160</v>
      </c>
      <c r="B17" s="134">
        <f t="shared" si="0"/>
        <v>2.2540852698184632E-2</v>
      </c>
      <c r="C17" s="133">
        <v>177.34346380050442</v>
      </c>
      <c r="D17" s="133">
        <f t="shared" si="1"/>
        <v>9.022040991597283</v>
      </c>
      <c r="E17" s="139">
        <f t="shared" si="2"/>
        <v>7.5136175660615442E-5</v>
      </c>
    </row>
    <row r="18" spans="1:5" x14ac:dyDescent="0.25">
      <c r="A18" s="138">
        <v>180</v>
      </c>
      <c r="B18" s="134">
        <f t="shared" si="0"/>
        <v>2.5358459285457713E-2</v>
      </c>
      <c r="C18" s="133">
        <v>177.34346380050442</v>
      </c>
      <c r="D18" s="133">
        <f t="shared" si="1"/>
        <v>10.149796115546945</v>
      </c>
      <c r="E18" s="139">
        <f t="shared" si="2"/>
        <v>8.4528197618192373E-5</v>
      </c>
    </row>
    <row r="19" spans="1:5" x14ac:dyDescent="0.25">
      <c r="A19" s="138">
        <v>200</v>
      </c>
      <c r="B19" s="134">
        <f t="shared" si="0"/>
        <v>2.8176065872730791E-2</v>
      </c>
      <c r="C19" s="133">
        <v>177.34346380050442</v>
      </c>
      <c r="D19" s="133">
        <f t="shared" si="1"/>
        <v>11.277551239496605</v>
      </c>
      <c r="E19" s="139">
        <f t="shared" si="2"/>
        <v>9.3920219575769305E-5</v>
      </c>
    </row>
    <row r="20" spans="1:5" x14ac:dyDescent="0.25">
      <c r="A20" s="138">
        <v>220</v>
      </c>
      <c r="B20" s="134">
        <f t="shared" si="0"/>
        <v>3.0993672460003872E-2</v>
      </c>
      <c r="C20" s="133">
        <v>177.34346380050442</v>
      </c>
      <c r="D20" s="133">
        <f t="shared" si="1"/>
        <v>12.405306363446265</v>
      </c>
      <c r="E20" s="139">
        <f t="shared" si="2"/>
        <v>1.0331224153334624E-4</v>
      </c>
    </row>
    <row r="21" spans="1:5" x14ac:dyDescent="0.25">
      <c r="A21" s="138">
        <v>240</v>
      </c>
      <c r="B21" s="134">
        <f t="shared" si="0"/>
        <v>3.3811279047276953E-2</v>
      </c>
      <c r="C21" s="133">
        <v>177.34346380050442</v>
      </c>
      <c r="D21" s="133">
        <f t="shared" si="1"/>
        <v>13.533061487395926</v>
      </c>
      <c r="E21" s="139">
        <f t="shared" si="2"/>
        <v>1.1270426349092318E-4</v>
      </c>
    </row>
    <row r="22" spans="1:5" x14ac:dyDescent="0.25">
      <c r="A22" s="138">
        <v>260</v>
      </c>
      <c r="B22" s="134">
        <f t="shared" si="0"/>
        <v>3.6628885634550024E-2</v>
      </c>
      <c r="C22" s="133">
        <v>177.34346380050442</v>
      </c>
      <c r="D22" s="133">
        <f t="shared" si="1"/>
        <v>14.660816611345584</v>
      </c>
      <c r="E22" s="139">
        <f t="shared" si="2"/>
        <v>1.2209628544850007E-4</v>
      </c>
    </row>
    <row r="23" spans="1:5" x14ac:dyDescent="0.25">
      <c r="A23" s="138">
        <v>280</v>
      </c>
      <c r="B23" s="134">
        <f t="shared" si="0"/>
        <v>3.9446492221823101E-2</v>
      </c>
      <c r="C23" s="133">
        <v>177.34346380050442</v>
      </c>
      <c r="D23" s="133">
        <f t="shared" si="1"/>
        <v>15.788571735295244</v>
      </c>
      <c r="E23" s="139">
        <f t="shared" si="2"/>
        <v>1.3148830740607699E-4</v>
      </c>
    </row>
    <row r="24" spans="1:5" x14ac:dyDescent="0.25">
      <c r="A24" s="138">
        <v>300</v>
      </c>
      <c r="B24" s="134">
        <f t="shared" si="0"/>
        <v>4.2264098809096179E-2</v>
      </c>
      <c r="C24" s="133">
        <v>177.34346380050442</v>
      </c>
      <c r="D24" s="133">
        <f t="shared" si="1"/>
        <v>16.916326859244904</v>
      </c>
      <c r="E24" s="139">
        <f t="shared" si="2"/>
        <v>1.4088032936365394E-4</v>
      </c>
    </row>
    <row r="25" spans="1:5" x14ac:dyDescent="0.25">
      <c r="A25" s="138">
        <v>320</v>
      </c>
      <c r="B25" s="134">
        <f t="shared" si="0"/>
        <v>4.5081705396369263E-2</v>
      </c>
      <c r="C25" s="133">
        <v>177.34346380050442</v>
      </c>
      <c r="D25" s="133">
        <f t="shared" si="1"/>
        <v>18.044081983194566</v>
      </c>
      <c r="E25" s="139">
        <f t="shared" si="2"/>
        <v>1.5027235132123088E-4</v>
      </c>
    </row>
    <row r="26" spans="1:5" x14ac:dyDescent="0.25">
      <c r="A26" s="138">
        <v>340</v>
      </c>
      <c r="B26" s="134">
        <f>+D26/(D27/B27)</f>
        <v>4.7899311983642348E-2</v>
      </c>
      <c r="C26" s="133">
        <v>177.34346380050442</v>
      </c>
      <c r="D26" s="133">
        <f>+(A26/(C26/100^2))/1000</f>
        <v>19.171837107144228</v>
      </c>
      <c r="E26" s="139">
        <f t="shared" si="2"/>
        <v>1.5966437327880783E-4</v>
      </c>
    </row>
    <row r="27" spans="1:5" ht="15.75" thickBot="1" x14ac:dyDescent="0.3">
      <c r="A27" s="140">
        <v>360</v>
      </c>
      <c r="B27" s="141">
        <v>5.0999999999999997E-2</v>
      </c>
      <c r="C27" s="141">
        <v>177.34346380050442</v>
      </c>
      <c r="D27" s="141">
        <v>20.412896385615365</v>
      </c>
      <c r="E27" s="142">
        <f>B27/300</f>
        <v>1.6999999999999999E-4</v>
      </c>
    </row>
    <row r="28" spans="1:5" ht="15.75" thickBot="1" x14ac:dyDescent="0.3"/>
    <row r="29" spans="1:5" ht="15.75" thickBot="1" x14ac:dyDescent="0.3">
      <c r="D29" s="146" t="s">
        <v>107</v>
      </c>
      <c r="E29" s="147">
        <f>+(D25-D16)/(E25-E16)</f>
        <v>120075.86109185508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AB45"/>
  <sheetViews>
    <sheetView showGridLines="0" topLeftCell="A40" zoomScale="50" zoomScaleNormal="50" zoomScaleSheetLayoutView="70" zoomScalePageLayoutView="70" workbookViewId="0">
      <selection activeCell="S44" sqref="S44"/>
    </sheetView>
  </sheetViews>
  <sheetFormatPr baseColWidth="10" defaultColWidth="10.85546875" defaultRowHeight="15" x14ac:dyDescent="0.25"/>
  <cols>
    <col min="1" max="1" width="12.7109375" style="4" customWidth="1"/>
    <col min="2" max="2" width="27" style="4" bestFit="1" customWidth="1"/>
    <col min="3" max="3" width="21.85546875" style="4" bestFit="1" customWidth="1"/>
    <col min="4" max="4" width="9.7109375" style="4" customWidth="1"/>
    <col min="5" max="5" width="11.140625" style="4" customWidth="1"/>
    <col min="6" max="6" width="10.85546875" style="4" customWidth="1"/>
    <col min="7" max="7" width="11.140625" style="4" customWidth="1"/>
    <col min="8" max="8" width="10.5703125" style="4" customWidth="1"/>
    <col min="9" max="10" width="12" style="4" customWidth="1"/>
    <col min="11" max="11" width="11.85546875" style="4" customWidth="1"/>
    <col min="12" max="15" width="9.42578125" style="4" customWidth="1"/>
    <col min="16" max="16" width="15.5703125" style="4" customWidth="1"/>
    <col min="17" max="17" width="9.42578125" style="4" customWidth="1"/>
    <col min="18" max="18" width="28" style="4" customWidth="1"/>
    <col min="19" max="19" width="16.42578125" style="4" bestFit="1" customWidth="1"/>
    <col min="20" max="20" width="14" style="4" customWidth="1"/>
    <col min="21" max="21" width="11.28515625" style="4" customWidth="1"/>
    <col min="22" max="22" width="22.85546875" style="4" bestFit="1" customWidth="1"/>
    <col min="23" max="23" width="12.7109375" style="4" customWidth="1"/>
    <col min="24" max="24" width="14" style="4" customWidth="1"/>
    <col min="25" max="25" width="13.140625" style="4" customWidth="1"/>
    <col min="26" max="26" width="13.28515625" style="4" customWidth="1"/>
    <col min="27" max="16384" width="10.85546875" style="4"/>
  </cols>
  <sheetData>
    <row r="1" spans="1:26" ht="6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3"/>
    </row>
    <row r="2" spans="1:26" ht="28.5" customHeight="1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 t="s">
        <v>0</v>
      </c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11.25" customHeight="1" x14ac:dyDescent="0.25">
      <c r="A3" s="5"/>
      <c r="B3" s="6"/>
      <c r="C3" s="6"/>
      <c r="D3" s="6"/>
      <c r="E3" s="6"/>
      <c r="F3" s="6"/>
      <c r="G3" s="6"/>
      <c r="H3" s="6"/>
      <c r="I3" s="7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9.5" x14ac:dyDescent="0.25">
      <c r="A4" s="5"/>
      <c r="B4" s="9" t="s">
        <v>1</v>
      </c>
      <c r="C4" s="169" t="s">
        <v>74</v>
      </c>
      <c r="D4" s="169"/>
      <c r="E4" s="169"/>
      <c r="F4" s="169"/>
      <c r="G4" s="169"/>
      <c r="H4" s="169"/>
      <c r="I4" s="169"/>
      <c r="J4" s="169"/>
      <c r="L4" s="9" t="s">
        <v>2</v>
      </c>
      <c r="M4" s="169" t="s">
        <v>73</v>
      </c>
      <c r="N4" s="169"/>
      <c r="O4" s="169"/>
      <c r="P4" s="169"/>
      <c r="Q4" s="169"/>
      <c r="R4" s="169"/>
      <c r="S4" s="169"/>
      <c r="T4" s="6"/>
      <c r="U4" s="6"/>
      <c r="V4" s="9" t="s">
        <v>3</v>
      </c>
      <c r="W4" s="175">
        <v>43376</v>
      </c>
      <c r="X4" s="169"/>
      <c r="Y4" s="169"/>
      <c r="Z4" s="8"/>
    </row>
    <row r="5" spans="1:26" ht="19.5" x14ac:dyDescent="0.25">
      <c r="A5" s="5"/>
      <c r="B5" s="9" t="s">
        <v>4</v>
      </c>
      <c r="C5" s="169" t="s">
        <v>72</v>
      </c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8"/>
    </row>
    <row r="6" spans="1:26" x14ac:dyDescent="0.2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9.5" x14ac:dyDescent="0.25">
      <c r="A7" s="10" t="s">
        <v>5</v>
      </c>
      <c r="B7" s="11"/>
      <c r="C7" s="11"/>
      <c r="D7" s="12"/>
      <c r="E7" s="13"/>
      <c r="F7" s="13"/>
      <c r="G7" s="11" t="s">
        <v>6</v>
      </c>
      <c r="H7" s="6"/>
      <c r="I7" s="11"/>
      <c r="J7" s="12"/>
      <c r="K7" s="13"/>
      <c r="L7" s="13"/>
      <c r="M7" s="11" t="s">
        <v>7</v>
      </c>
      <c r="N7" s="11"/>
      <c r="O7" s="11"/>
      <c r="P7" s="12"/>
      <c r="Q7" s="12"/>
      <c r="R7" s="13"/>
      <c r="S7" s="13"/>
      <c r="T7" s="11" t="s">
        <v>8</v>
      </c>
      <c r="U7" s="11"/>
      <c r="V7" s="11"/>
      <c r="W7" s="12"/>
      <c r="X7" s="13"/>
      <c r="Y7" s="13"/>
      <c r="Z7" s="8"/>
    </row>
    <row r="8" spans="1:26" ht="19.5" x14ac:dyDescent="0.25">
      <c r="A8" s="14"/>
      <c r="B8" s="12" t="s">
        <v>9</v>
      </c>
      <c r="C8" s="170" t="s">
        <v>65</v>
      </c>
      <c r="D8" s="170"/>
      <c r="E8" s="170"/>
      <c r="F8" s="170"/>
      <c r="G8" s="13"/>
      <c r="H8" s="12" t="s">
        <v>9</v>
      </c>
      <c r="I8" s="170" t="s">
        <v>65</v>
      </c>
      <c r="J8" s="170"/>
      <c r="K8" s="170"/>
      <c r="L8" s="170"/>
      <c r="M8" s="13"/>
      <c r="N8" s="12" t="s">
        <v>10</v>
      </c>
      <c r="O8" s="176">
        <v>0</v>
      </c>
      <c r="P8" s="170"/>
      <c r="Q8" s="170"/>
      <c r="R8" s="170"/>
      <c r="S8" s="170"/>
      <c r="T8" s="13"/>
      <c r="U8" s="12" t="s">
        <v>11</v>
      </c>
      <c r="V8" s="170" t="s">
        <v>96</v>
      </c>
      <c r="W8" s="170"/>
      <c r="X8" s="170"/>
      <c r="Y8" s="170"/>
      <c r="Z8" s="8"/>
    </row>
    <row r="9" spans="1:26" ht="19.5" customHeight="1" x14ac:dyDescent="0.25">
      <c r="A9" s="14"/>
      <c r="B9" s="12" t="s">
        <v>10</v>
      </c>
      <c r="C9" s="170" t="s">
        <v>65</v>
      </c>
      <c r="D9" s="170"/>
      <c r="E9" s="170"/>
      <c r="F9" s="170"/>
      <c r="G9" s="13"/>
      <c r="H9" s="12" t="s">
        <v>10</v>
      </c>
      <c r="I9" s="170" t="s">
        <v>65</v>
      </c>
      <c r="J9" s="170"/>
      <c r="K9" s="170"/>
      <c r="L9" s="170"/>
      <c r="M9" s="13"/>
      <c r="N9" s="12" t="s">
        <v>12</v>
      </c>
      <c r="O9" s="171" t="s">
        <v>68</v>
      </c>
      <c r="P9" s="171"/>
      <c r="Q9" s="171"/>
      <c r="R9" s="171"/>
      <c r="S9" s="171"/>
      <c r="T9" s="13"/>
      <c r="U9" s="12" t="s">
        <v>13</v>
      </c>
      <c r="V9" s="171" t="s">
        <v>97</v>
      </c>
      <c r="W9" s="171"/>
      <c r="X9" s="171"/>
      <c r="Y9" s="171"/>
      <c r="Z9" s="8"/>
    </row>
    <row r="10" spans="1:26" ht="19.5" x14ac:dyDescent="0.25">
      <c r="A10" s="14"/>
      <c r="B10" s="12" t="s">
        <v>13</v>
      </c>
      <c r="C10" s="170" t="s">
        <v>75</v>
      </c>
      <c r="D10" s="170"/>
      <c r="E10" s="170"/>
      <c r="F10" s="170"/>
      <c r="G10" s="13"/>
      <c r="H10" s="12" t="s">
        <v>13</v>
      </c>
      <c r="I10" s="170" t="s">
        <v>75</v>
      </c>
      <c r="J10" s="170"/>
      <c r="K10" s="170"/>
      <c r="L10" s="170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9.5" x14ac:dyDescent="0.25">
      <c r="A11" s="14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6"/>
      <c r="T11" s="6"/>
      <c r="U11" s="6"/>
      <c r="V11" s="6"/>
      <c r="W11" s="6"/>
      <c r="X11" s="6"/>
      <c r="Y11" s="6"/>
      <c r="Z11" s="8"/>
    </row>
    <row r="12" spans="1:26" ht="19.5" x14ac:dyDescent="0.25">
      <c r="A12" s="10" t="s">
        <v>14</v>
      </c>
      <c r="B12" s="11"/>
      <c r="C12" s="11"/>
      <c r="D12" s="13"/>
      <c r="E12" s="13"/>
      <c r="F12" s="13"/>
      <c r="G12" s="13"/>
      <c r="H12" s="13"/>
      <c r="I12" s="13"/>
      <c r="J12" s="13"/>
      <c r="K12" s="6"/>
      <c r="L12" s="6"/>
      <c r="M12" s="6"/>
      <c r="N12" s="6"/>
      <c r="O12" s="6"/>
      <c r="P12" s="6"/>
      <c r="Q12" s="6"/>
      <c r="R12" s="12" t="s">
        <v>15</v>
      </c>
      <c r="S12" s="170" t="s">
        <v>76</v>
      </c>
      <c r="T12" s="170"/>
      <c r="U12" s="170"/>
      <c r="V12" s="170"/>
      <c r="W12" s="15" t="s">
        <v>16</v>
      </c>
      <c r="X12" s="6"/>
      <c r="Y12" s="6"/>
      <c r="Z12" s="8"/>
    </row>
    <row r="13" spans="1:26" ht="19.5" x14ac:dyDescent="0.25">
      <c r="A13" s="14"/>
      <c r="B13" s="13"/>
      <c r="C13" s="13"/>
      <c r="D13" s="12" t="s">
        <v>17</v>
      </c>
      <c r="E13" s="169" t="s">
        <v>66</v>
      </c>
      <c r="F13" s="169"/>
      <c r="G13" s="169"/>
      <c r="H13" s="169"/>
      <c r="I13" s="169"/>
      <c r="J13" s="16" t="s">
        <v>18</v>
      </c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15" t="s">
        <v>19</v>
      </c>
      <c r="X13" s="6"/>
      <c r="Y13" s="6"/>
      <c r="Z13" s="8"/>
    </row>
    <row r="14" spans="1:26" ht="19.5" x14ac:dyDescent="0.25">
      <c r="A14" s="14"/>
      <c r="B14" s="13"/>
      <c r="C14" s="13"/>
      <c r="D14" s="12" t="s">
        <v>20</v>
      </c>
      <c r="E14" s="182" t="s">
        <v>65</v>
      </c>
      <c r="F14" s="182"/>
      <c r="G14" s="182"/>
      <c r="H14" s="182"/>
      <c r="I14" s="182"/>
      <c r="J14" s="17" t="s">
        <v>21</v>
      </c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15" t="s">
        <v>22</v>
      </c>
      <c r="X14" s="6"/>
      <c r="Y14" s="6"/>
      <c r="Z14" s="8"/>
    </row>
    <row r="15" spans="1:26" ht="19.5" x14ac:dyDescent="0.25">
      <c r="A15" s="14"/>
      <c r="B15" s="13"/>
      <c r="C15" s="13"/>
      <c r="D15" s="12" t="s">
        <v>23</v>
      </c>
      <c r="E15" s="182" t="s">
        <v>69</v>
      </c>
      <c r="F15" s="182"/>
      <c r="G15" s="182"/>
      <c r="H15" s="182"/>
      <c r="I15" s="182"/>
      <c r="J15" s="17" t="s">
        <v>24</v>
      </c>
      <c r="K15" s="6"/>
      <c r="L15" s="6"/>
      <c r="M15" s="6"/>
      <c r="N15" s="6"/>
      <c r="O15" s="6"/>
      <c r="P15" s="6"/>
      <c r="Q15" s="6"/>
      <c r="R15" s="12" t="s">
        <v>25</v>
      </c>
      <c r="S15" s="169" t="s">
        <v>70</v>
      </c>
      <c r="T15" s="169"/>
      <c r="U15" s="169"/>
      <c r="V15" s="169"/>
      <c r="W15" s="15" t="s">
        <v>26</v>
      </c>
      <c r="X15" s="6"/>
      <c r="Y15" s="6"/>
      <c r="Z15" s="8"/>
    </row>
    <row r="16" spans="1:26" ht="19.5" x14ac:dyDescent="0.25">
      <c r="A16" s="14"/>
      <c r="B16" s="13"/>
      <c r="C16" s="13"/>
      <c r="D16" s="12" t="s">
        <v>27</v>
      </c>
      <c r="E16" s="182" t="s">
        <v>65</v>
      </c>
      <c r="F16" s="182"/>
      <c r="G16" s="182"/>
      <c r="H16" s="182"/>
      <c r="I16" s="182"/>
      <c r="J16" s="16" t="s">
        <v>28</v>
      </c>
      <c r="K16" s="6"/>
      <c r="L16" s="6"/>
      <c r="M16" s="6"/>
      <c r="N16" s="6"/>
      <c r="O16" s="6"/>
      <c r="P16" s="6"/>
      <c r="Q16" s="6"/>
      <c r="R16" s="12" t="s">
        <v>29</v>
      </c>
      <c r="S16" s="182">
        <v>21</v>
      </c>
      <c r="T16" s="182"/>
      <c r="U16" s="182"/>
      <c r="V16" s="182"/>
      <c r="W16" s="16" t="s">
        <v>28</v>
      </c>
      <c r="X16" s="6"/>
      <c r="Y16" s="6"/>
      <c r="Z16" s="8"/>
    </row>
    <row r="17" spans="1:26" x14ac:dyDescent="0.25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x14ac:dyDescent="0.25">
      <c r="A18" s="5"/>
      <c r="B18" s="6"/>
      <c r="C18" s="6"/>
      <c r="D18" s="6"/>
      <c r="E18" s="6"/>
      <c r="F18" s="18" t="s">
        <v>30</v>
      </c>
      <c r="G18" s="6"/>
      <c r="H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x14ac:dyDescent="0.25">
      <c r="A19" s="5"/>
      <c r="B19" s="6"/>
      <c r="C19" s="6"/>
      <c r="D19" s="6"/>
      <c r="E19" s="6"/>
      <c r="F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x14ac:dyDescent="0.25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R21" s="6"/>
      <c r="S21" s="6"/>
      <c r="T21" s="6"/>
      <c r="U21" s="6"/>
      <c r="V21" s="6"/>
      <c r="W21" s="6"/>
      <c r="X21" s="6"/>
      <c r="Y21" s="6"/>
      <c r="Z21" s="8"/>
    </row>
    <row r="22" spans="1:2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x14ac:dyDescent="0.25">
      <c r="A23" s="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x14ac:dyDescent="0.25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x14ac:dyDescent="0.25">
      <c r="A26" s="5"/>
      <c r="B26" s="6"/>
      <c r="C26" s="6"/>
      <c r="D26" s="6"/>
      <c r="E26" s="6"/>
      <c r="F26" s="6"/>
      <c r="G26" s="6"/>
      <c r="H26" s="6"/>
      <c r="I26" s="19" t="s">
        <v>31</v>
      </c>
      <c r="J26" s="19"/>
      <c r="K26" s="19" t="s">
        <v>32</v>
      </c>
      <c r="L26" s="19"/>
      <c r="M26" s="19" t="s">
        <v>33</v>
      </c>
      <c r="N26" s="19"/>
      <c r="O26" s="19" t="s">
        <v>34</v>
      </c>
      <c r="P26" s="19"/>
      <c r="Q26" s="19" t="s">
        <v>35</v>
      </c>
      <c r="S26" s="6"/>
      <c r="T26" s="6"/>
      <c r="U26" s="6"/>
      <c r="V26" s="6"/>
      <c r="W26" s="6"/>
      <c r="X26" s="6"/>
      <c r="Y26" s="6"/>
      <c r="Z26" s="8"/>
    </row>
    <row r="27" spans="1:26" x14ac:dyDescent="0.25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x14ac:dyDescent="0.25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s="23" customFormat="1" ht="17.25" x14ac:dyDescent="0.3">
      <c r="A29" s="20"/>
      <c r="B29" s="21"/>
      <c r="C29" s="21"/>
      <c r="D29" s="21"/>
      <c r="E29" s="177" t="s">
        <v>36</v>
      </c>
      <c r="F29" s="178"/>
      <c r="G29" s="179"/>
      <c r="H29" s="177" t="s">
        <v>37</v>
      </c>
      <c r="I29" s="178"/>
      <c r="J29" s="179"/>
      <c r="K29" s="21"/>
      <c r="L29" s="177" t="s">
        <v>38</v>
      </c>
      <c r="M29" s="178"/>
      <c r="N29" s="179"/>
      <c r="O29" s="21"/>
      <c r="P29" s="21"/>
      <c r="Q29" s="21"/>
      <c r="R29" s="21"/>
      <c r="S29" s="21"/>
      <c r="T29" s="21"/>
      <c r="U29" s="177" t="s">
        <v>39</v>
      </c>
      <c r="V29" s="178"/>
      <c r="W29" s="179"/>
      <c r="X29" s="21"/>
      <c r="Y29" s="21"/>
      <c r="Z29" s="22"/>
    </row>
    <row r="30" spans="1:26" s="23" customFormat="1" ht="103.5" customHeight="1" x14ac:dyDescent="0.3">
      <c r="A30" s="24" t="s">
        <v>40</v>
      </c>
      <c r="B30" s="24" t="s">
        <v>41</v>
      </c>
      <c r="C30" s="24" t="s">
        <v>42</v>
      </c>
      <c r="D30" s="24" t="s">
        <v>43</v>
      </c>
      <c r="E30" s="24" t="s">
        <v>44</v>
      </c>
      <c r="F30" s="24" t="s">
        <v>45</v>
      </c>
      <c r="G30" s="24" t="s">
        <v>46</v>
      </c>
      <c r="H30" s="24" t="s">
        <v>44</v>
      </c>
      <c r="I30" s="24" t="s">
        <v>45</v>
      </c>
      <c r="J30" s="24" t="s">
        <v>46</v>
      </c>
      <c r="K30" s="24" t="s">
        <v>47</v>
      </c>
      <c r="L30" s="24" t="s">
        <v>48</v>
      </c>
      <c r="M30" s="24" t="s">
        <v>49</v>
      </c>
      <c r="N30" s="24" t="s">
        <v>50</v>
      </c>
      <c r="O30" s="24" t="s">
        <v>51</v>
      </c>
      <c r="P30" s="24" t="s">
        <v>52</v>
      </c>
      <c r="Q30" s="24" t="s">
        <v>53</v>
      </c>
      <c r="R30" s="24" t="s">
        <v>54</v>
      </c>
      <c r="S30" s="24" t="s">
        <v>55</v>
      </c>
      <c r="T30" s="24" t="s">
        <v>56</v>
      </c>
      <c r="U30" s="24" t="s">
        <v>57</v>
      </c>
      <c r="V30" s="24" t="s">
        <v>58</v>
      </c>
      <c r="W30" s="24" t="s">
        <v>59</v>
      </c>
      <c r="X30" s="24" t="s">
        <v>60</v>
      </c>
      <c r="Y30" s="24" t="s">
        <v>61</v>
      </c>
    </row>
    <row r="31" spans="1:26" ht="21" customHeight="1" thickBot="1" x14ac:dyDescent="0.3">
      <c r="A31" s="180" t="s">
        <v>62</v>
      </c>
      <c r="B31" s="181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74"/>
    </row>
    <row r="32" spans="1:26" s="23" customFormat="1" ht="22.5" hidden="1" customHeight="1" x14ac:dyDescent="0.3">
      <c r="A32" s="180" t="s">
        <v>71</v>
      </c>
      <c r="B32" s="181"/>
      <c r="C32" s="181"/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1"/>
      <c r="X32" s="181"/>
      <c r="Y32" s="181"/>
      <c r="Z32" s="174"/>
    </row>
    <row r="33" spans="1:28" ht="72.75" customHeight="1" x14ac:dyDescent="0.25">
      <c r="A33" s="166">
        <v>1</v>
      </c>
      <c r="B33" s="36">
        <v>43353</v>
      </c>
      <c r="C33" s="36">
        <v>43360</v>
      </c>
      <c r="D33" s="37">
        <v>7</v>
      </c>
      <c r="E33" s="37">
        <v>15.211</v>
      </c>
      <c r="F33" s="37">
        <v>14.946999999999999</v>
      </c>
      <c r="G33" s="37">
        <v>15.2</v>
      </c>
      <c r="H33" s="37">
        <v>15.13</v>
      </c>
      <c r="I33" s="37">
        <v>14.933</v>
      </c>
      <c r="J33" s="37">
        <v>15.198</v>
      </c>
      <c r="K33" s="38">
        <f>SUM(E33:J33)/6</f>
        <v>15.103166666666667</v>
      </c>
      <c r="L33" s="37">
        <v>30</v>
      </c>
      <c r="M33" s="37">
        <v>30</v>
      </c>
      <c r="N33" s="37">
        <v>30</v>
      </c>
      <c r="O33" s="38">
        <f>SUM(L33:N33)/3</f>
        <v>30</v>
      </c>
      <c r="P33" s="38">
        <f>((PI()/4)*POWER(K33,2))</f>
        <v>179.15375335640999</v>
      </c>
      <c r="Q33" s="38">
        <v>13.05</v>
      </c>
      <c r="R33" s="38">
        <f>Q33/((P33*O33)/POWER(100,3))</f>
        <v>2428.0819790284122</v>
      </c>
      <c r="S33" s="37">
        <f>(331.7)*($AB$33)</f>
        <v>33833.4</v>
      </c>
      <c r="T33" s="38">
        <f>S33/P33</f>
        <v>188.85119271094226</v>
      </c>
      <c r="U33" s="38">
        <f>T33/10.1972</f>
        <v>18.519906710758075</v>
      </c>
      <c r="V33" s="38">
        <f>U33*145.03777</f>
        <v>2686.0859699363859</v>
      </c>
      <c r="W33" s="39">
        <f>U33/S16</f>
        <v>0.88190031955990833</v>
      </c>
      <c r="X33" s="40" t="s">
        <v>64</v>
      </c>
      <c r="Y33" s="41"/>
      <c r="AB33" s="4">
        <v>102</v>
      </c>
    </row>
    <row r="34" spans="1:28" ht="72.75" customHeight="1" x14ac:dyDescent="0.25">
      <c r="A34" s="167"/>
      <c r="B34" s="28">
        <v>43353</v>
      </c>
      <c r="C34" s="28">
        <v>43360</v>
      </c>
      <c r="D34" s="29">
        <v>7</v>
      </c>
      <c r="E34" s="29">
        <v>15.14</v>
      </c>
      <c r="F34" s="29">
        <v>15.071999999999999</v>
      </c>
      <c r="G34" s="29">
        <v>15.132</v>
      </c>
      <c r="H34" s="29">
        <v>15.067</v>
      </c>
      <c r="I34" s="29">
        <v>15.063000000000001</v>
      </c>
      <c r="J34" s="29">
        <v>15.07</v>
      </c>
      <c r="K34" s="26">
        <f>SUM(E34:J34)/6</f>
        <v>15.090666666666669</v>
      </c>
      <c r="L34" s="29">
        <v>30</v>
      </c>
      <c r="M34" s="29">
        <v>30</v>
      </c>
      <c r="N34" s="29">
        <v>30</v>
      </c>
      <c r="O34" s="26">
        <f>SUM(L34:N34)/3</f>
        <v>30</v>
      </c>
      <c r="P34" s="26">
        <f>((PI()/4)*POWER(K34,2))</f>
        <v>178.85732609083595</v>
      </c>
      <c r="Q34" s="26">
        <v>12.984999999999999</v>
      </c>
      <c r="R34" s="26">
        <f t="shared" ref="R34:R45" si="0">Q34/((P34*O34)/POWER(100,3))</f>
        <v>2419.9921959781009</v>
      </c>
      <c r="S34" s="29">
        <f>324.6*AB33</f>
        <v>33109.200000000004</v>
      </c>
      <c r="T34" s="26">
        <f t="shared" ref="T34:T42" si="1">S34/P34</f>
        <v>185.11514581843235</v>
      </c>
      <c r="U34" s="26">
        <f>T34/10.1972</f>
        <v>18.153527028834617</v>
      </c>
      <c r="V34" s="26">
        <f>U34*145.03777</f>
        <v>2632.9470778968985</v>
      </c>
      <c r="W34" s="25">
        <f>U34/$S$16</f>
        <v>0.86445366803974366</v>
      </c>
      <c r="X34" s="27" t="s">
        <v>63</v>
      </c>
      <c r="Y34" s="42"/>
    </row>
    <row r="35" spans="1:28" ht="72.75" customHeight="1" thickBot="1" x14ac:dyDescent="0.3">
      <c r="A35" s="168"/>
      <c r="B35" s="43">
        <v>43353</v>
      </c>
      <c r="C35" s="43">
        <v>43360</v>
      </c>
      <c r="D35" s="44">
        <v>7</v>
      </c>
      <c r="E35" s="44">
        <v>15.016999999999999</v>
      </c>
      <c r="F35" s="44">
        <v>14.939</v>
      </c>
      <c r="G35" s="44">
        <v>15.250999999999999</v>
      </c>
      <c r="H35" s="44">
        <v>15.259</v>
      </c>
      <c r="I35" s="44">
        <v>15.019</v>
      </c>
      <c r="J35" s="44">
        <v>15.11</v>
      </c>
      <c r="K35" s="45">
        <f>SUM(E35:J35)/6</f>
        <v>15.099166666666667</v>
      </c>
      <c r="L35" s="44">
        <v>30</v>
      </c>
      <c r="M35" s="44">
        <v>30</v>
      </c>
      <c r="N35" s="44">
        <v>30</v>
      </c>
      <c r="O35" s="45">
        <f t="shared" ref="O35:O43" si="2">SUM(L35:N35)/3</f>
        <v>30</v>
      </c>
      <c r="P35" s="45">
        <f t="shared" ref="P35:P45" si="3">((PI()/4)*POWER(K35,2))</f>
        <v>179.05886992788874</v>
      </c>
      <c r="Q35" s="45">
        <v>12.865</v>
      </c>
      <c r="R35" s="45">
        <f t="shared" si="0"/>
        <v>2394.9292961919991</v>
      </c>
      <c r="S35" s="44">
        <f>AB33*318</f>
        <v>32436</v>
      </c>
      <c r="T35" s="45">
        <f t="shared" si="1"/>
        <v>181.14712783043223</v>
      </c>
      <c r="U35" s="45">
        <f>T35/10.1972</f>
        <v>17.764398837958677</v>
      </c>
      <c r="V35" s="45">
        <f t="shared" ref="V35:V42" si="4">U35*145.03777</f>
        <v>2576.5087928481175</v>
      </c>
      <c r="W35" s="46">
        <f t="shared" ref="W35:W42" si="5">U35/$S$16</f>
        <v>0.8459237541885084</v>
      </c>
      <c r="X35" s="47" t="s">
        <v>63</v>
      </c>
      <c r="Y35" s="48"/>
    </row>
    <row r="36" spans="1:28" ht="74.25" customHeight="1" x14ac:dyDescent="0.25">
      <c r="A36" s="166">
        <v>2</v>
      </c>
      <c r="B36" s="36">
        <v>43353</v>
      </c>
      <c r="C36" s="36">
        <v>43367</v>
      </c>
      <c r="D36" s="37">
        <v>14</v>
      </c>
      <c r="E36" s="37">
        <v>15.223000000000001</v>
      </c>
      <c r="F36" s="37">
        <v>15.148</v>
      </c>
      <c r="G36" s="37">
        <v>13.938000000000001</v>
      </c>
      <c r="H36" s="37">
        <v>15.129</v>
      </c>
      <c r="I36" s="37">
        <v>15.233000000000001</v>
      </c>
      <c r="J36" s="37">
        <v>15.148</v>
      </c>
      <c r="K36" s="38">
        <f t="shared" ref="K36:K37" si="6">SUM(E36:J36)/6</f>
        <v>14.969833333333334</v>
      </c>
      <c r="L36" s="37">
        <v>30</v>
      </c>
      <c r="M36" s="37">
        <v>30</v>
      </c>
      <c r="N36" s="37">
        <v>30</v>
      </c>
      <c r="O36" s="38">
        <f t="shared" si="2"/>
        <v>30</v>
      </c>
      <c r="P36" s="38">
        <f t="shared" si="3"/>
        <v>176.00451616069648</v>
      </c>
      <c r="Q36" s="38">
        <v>13.244999999999999</v>
      </c>
      <c r="R36" s="38">
        <f t="shared" si="0"/>
        <v>2508.4583602212774</v>
      </c>
      <c r="S36" s="37">
        <f>AB33*340.2</f>
        <v>34700.400000000001</v>
      </c>
      <c r="T36" s="38">
        <f t="shared" si="1"/>
        <v>197.15630460480727</v>
      </c>
      <c r="U36" s="38">
        <f t="shared" ref="U36:U42" si="7">T36/10.1972</f>
        <v>19.334356941592521</v>
      </c>
      <c r="V36" s="38">
        <f t="shared" si="4"/>
        <v>2804.2120151925992</v>
      </c>
      <c r="W36" s="39">
        <f t="shared" si="5"/>
        <v>0.92068366388535816</v>
      </c>
      <c r="X36" s="40" t="s">
        <v>67</v>
      </c>
      <c r="Y36" s="41"/>
      <c r="Z36" s="115">
        <f>W36-W33</f>
        <v>3.8783344325449831E-2</v>
      </c>
    </row>
    <row r="37" spans="1:28" ht="73.5" customHeight="1" x14ac:dyDescent="0.25">
      <c r="A37" s="167"/>
      <c r="B37" s="28">
        <v>43353</v>
      </c>
      <c r="C37" s="28">
        <v>43367</v>
      </c>
      <c r="D37" s="29">
        <v>14</v>
      </c>
      <c r="E37" s="30">
        <v>15.148</v>
      </c>
      <c r="F37" s="30">
        <v>14.938000000000001</v>
      </c>
      <c r="G37" s="30">
        <v>15.138999999999999</v>
      </c>
      <c r="H37" s="30">
        <v>15.228999999999999</v>
      </c>
      <c r="I37" s="30">
        <v>15.228</v>
      </c>
      <c r="J37" s="30">
        <v>15.143000000000001</v>
      </c>
      <c r="K37" s="26">
        <f t="shared" si="6"/>
        <v>15.137499999999998</v>
      </c>
      <c r="L37" s="29">
        <v>30</v>
      </c>
      <c r="M37" s="29">
        <v>30</v>
      </c>
      <c r="N37" s="29">
        <v>30</v>
      </c>
      <c r="O37" s="26">
        <f t="shared" si="2"/>
        <v>30</v>
      </c>
      <c r="P37" s="26">
        <f t="shared" si="3"/>
        <v>179.96920312246701</v>
      </c>
      <c r="Q37" s="26">
        <v>13.185</v>
      </c>
      <c r="R37" s="26">
        <f t="shared" si="0"/>
        <v>2442.084492094602</v>
      </c>
      <c r="S37" s="29">
        <f>102*341</f>
        <v>34782</v>
      </c>
      <c r="T37" s="26">
        <f>S37/P37</f>
        <v>193.26640000917959</v>
      </c>
      <c r="U37" s="26">
        <f t="shared" si="7"/>
        <v>18.952889029260934</v>
      </c>
      <c r="V37" s="26">
        <f>U37*145.03777</f>
        <v>2748.8847598614707</v>
      </c>
      <c r="W37" s="25">
        <f t="shared" si="5"/>
        <v>0.90251852520290166</v>
      </c>
      <c r="X37" s="27" t="s">
        <v>67</v>
      </c>
      <c r="Y37" s="42"/>
      <c r="Z37" s="115">
        <f>W37-W34</f>
        <v>3.8064857163157995E-2</v>
      </c>
    </row>
    <row r="38" spans="1:28" ht="72.75" customHeight="1" x14ac:dyDescent="0.25">
      <c r="A38" s="167"/>
      <c r="B38" s="28">
        <v>43353</v>
      </c>
      <c r="C38" s="28">
        <v>43367</v>
      </c>
      <c r="D38" s="29">
        <v>14</v>
      </c>
      <c r="E38" s="30">
        <v>15.128</v>
      </c>
      <c r="F38" s="30">
        <v>14.935</v>
      </c>
      <c r="G38" s="30">
        <v>15.185</v>
      </c>
      <c r="H38" s="31">
        <v>15.233000000000001</v>
      </c>
      <c r="I38" s="30">
        <v>15.129</v>
      </c>
      <c r="J38" s="30">
        <v>14.939</v>
      </c>
      <c r="K38" s="26">
        <f>SUM(E38:J38)/6</f>
        <v>15.091500000000002</v>
      </c>
      <c r="L38" s="29">
        <v>30</v>
      </c>
      <c r="M38" s="29">
        <v>30</v>
      </c>
      <c r="N38" s="29">
        <v>30</v>
      </c>
      <c r="O38" s="26">
        <f>SUM(L38:N38)/3</f>
        <v>30</v>
      </c>
      <c r="P38" s="26">
        <f>((PI()/4)*POWER(K38,2))</f>
        <v>178.87708027272541</v>
      </c>
      <c r="Q38" s="26">
        <v>12.695</v>
      </c>
      <c r="R38" s="26">
        <f t="shared" si="0"/>
        <v>2365.6841112426728</v>
      </c>
      <c r="S38" s="29">
        <f>AB33*346.3</f>
        <v>35322.6</v>
      </c>
      <c r="T38" s="26">
        <f>S38/P38</f>
        <v>197.4685630274449</v>
      </c>
      <c r="U38" s="26">
        <f>T38/10.1972</f>
        <v>19.364978918472218</v>
      </c>
      <c r="V38" s="26">
        <f>U38*145.03777</f>
        <v>2808.6533584322224</v>
      </c>
      <c r="W38" s="25">
        <f>U38/$S$16</f>
        <v>0.92214185326058185</v>
      </c>
      <c r="X38" s="73" t="s">
        <v>67</v>
      </c>
      <c r="Y38" s="42"/>
      <c r="Z38" s="115">
        <f>W38-W35</f>
        <v>7.6218099072073442E-2</v>
      </c>
    </row>
    <row r="39" spans="1:28" ht="79.5" customHeight="1" thickBot="1" x14ac:dyDescent="0.3">
      <c r="A39" s="168"/>
      <c r="B39" s="43">
        <v>43353</v>
      </c>
      <c r="C39" s="43">
        <v>43367</v>
      </c>
      <c r="D39" s="44">
        <v>14</v>
      </c>
      <c r="E39" s="44">
        <v>15.148999999999999</v>
      </c>
      <c r="F39" s="44">
        <v>15.256</v>
      </c>
      <c r="G39" s="44">
        <v>15.19</v>
      </c>
      <c r="H39" s="44">
        <v>15.129</v>
      </c>
      <c r="I39" s="44">
        <v>15.148</v>
      </c>
      <c r="J39" s="44">
        <v>14.987</v>
      </c>
      <c r="K39" s="45">
        <f>SUM(E39:J39)/6</f>
        <v>15.143166666666666</v>
      </c>
      <c r="L39" s="44">
        <v>30</v>
      </c>
      <c r="M39" s="44">
        <v>30</v>
      </c>
      <c r="N39" s="44">
        <v>30</v>
      </c>
      <c r="O39" s="45">
        <f t="shared" si="2"/>
        <v>30</v>
      </c>
      <c r="P39" s="45">
        <f>((PI()/4)*POWER(K39,2))</f>
        <v>180.10396994239028</v>
      </c>
      <c r="Q39" s="45">
        <v>12.645</v>
      </c>
      <c r="R39" s="45">
        <f t="shared" si="0"/>
        <v>2340.3148755400834</v>
      </c>
      <c r="S39" s="44">
        <f>AB33*367.8</f>
        <v>37515.599999999999</v>
      </c>
      <c r="T39" s="45">
        <f t="shared" si="1"/>
        <v>208.29968385483167</v>
      </c>
      <c r="U39" s="45">
        <f t="shared" si="7"/>
        <v>20.427145084418434</v>
      </c>
      <c r="V39" s="45">
        <f>U39*145.03777</f>
        <v>2962.7075705105112</v>
      </c>
      <c r="W39" s="46">
        <f t="shared" si="5"/>
        <v>0.97272119449611594</v>
      </c>
      <c r="X39" s="73" t="s">
        <v>67</v>
      </c>
      <c r="Y39" s="42"/>
      <c r="Z39" s="115">
        <f>W39-W35</f>
        <v>0.12679744030760753</v>
      </c>
    </row>
    <row r="40" spans="1:28" ht="75" customHeight="1" x14ac:dyDescent="0.25">
      <c r="A40" s="196">
        <v>3</v>
      </c>
      <c r="B40" s="56">
        <v>43348</v>
      </c>
      <c r="C40" s="56">
        <v>43369</v>
      </c>
      <c r="D40" s="37">
        <v>21</v>
      </c>
      <c r="E40" s="37">
        <v>15.194000000000001</v>
      </c>
      <c r="F40" s="37">
        <v>15.164999999999999</v>
      </c>
      <c r="G40" s="37">
        <v>15.14</v>
      </c>
      <c r="H40" s="37">
        <v>15.225</v>
      </c>
      <c r="I40" s="37">
        <v>15.179</v>
      </c>
      <c r="J40" s="37">
        <v>15.326000000000001</v>
      </c>
      <c r="K40" s="38">
        <f>SUM(E40:J40)/6</f>
        <v>15.204833333333335</v>
      </c>
      <c r="L40" s="37">
        <v>30</v>
      </c>
      <c r="M40" s="37">
        <v>30</v>
      </c>
      <c r="N40" s="37">
        <v>30</v>
      </c>
      <c r="O40" s="38">
        <f t="shared" si="2"/>
        <v>30</v>
      </c>
      <c r="P40" s="38">
        <f t="shared" si="3"/>
        <v>181.5738111892621</v>
      </c>
      <c r="Q40" s="38">
        <v>13.005000000000001</v>
      </c>
      <c r="R40" s="38">
        <f t="shared" si="0"/>
        <v>2387.4588364956689</v>
      </c>
      <c r="S40" s="37">
        <f>102*375.1</f>
        <v>38260.200000000004</v>
      </c>
      <c r="T40" s="38">
        <f t="shared" si="1"/>
        <v>210.71430813400602</v>
      </c>
      <c r="U40" s="38">
        <f t="shared" si="7"/>
        <v>20.663937956890717</v>
      </c>
      <c r="V40" s="38">
        <f t="shared" si="4"/>
        <v>2997.0514806857855</v>
      </c>
      <c r="W40" s="39">
        <f t="shared" si="5"/>
        <v>0.98399704556622458</v>
      </c>
      <c r="X40" s="73" t="s">
        <v>67</v>
      </c>
      <c r="Y40" s="42"/>
      <c r="Z40" s="115">
        <f>W40-W33</f>
        <v>0.10209672600631625</v>
      </c>
    </row>
    <row r="41" spans="1:28" ht="69.75" customHeight="1" x14ac:dyDescent="0.25">
      <c r="A41" s="197"/>
      <c r="B41" s="59">
        <v>43348</v>
      </c>
      <c r="C41" s="59">
        <v>43369</v>
      </c>
      <c r="D41" s="29">
        <v>21</v>
      </c>
      <c r="E41" s="74">
        <v>15.122999999999999</v>
      </c>
      <c r="F41" s="74">
        <v>15.144</v>
      </c>
      <c r="G41" s="74">
        <v>15.193</v>
      </c>
      <c r="H41" s="74">
        <v>15.132999999999999</v>
      </c>
      <c r="I41" s="74">
        <v>15.244999999999999</v>
      </c>
      <c r="J41" s="74">
        <v>15.148</v>
      </c>
      <c r="K41" s="74">
        <f>SUM(E41:J41)/6</f>
        <v>15.164333333333333</v>
      </c>
      <c r="L41" s="33">
        <v>30</v>
      </c>
      <c r="M41" s="33">
        <v>30</v>
      </c>
      <c r="N41" s="33">
        <v>30</v>
      </c>
      <c r="O41" s="34">
        <f t="shared" si="2"/>
        <v>30</v>
      </c>
      <c r="P41" s="34">
        <f t="shared" si="3"/>
        <v>180.60780973644367</v>
      </c>
      <c r="Q41" s="74">
        <v>12.85</v>
      </c>
      <c r="R41" s="74">
        <f t="shared" si="0"/>
        <v>2371.6213266657137</v>
      </c>
      <c r="S41" s="29">
        <f>102*379</f>
        <v>38658</v>
      </c>
      <c r="T41" s="34">
        <f t="shared" si="1"/>
        <v>214.04390018578169</v>
      </c>
      <c r="U41" s="34">
        <f t="shared" si="7"/>
        <v>20.990458183205359</v>
      </c>
      <c r="V41" s="34">
        <f t="shared" si="4"/>
        <v>3044.4092461703567</v>
      </c>
      <c r="W41" s="35">
        <f t="shared" si="5"/>
        <v>0.99954562777168376</v>
      </c>
      <c r="X41" s="73" t="s">
        <v>67</v>
      </c>
      <c r="Y41" s="42"/>
      <c r="Z41" s="115">
        <f t="shared" ref="Z41:Z42" si="8">W41-W34</f>
        <v>0.1350919597319401</v>
      </c>
    </row>
    <row r="42" spans="1:28" ht="77.25" customHeight="1" thickBot="1" x14ac:dyDescent="0.3">
      <c r="A42" s="198"/>
      <c r="B42" s="80">
        <v>43348</v>
      </c>
      <c r="C42" s="80">
        <v>43369</v>
      </c>
      <c r="D42" s="50">
        <v>21</v>
      </c>
      <c r="E42" s="92">
        <v>15.138999999999999</v>
      </c>
      <c r="F42" s="92">
        <v>15.148999999999999</v>
      </c>
      <c r="G42" s="92">
        <v>15.21</v>
      </c>
      <c r="H42" s="92">
        <v>15.141999999999999</v>
      </c>
      <c r="I42" s="92">
        <v>15.125999999999999</v>
      </c>
      <c r="J42" s="92">
        <v>15.128</v>
      </c>
      <c r="K42" s="93">
        <f>SUM(E42:J42)/6</f>
        <v>15.149000000000001</v>
      </c>
      <c r="L42" s="72">
        <v>30</v>
      </c>
      <c r="M42" s="72">
        <v>30</v>
      </c>
      <c r="N42" s="72">
        <v>30</v>
      </c>
      <c r="O42" s="93">
        <f t="shared" si="2"/>
        <v>30</v>
      </c>
      <c r="P42" s="93">
        <f t="shared" si="3"/>
        <v>180.24275317943807</v>
      </c>
      <c r="Q42" s="92">
        <v>12.96</v>
      </c>
      <c r="R42" s="92">
        <f t="shared" si="0"/>
        <v>2396.7676501808023</v>
      </c>
      <c r="S42" s="91">
        <f>102*374</f>
        <v>38148</v>
      </c>
      <c r="T42" s="93">
        <f t="shared" si="1"/>
        <v>211.64789888679911</v>
      </c>
      <c r="U42" s="93">
        <f t="shared" si="7"/>
        <v>20.755491594437601</v>
      </c>
      <c r="V42" s="93">
        <f t="shared" si="4"/>
        <v>3010.3302161109741</v>
      </c>
      <c r="W42" s="94">
        <f t="shared" si="5"/>
        <v>0.98835674259226669</v>
      </c>
      <c r="X42" s="73" t="s">
        <v>67</v>
      </c>
      <c r="Y42" s="42"/>
      <c r="Z42" s="115">
        <f t="shared" si="8"/>
        <v>0.14243298840375829</v>
      </c>
    </row>
    <row r="43" spans="1:28" ht="69.75" customHeight="1" x14ac:dyDescent="0.25">
      <c r="A43" s="193">
        <v>4</v>
      </c>
      <c r="B43" s="36">
        <v>43348</v>
      </c>
      <c r="C43" s="36">
        <v>43376</v>
      </c>
      <c r="D43" s="37">
        <v>28</v>
      </c>
      <c r="E43" s="97">
        <v>15.12</v>
      </c>
      <c r="F43" s="97">
        <v>15.01</v>
      </c>
      <c r="G43" s="97">
        <v>15.11</v>
      </c>
      <c r="H43" s="100">
        <v>14.99</v>
      </c>
      <c r="I43" s="100">
        <v>15.12</v>
      </c>
      <c r="J43" s="100">
        <v>15.13</v>
      </c>
      <c r="K43" s="38">
        <f t="shared" ref="K43:K45" si="9">SUM(E43:J43)/6</f>
        <v>15.079999999999998</v>
      </c>
      <c r="L43" s="37">
        <v>30</v>
      </c>
      <c r="M43" s="37">
        <v>30</v>
      </c>
      <c r="N43" s="37">
        <v>30</v>
      </c>
      <c r="O43" s="98">
        <f t="shared" si="2"/>
        <v>30</v>
      </c>
      <c r="P43" s="38">
        <f t="shared" si="3"/>
        <v>178.60456890482544</v>
      </c>
      <c r="Q43" s="98">
        <v>12.942</v>
      </c>
      <c r="R43" s="98">
        <f t="shared" si="0"/>
        <v>2415.3917374302105</v>
      </c>
      <c r="S43" s="37">
        <f>102*368.08</f>
        <v>37544.159999999996</v>
      </c>
      <c r="T43" s="38">
        <f t="shared" ref="T43:T45" si="10">S43/P43</f>
        <v>210.2082843133004</v>
      </c>
      <c r="U43" s="38">
        <f t="shared" ref="U43:U45" si="11">T43/10.1972</f>
        <v>20.614314156170359</v>
      </c>
      <c r="V43" s="38">
        <f t="shared" ref="V43:V45" si="12">U43*145.03777</f>
        <v>2989.8541552903803</v>
      </c>
      <c r="W43" s="39">
        <f t="shared" ref="W43:W45" si="13">U43/$S$16</f>
        <v>0.98163400743668372</v>
      </c>
      <c r="X43" s="73" t="s">
        <v>67</v>
      </c>
      <c r="Y43" s="42"/>
      <c r="Z43" s="115">
        <f>W43-W33</f>
        <v>9.973368787677539E-2</v>
      </c>
    </row>
    <row r="44" spans="1:28" ht="81" customHeight="1" x14ac:dyDescent="0.25">
      <c r="A44" s="194"/>
      <c r="B44" s="28">
        <v>43348</v>
      </c>
      <c r="C44" s="28">
        <v>43376</v>
      </c>
      <c r="D44" s="29">
        <v>28</v>
      </c>
      <c r="E44" s="74">
        <v>15.12</v>
      </c>
      <c r="F44" s="74">
        <v>15.11</v>
      </c>
      <c r="G44" s="74">
        <v>15.12</v>
      </c>
      <c r="H44" s="88">
        <v>14.99</v>
      </c>
      <c r="I44" s="88">
        <v>15.11</v>
      </c>
      <c r="J44" s="88">
        <v>15.01</v>
      </c>
      <c r="K44" s="26">
        <f t="shared" si="9"/>
        <v>15.076666666666666</v>
      </c>
      <c r="L44" s="29">
        <v>30</v>
      </c>
      <c r="M44" s="29">
        <v>30</v>
      </c>
      <c r="N44" s="29">
        <v>30</v>
      </c>
      <c r="O44" s="90">
        <f t="shared" ref="O44:O45" si="14">SUM(L44:N44)/3</f>
        <v>30</v>
      </c>
      <c r="P44" s="26">
        <f t="shared" si="3"/>
        <v>178.5256189361115</v>
      </c>
      <c r="Q44" s="90">
        <v>13.042</v>
      </c>
      <c r="R44" s="90">
        <f t="shared" si="0"/>
        <v>2435.1313605522928</v>
      </c>
      <c r="S44" s="29">
        <f>102*377</f>
        <v>38454</v>
      </c>
      <c r="T44" s="26">
        <f t="shared" si="10"/>
        <v>215.39765681339793</v>
      </c>
      <c r="U44" s="26">
        <f t="shared" si="11"/>
        <v>21.12321586449201</v>
      </c>
      <c r="V44" s="26">
        <f t="shared" si="12"/>
        <v>3063.6641242145433</v>
      </c>
      <c r="W44" s="25">
        <f t="shared" si="13"/>
        <v>1.0058674221186672</v>
      </c>
      <c r="X44" s="73" t="s">
        <v>67</v>
      </c>
      <c r="Y44" s="42"/>
      <c r="Z44" s="115">
        <f t="shared" ref="Z44:Z45" si="15">W44-W34</f>
        <v>0.14141375407892354</v>
      </c>
    </row>
    <row r="45" spans="1:28" ht="77.25" customHeight="1" thickBot="1" x14ac:dyDescent="0.3">
      <c r="A45" s="195"/>
      <c r="B45" s="43">
        <v>43348</v>
      </c>
      <c r="C45" s="43">
        <v>43376</v>
      </c>
      <c r="D45" s="44">
        <v>28</v>
      </c>
      <c r="E45" s="75">
        <v>15.12</v>
      </c>
      <c r="F45" s="75">
        <v>15.11</v>
      </c>
      <c r="G45" s="75">
        <v>14.93</v>
      </c>
      <c r="H45" s="75">
        <v>15.11</v>
      </c>
      <c r="I45" s="75">
        <v>15.12</v>
      </c>
      <c r="J45" s="75">
        <v>14.99</v>
      </c>
      <c r="K45" s="45">
        <f t="shared" si="9"/>
        <v>15.063333333333333</v>
      </c>
      <c r="L45" s="44">
        <v>30</v>
      </c>
      <c r="M45" s="44">
        <v>30</v>
      </c>
      <c r="N45" s="44">
        <v>30</v>
      </c>
      <c r="O45" s="101">
        <f t="shared" si="14"/>
        <v>30</v>
      </c>
      <c r="P45" s="45">
        <f t="shared" si="3"/>
        <v>178.20999359418084</v>
      </c>
      <c r="Q45" s="75">
        <v>13.082000000000001</v>
      </c>
      <c r="R45" s="75">
        <f t="shared" si="0"/>
        <v>2446.9259993335513</v>
      </c>
      <c r="S45" s="99">
        <f>102*379</f>
        <v>38658</v>
      </c>
      <c r="T45" s="45">
        <f t="shared" si="10"/>
        <v>216.92386167765574</v>
      </c>
      <c r="U45" s="45">
        <f t="shared" si="11"/>
        <v>21.272884877971965</v>
      </c>
      <c r="V45" s="45">
        <f t="shared" si="12"/>
        <v>3085.3717841677758</v>
      </c>
      <c r="W45" s="46">
        <f t="shared" si="13"/>
        <v>1.012994517998665</v>
      </c>
      <c r="X45" s="73" t="s">
        <v>67</v>
      </c>
      <c r="Y45" s="42"/>
      <c r="Z45" s="115">
        <f t="shared" si="15"/>
        <v>0.16707076381015662</v>
      </c>
    </row>
  </sheetData>
  <sheetProtection selectLockedCells="1"/>
  <mergeCells count="31">
    <mergeCell ref="A33:A35"/>
    <mergeCell ref="A36:A39"/>
    <mergeCell ref="A40:A42"/>
    <mergeCell ref="A31:Z31"/>
    <mergeCell ref="A32:Z32"/>
    <mergeCell ref="S12:V12"/>
    <mergeCell ref="E13:I13"/>
    <mergeCell ref="E14:I14"/>
    <mergeCell ref="E15:I15"/>
    <mergeCell ref="S15:V15"/>
    <mergeCell ref="E16:I16"/>
    <mergeCell ref="S16:V16"/>
    <mergeCell ref="E29:G29"/>
    <mergeCell ref="H29:J29"/>
    <mergeCell ref="L29:N29"/>
    <mergeCell ref="A43:A45"/>
    <mergeCell ref="C4:J4"/>
    <mergeCell ref="M4:S4"/>
    <mergeCell ref="W4:Y4"/>
    <mergeCell ref="C5:Y5"/>
    <mergeCell ref="C8:F8"/>
    <mergeCell ref="I8:L8"/>
    <mergeCell ref="O8:S8"/>
    <mergeCell ref="V8:Y8"/>
    <mergeCell ref="C9:F9"/>
    <mergeCell ref="I9:L9"/>
    <mergeCell ref="O9:S9"/>
    <mergeCell ref="V9:Y9"/>
    <mergeCell ref="C10:F10"/>
    <mergeCell ref="I10:L10"/>
    <mergeCell ref="U29:W29"/>
  </mergeCells>
  <printOptions horizontalCentered="1" verticalCentered="1"/>
  <pageMargins left="0.39370078740157483" right="0.39370078740157483" top="0.39370078740157483" bottom="0.39370078740157483" header="0.31496062992125984" footer="0.39370078740157483"/>
  <pageSetup paperSize="9" scale="33" orientation="portrait" r:id="rId1"/>
  <colBreaks count="1" manualBreakCount="1">
    <brk id="26" max="34" man="1"/>
  </colBreaks>
  <ignoredErrors>
    <ignoredError sqref="K33:K45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G31"/>
  <sheetViews>
    <sheetView topLeftCell="A10" workbookViewId="0">
      <selection activeCell="D31" sqref="D31:E31"/>
    </sheetView>
  </sheetViews>
  <sheetFormatPr baseColWidth="10" defaultRowHeight="15" x14ac:dyDescent="0.25"/>
  <cols>
    <col min="1" max="1" width="21.28515625" customWidth="1"/>
    <col min="2" max="2" width="18.42578125" customWidth="1"/>
    <col min="3" max="3" width="23.5703125" customWidth="1"/>
    <col min="4" max="4" width="16" customWidth="1"/>
    <col min="5" max="5" width="23.7109375" customWidth="1"/>
  </cols>
  <sheetData>
    <row r="1" spans="1:7" x14ac:dyDescent="0.25">
      <c r="C1" t="s">
        <v>100</v>
      </c>
      <c r="F1" t="s">
        <v>108</v>
      </c>
      <c r="G1">
        <v>2E-3</v>
      </c>
    </row>
    <row r="8" spans="1:7" ht="15.75" thickBot="1" x14ac:dyDescent="0.3"/>
    <row r="9" spans="1:7" x14ac:dyDescent="0.25">
      <c r="A9" s="143" t="s">
        <v>111</v>
      </c>
      <c r="B9" s="144" t="s">
        <v>112</v>
      </c>
      <c r="C9" s="144" t="s">
        <v>113</v>
      </c>
      <c r="D9" s="144" t="s">
        <v>105</v>
      </c>
      <c r="E9" s="145" t="s">
        <v>106</v>
      </c>
    </row>
    <row r="10" spans="1:7" x14ac:dyDescent="0.25">
      <c r="A10" s="138">
        <v>0</v>
      </c>
      <c r="B10" s="134">
        <f t="shared" ref="B10:B26" si="0">D10/(D11/B11)</f>
        <v>0</v>
      </c>
      <c r="C10" s="133">
        <v>178.5256189361115</v>
      </c>
      <c r="D10" s="133">
        <f t="shared" ref="D10:D26" si="1">(A10/(C10/100^2))/1000</f>
        <v>0</v>
      </c>
      <c r="E10" s="139">
        <f t="shared" ref="E10:E27" si="2">B10/300</f>
        <v>0</v>
      </c>
    </row>
    <row r="11" spans="1:7" x14ac:dyDescent="0.25">
      <c r="A11" s="138">
        <v>20</v>
      </c>
      <c r="B11" s="134">
        <f t="shared" si="0"/>
        <v>2.2275050709939146E-3</v>
      </c>
      <c r="C11" s="133">
        <v>178.5256189361115</v>
      </c>
      <c r="D11" s="133">
        <f t="shared" si="1"/>
        <v>1.1202873917584539</v>
      </c>
      <c r="E11" s="139">
        <f t="shared" si="2"/>
        <v>7.4250169033130491E-6</v>
      </c>
    </row>
    <row r="12" spans="1:7" x14ac:dyDescent="0.25">
      <c r="A12" s="138">
        <v>40</v>
      </c>
      <c r="B12" s="134">
        <f t="shared" si="0"/>
        <v>4.4550101419878292E-3</v>
      </c>
      <c r="C12" s="133">
        <v>178.5256189361115</v>
      </c>
      <c r="D12" s="133">
        <f t="shared" si="1"/>
        <v>2.2405747835169079</v>
      </c>
      <c r="E12" s="139">
        <f t="shared" si="2"/>
        <v>1.4850033806626098E-5</v>
      </c>
    </row>
    <row r="13" spans="1:7" x14ac:dyDescent="0.25">
      <c r="A13" s="138">
        <v>60</v>
      </c>
      <c r="B13" s="134">
        <f t="shared" si="0"/>
        <v>6.6825152129817433E-3</v>
      </c>
      <c r="C13" s="133">
        <v>178.5256189361115</v>
      </c>
      <c r="D13" s="133">
        <f t="shared" si="1"/>
        <v>3.3608621752753614</v>
      </c>
      <c r="E13" s="139">
        <f t="shared" si="2"/>
        <v>2.2275050709939143E-5</v>
      </c>
    </row>
    <row r="14" spans="1:7" x14ac:dyDescent="0.25">
      <c r="A14" s="138">
        <v>80</v>
      </c>
      <c r="B14" s="134">
        <f t="shared" si="0"/>
        <v>8.9100202839756584E-3</v>
      </c>
      <c r="C14" s="133">
        <v>178.5256189361115</v>
      </c>
      <c r="D14" s="133">
        <f t="shared" si="1"/>
        <v>4.4811495670338157</v>
      </c>
      <c r="E14" s="139">
        <f t="shared" si="2"/>
        <v>2.9700067613252196E-5</v>
      </c>
    </row>
    <row r="15" spans="1:7" x14ac:dyDescent="0.25">
      <c r="A15" s="138">
        <v>100</v>
      </c>
      <c r="B15" s="134">
        <f t="shared" si="0"/>
        <v>1.1137525354969572E-2</v>
      </c>
      <c r="C15" s="133">
        <v>178.5256189361115</v>
      </c>
      <c r="D15" s="133">
        <f t="shared" si="1"/>
        <v>5.6014369587922692</v>
      </c>
      <c r="E15" s="139">
        <f t="shared" si="2"/>
        <v>3.7125084516565236E-5</v>
      </c>
    </row>
    <row r="16" spans="1:7" x14ac:dyDescent="0.25">
      <c r="A16" s="138">
        <v>120</v>
      </c>
      <c r="B16" s="134">
        <f t="shared" si="0"/>
        <v>1.3365030425963487E-2</v>
      </c>
      <c r="C16" s="133">
        <v>178.5256189361115</v>
      </c>
      <c r="D16" s="133">
        <f t="shared" si="1"/>
        <v>6.7217243505507227</v>
      </c>
      <c r="E16" s="139">
        <f t="shared" si="2"/>
        <v>4.4550101419878286E-5</v>
      </c>
    </row>
    <row r="17" spans="1:5" x14ac:dyDescent="0.25">
      <c r="A17" s="138">
        <v>140</v>
      </c>
      <c r="B17" s="134">
        <f t="shared" si="0"/>
        <v>1.5592535496957402E-2</v>
      </c>
      <c r="C17" s="133">
        <v>178.5256189361115</v>
      </c>
      <c r="D17" s="133">
        <f t="shared" si="1"/>
        <v>7.8420117423091771</v>
      </c>
      <c r="E17" s="139">
        <f t="shared" si="2"/>
        <v>5.1975118323191336E-5</v>
      </c>
    </row>
    <row r="18" spans="1:5" x14ac:dyDescent="0.25">
      <c r="A18" s="138">
        <v>160</v>
      </c>
      <c r="B18" s="134">
        <f t="shared" si="0"/>
        <v>1.7820040567951317E-2</v>
      </c>
      <c r="C18" s="133">
        <v>178.5256189361115</v>
      </c>
      <c r="D18" s="133">
        <f t="shared" si="1"/>
        <v>8.9622991340676315</v>
      </c>
      <c r="E18" s="139">
        <f t="shared" si="2"/>
        <v>5.9400135226504392E-5</v>
      </c>
    </row>
    <row r="19" spans="1:5" x14ac:dyDescent="0.25">
      <c r="A19" s="138">
        <v>180</v>
      </c>
      <c r="B19" s="134">
        <f t="shared" si="0"/>
        <v>2.004754563894523E-2</v>
      </c>
      <c r="C19" s="133">
        <v>178.5256189361115</v>
      </c>
      <c r="D19" s="133">
        <f t="shared" si="1"/>
        <v>10.082586525826086</v>
      </c>
      <c r="E19" s="139">
        <f t="shared" si="2"/>
        <v>6.6825152129817436E-5</v>
      </c>
    </row>
    <row r="20" spans="1:5" x14ac:dyDescent="0.25">
      <c r="A20" s="138">
        <v>200</v>
      </c>
      <c r="B20" s="134">
        <f t="shared" si="0"/>
        <v>2.2275050709939143E-2</v>
      </c>
      <c r="C20" s="133">
        <v>178.5256189361115</v>
      </c>
      <c r="D20" s="133">
        <f t="shared" si="1"/>
        <v>11.202873917584538</v>
      </c>
      <c r="E20" s="139">
        <f t="shared" si="2"/>
        <v>7.4250169033130472E-5</v>
      </c>
    </row>
    <row r="21" spans="1:5" x14ac:dyDescent="0.25">
      <c r="A21" s="138">
        <v>220</v>
      </c>
      <c r="B21" s="134">
        <f t="shared" si="0"/>
        <v>2.450255578093306E-2</v>
      </c>
      <c r="C21" s="133">
        <v>178.5256189361115</v>
      </c>
      <c r="D21" s="133">
        <f t="shared" si="1"/>
        <v>12.323161309342993</v>
      </c>
      <c r="E21" s="139">
        <f t="shared" si="2"/>
        <v>8.1675185936443535E-5</v>
      </c>
    </row>
    <row r="22" spans="1:5" x14ac:dyDescent="0.25">
      <c r="A22" s="138">
        <v>240</v>
      </c>
      <c r="B22" s="134">
        <f t="shared" si="0"/>
        <v>2.6730060851926973E-2</v>
      </c>
      <c r="C22" s="133">
        <v>178.5256189361115</v>
      </c>
      <c r="D22" s="133">
        <f t="shared" si="1"/>
        <v>13.443448701101445</v>
      </c>
      <c r="E22" s="139">
        <f t="shared" si="2"/>
        <v>8.9100202839756572E-5</v>
      </c>
    </row>
    <row r="23" spans="1:5" x14ac:dyDescent="0.25">
      <c r="A23" s="138">
        <v>260</v>
      </c>
      <c r="B23" s="134">
        <f t="shared" si="0"/>
        <v>2.895756592292089E-2</v>
      </c>
      <c r="C23" s="133">
        <v>178.5256189361115</v>
      </c>
      <c r="D23" s="133">
        <f t="shared" si="1"/>
        <v>14.563736092859902</v>
      </c>
      <c r="E23" s="139">
        <f t="shared" si="2"/>
        <v>9.6525219743069635E-5</v>
      </c>
    </row>
    <row r="24" spans="1:5" x14ac:dyDescent="0.25">
      <c r="A24" s="138">
        <v>280</v>
      </c>
      <c r="B24" s="134">
        <f t="shared" si="0"/>
        <v>3.1185070993914803E-2</v>
      </c>
      <c r="C24" s="133">
        <v>178.5256189361115</v>
      </c>
      <c r="D24" s="133">
        <f t="shared" si="1"/>
        <v>15.684023484618354</v>
      </c>
      <c r="E24" s="139">
        <f t="shared" si="2"/>
        <v>1.0395023664638267E-4</v>
      </c>
    </row>
    <row r="25" spans="1:5" x14ac:dyDescent="0.25">
      <c r="A25" s="138">
        <v>300</v>
      </c>
      <c r="B25" s="134">
        <f t="shared" si="0"/>
        <v>3.3412576064908724E-2</v>
      </c>
      <c r="C25" s="133">
        <v>178.5256189361115</v>
      </c>
      <c r="D25" s="133">
        <f t="shared" si="1"/>
        <v>16.80431087637681</v>
      </c>
      <c r="E25" s="139">
        <f t="shared" si="2"/>
        <v>1.1137525354969575E-4</v>
      </c>
    </row>
    <row r="26" spans="1:5" x14ac:dyDescent="0.25">
      <c r="A26" s="138">
        <v>320</v>
      </c>
      <c r="B26" s="134">
        <f t="shared" si="0"/>
        <v>3.564008113590264E-2</v>
      </c>
      <c r="C26" s="133">
        <v>178.5256189361115</v>
      </c>
      <c r="D26" s="133">
        <f t="shared" si="1"/>
        <v>17.924598268135263</v>
      </c>
      <c r="E26" s="139">
        <f t="shared" si="2"/>
        <v>1.188002704530088E-4</v>
      </c>
    </row>
    <row r="27" spans="1:5" x14ac:dyDescent="0.25">
      <c r="A27" s="138">
        <v>340</v>
      </c>
      <c r="B27" s="134">
        <f>D27/(D29/B29)</f>
        <v>3.786758620689655E-2</v>
      </c>
      <c r="C27" s="133">
        <v>178.5256189361115</v>
      </c>
      <c r="D27" s="133">
        <f>(A27/(C27/100^2))/1000</f>
        <v>19.044885659893716</v>
      </c>
      <c r="E27" s="139">
        <f t="shared" si="2"/>
        <v>1.2622528735632183E-4</v>
      </c>
    </row>
    <row r="28" spans="1:5" x14ac:dyDescent="0.25">
      <c r="A28" s="138">
        <v>360</v>
      </c>
      <c r="B28" s="134">
        <f>D28/(D29/B29)</f>
        <v>4.0095091277890474E-2</v>
      </c>
      <c r="C28" s="133">
        <v>178.5256189361115</v>
      </c>
      <c r="D28" s="133">
        <f>(A28/(C28/100^2))/1000</f>
        <v>20.165173051652172</v>
      </c>
      <c r="E28" s="139">
        <f t="shared" ref="E28" si="3">B28/300</f>
        <v>1.3365030425963493E-4</v>
      </c>
    </row>
    <row r="29" spans="1:5" ht="15.75" thickBot="1" x14ac:dyDescent="0.3">
      <c r="A29" s="140">
        <v>370</v>
      </c>
      <c r="B29" s="141">
        <v>4.2000000000000003E-2</v>
      </c>
      <c r="C29" s="141">
        <v>178.5256189361115</v>
      </c>
      <c r="D29" s="141">
        <v>21.12321586449201</v>
      </c>
      <c r="E29" s="142">
        <f>B29/300</f>
        <v>1.4000000000000001E-4</v>
      </c>
    </row>
    <row r="30" spans="1:5" ht="15.75" thickBot="1" x14ac:dyDescent="0.3"/>
    <row r="31" spans="1:5" ht="15.75" thickBot="1" x14ac:dyDescent="0.3">
      <c r="D31" s="146" t="s">
        <v>107</v>
      </c>
      <c r="E31" s="147">
        <f>+(D24-D14)/(E24-E14)</f>
        <v>150880.1133178001</v>
      </c>
    </row>
  </sheetData>
  <pageMargins left="0.7" right="0.7" top="0.75" bottom="0.75" header="0.3" footer="0.3"/>
  <ignoredErrors>
    <ignoredError sqref="B27" formula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5"/>
  <sheetViews>
    <sheetView showGridLines="0" topLeftCell="A37" zoomScale="50" zoomScaleNormal="50" zoomScaleSheetLayoutView="70" zoomScalePageLayoutView="70" workbookViewId="0">
      <selection activeCell="S44" sqref="S44"/>
    </sheetView>
  </sheetViews>
  <sheetFormatPr baseColWidth="10" defaultColWidth="10.85546875" defaultRowHeight="15" x14ac:dyDescent="0.25"/>
  <cols>
    <col min="1" max="1" width="12.7109375" style="4" customWidth="1"/>
    <col min="2" max="2" width="27" style="4" bestFit="1" customWidth="1"/>
    <col min="3" max="3" width="21.85546875" style="4" bestFit="1" customWidth="1"/>
    <col min="4" max="4" width="9.7109375" style="4" customWidth="1"/>
    <col min="5" max="5" width="11.140625" style="4" customWidth="1"/>
    <col min="6" max="6" width="10.85546875" style="4" customWidth="1"/>
    <col min="7" max="7" width="11.140625" style="4" customWidth="1"/>
    <col min="8" max="8" width="10.5703125" style="4" customWidth="1"/>
    <col min="9" max="10" width="12" style="4" customWidth="1"/>
    <col min="11" max="11" width="11.85546875" style="4" customWidth="1"/>
    <col min="12" max="15" width="9.42578125" style="4" customWidth="1"/>
    <col min="16" max="16" width="15.5703125" style="4" customWidth="1"/>
    <col min="17" max="17" width="9.42578125" style="4" customWidth="1"/>
    <col min="18" max="18" width="13.28515625" style="4" customWidth="1"/>
    <col min="19" max="19" width="29.42578125" style="4" customWidth="1"/>
    <col min="20" max="20" width="14" style="4" customWidth="1"/>
    <col min="21" max="21" width="13.42578125" style="4" customWidth="1"/>
    <col min="22" max="22" width="11.7109375" style="4" customWidth="1"/>
    <col min="23" max="23" width="12.7109375" style="4" customWidth="1"/>
    <col min="24" max="24" width="14" style="4" customWidth="1"/>
    <col min="25" max="25" width="13.140625" style="4" customWidth="1"/>
    <col min="26" max="26" width="13.28515625" style="4" customWidth="1"/>
    <col min="27" max="16384" width="10.85546875" style="4"/>
  </cols>
  <sheetData>
    <row r="1" spans="1:26" ht="6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3"/>
    </row>
    <row r="2" spans="1:26" ht="28.5" customHeight="1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 t="s">
        <v>0</v>
      </c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11.25" customHeight="1" x14ac:dyDescent="0.25">
      <c r="A3" s="5"/>
      <c r="B3" s="6"/>
      <c r="C3" s="6"/>
      <c r="D3" s="6"/>
      <c r="E3" s="6"/>
      <c r="F3" s="6"/>
      <c r="G3" s="6"/>
      <c r="H3" s="6"/>
      <c r="I3" s="7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9.5" x14ac:dyDescent="0.25">
      <c r="A4" s="5"/>
      <c r="B4" s="9" t="s">
        <v>1</v>
      </c>
      <c r="C4" s="169" t="s">
        <v>74</v>
      </c>
      <c r="D4" s="169"/>
      <c r="E4" s="169"/>
      <c r="F4" s="169"/>
      <c r="G4" s="169"/>
      <c r="H4" s="169"/>
      <c r="I4" s="169"/>
      <c r="J4" s="169"/>
      <c r="L4" s="9" t="s">
        <v>2</v>
      </c>
      <c r="M4" s="169" t="s">
        <v>73</v>
      </c>
      <c r="N4" s="169"/>
      <c r="O4" s="169"/>
      <c r="P4" s="169"/>
      <c r="Q4" s="169"/>
      <c r="R4" s="169"/>
      <c r="S4" s="169"/>
      <c r="T4" s="6"/>
      <c r="U4" s="6"/>
      <c r="V4" s="9" t="s">
        <v>3</v>
      </c>
      <c r="W4" s="175">
        <v>43376</v>
      </c>
      <c r="X4" s="169"/>
      <c r="Y4" s="169"/>
      <c r="Z4" s="8"/>
    </row>
    <row r="5" spans="1:26" ht="19.5" x14ac:dyDescent="0.25">
      <c r="A5" s="5"/>
      <c r="B5" s="9" t="s">
        <v>4</v>
      </c>
      <c r="C5" s="169" t="s">
        <v>72</v>
      </c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8"/>
    </row>
    <row r="6" spans="1:26" x14ac:dyDescent="0.2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9.5" x14ac:dyDescent="0.25">
      <c r="A7" s="10" t="s">
        <v>5</v>
      </c>
      <c r="B7" s="11"/>
      <c r="C7" s="11"/>
      <c r="D7" s="12"/>
      <c r="E7" s="13"/>
      <c r="F7" s="13"/>
      <c r="G7" s="11" t="s">
        <v>6</v>
      </c>
      <c r="H7" s="6"/>
      <c r="I7" s="11"/>
      <c r="J7" s="12"/>
      <c r="K7" s="13"/>
      <c r="L7" s="13"/>
      <c r="M7" s="11" t="s">
        <v>7</v>
      </c>
      <c r="N7" s="11"/>
      <c r="O7" s="11"/>
      <c r="P7" s="12"/>
      <c r="Q7" s="12"/>
      <c r="R7" s="13"/>
      <c r="S7" s="13"/>
      <c r="T7" s="11" t="s">
        <v>8</v>
      </c>
      <c r="U7" s="11"/>
      <c r="V7" s="11"/>
      <c r="W7" s="12"/>
      <c r="X7" s="13"/>
      <c r="Y7" s="13"/>
      <c r="Z7" s="8"/>
    </row>
    <row r="8" spans="1:26" ht="19.5" x14ac:dyDescent="0.25">
      <c r="A8" s="14"/>
      <c r="B8" s="12" t="s">
        <v>9</v>
      </c>
      <c r="C8" s="170" t="s">
        <v>65</v>
      </c>
      <c r="D8" s="170"/>
      <c r="E8" s="170"/>
      <c r="F8" s="170"/>
      <c r="G8" s="13"/>
      <c r="H8" s="12" t="s">
        <v>9</v>
      </c>
      <c r="I8" s="170" t="s">
        <v>65</v>
      </c>
      <c r="J8" s="170"/>
      <c r="K8" s="170"/>
      <c r="L8" s="170"/>
      <c r="M8" s="13"/>
      <c r="N8" s="12" t="s">
        <v>10</v>
      </c>
      <c r="O8" s="176">
        <v>0</v>
      </c>
      <c r="P8" s="170"/>
      <c r="Q8" s="170"/>
      <c r="R8" s="170"/>
      <c r="S8" s="170"/>
      <c r="T8" s="13"/>
      <c r="U8" s="12" t="s">
        <v>11</v>
      </c>
      <c r="V8" s="170" t="s">
        <v>96</v>
      </c>
      <c r="W8" s="170"/>
      <c r="X8" s="170"/>
      <c r="Y8" s="170"/>
      <c r="Z8" s="8"/>
    </row>
    <row r="9" spans="1:26" ht="19.5" customHeight="1" x14ac:dyDescent="0.25">
      <c r="A9" s="14"/>
      <c r="B9" s="12" t="s">
        <v>10</v>
      </c>
      <c r="C9" s="170" t="s">
        <v>65</v>
      </c>
      <c r="D9" s="170"/>
      <c r="E9" s="170"/>
      <c r="F9" s="170"/>
      <c r="G9" s="13"/>
      <c r="H9" s="12" t="s">
        <v>10</v>
      </c>
      <c r="I9" s="170" t="s">
        <v>65</v>
      </c>
      <c r="J9" s="170"/>
      <c r="K9" s="170"/>
      <c r="L9" s="170"/>
      <c r="M9" s="13"/>
      <c r="N9" s="12" t="s">
        <v>12</v>
      </c>
      <c r="O9" s="171" t="s">
        <v>68</v>
      </c>
      <c r="P9" s="171"/>
      <c r="Q9" s="171"/>
      <c r="R9" s="171"/>
      <c r="S9" s="171"/>
      <c r="T9" s="13"/>
      <c r="U9" s="12" t="s">
        <v>13</v>
      </c>
      <c r="V9" s="171" t="s">
        <v>98</v>
      </c>
      <c r="W9" s="171"/>
      <c r="X9" s="171"/>
      <c r="Y9" s="171"/>
      <c r="Z9" s="8"/>
    </row>
    <row r="10" spans="1:26" ht="19.5" x14ac:dyDescent="0.25">
      <c r="A10" s="14"/>
      <c r="B10" s="12" t="s">
        <v>13</v>
      </c>
      <c r="C10" s="170" t="s">
        <v>75</v>
      </c>
      <c r="D10" s="170"/>
      <c r="E10" s="170"/>
      <c r="F10" s="170"/>
      <c r="G10" s="13"/>
      <c r="H10" s="12" t="s">
        <v>13</v>
      </c>
      <c r="I10" s="170" t="s">
        <v>75</v>
      </c>
      <c r="J10" s="170"/>
      <c r="K10" s="170"/>
      <c r="L10" s="170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9.5" x14ac:dyDescent="0.25">
      <c r="A11" s="14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6"/>
      <c r="T11" s="6"/>
      <c r="U11" s="6"/>
      <c r="V11" s="6"/>
      <c r="W11" s="6"/>
      <c r="X11" s="6"/>
      <c r="Y11" s="6"/>
      <c r="Z11" s="8"/>
    </row>
    <row r="12" spans="1:26" ht="19.5" x14ac:dyDescent="0.25">
      <c r="A12" s="10" t="s">
        <v>14</v>
      </c>
      <c r="B12" s="11"/>
      <c r="C12" s="11"/>
      <c r="D12" s="13"/>
      <c r="E12" s="13"/>
      <c r="F12" s="13"/>
      <c r="G12" s="13"/>
      <c r="H12" s="13"/>
      <c r="I12" s="13"/>
      <c r="J12" s="13"/>
      <c r="K12" s="6"/>
      <c r="L12" s="6"/>
      <c r="M12" s="6"/>
      <c r="N12" s="6"/>
      <c r="O12" s="6"/>
      <c r="P12" s="6"/>
      <c r="Q12" s="6"/>
      <c r="R12" s="12" t="s">
        <v>15</v>
      </c>
      <c r="S12" s="170" t="s">
        <v>76</v>
      </c>
      <c r="T12" s="170"/>
      <c r="U12" s="170"/>
      <c r="V12" s="170"/>
      <c r="W12" s="15" t="s">
        <v>16</v>
      </c>
      <c r="X12" s="6"/>
      <c r="Y12" s="6"/>
      <c r="Z12" s="8"/>
    </row>
    <row r="13" spans="1:26" ht="19.5" x14ac:dyDescent="0.25">
      <c r="A13" s="14"/>
      <c r="B13" s="13"/>
      <c r="C13" s="13"/>
      <c r="D13" s="12" t="s">
        <v>17</v>
      </c>
      <c r="E13" s="169" t="s">
        <v>66</v>
      </c>
      <c r="F13" s="169"/>
      <c r="G13" s="169"/>
      <c r="H13" s="169"/>
      <c r="I13" s="169"/>
      <c r="J13" s="16" t="s">
        <v>18</v>
      </c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15" t="s">
        <v>19</v>
      </c>
      <c r="X13" s="6"/>
      <c r="Y13" s="6"/>
      <c r="Z13" s="8"/>
    </row>
    <row r="14" spans="1:26" ht="19.5" x14ac:dyDescent="0.25">
      <c r="A14" s="14"/>
      <c r="B14" s="13"/>
      <c r="C14" s="13"/>
      <c r="D14" s="12" t="s">
        <v>20</v>
      </c>
      <c r="E14" s="182" t="s">
        <v>65</v>
      </c>
      <c r="F14" s="182"/>
      <c r="G14" s="182"/>
      <c r="H14" s="182"/>
      <c r="I14" s="182"/>
      <c r="J14" s="17" t="s">
        <v>21</v>
      </c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15" t="s">
        <v>22</v>
      </c>
      <c r="X14" s="6"/>
      <c r="Y14" s="6"/>
      <c r="Z14" s="8"/>
    </row>
    <row r="15" spans="1:26" ht="19.5" x14ac:dyDescent="0.25">
      <c r="A15" s="14"/>
      <c r="B15" s="13"/>
      <c r="C15" s="13"/>
      <c r="D15" s="12" t="s">
        <v>23</v>
      </c>
      <c r="E15" s="182" t="s">
        <v>69</v>
      </c>
      <c r="F15" s="182"/>
      <c r="G15" s="182"/>
      <c r="H15" s="182"/>
      <c r="I15" s="182"/>
      <c r="J15" s="17" t="s">
        <v>24</v>
      </c>
      <c r="K15" s="6"/>
      <c r="L15" s="6"/>
      <c r="M15" s="6"/>
      <c r="N15" s="6"/>
      <c r="O15" s="6"/>
      <c r="P15" s="6"/>
      <c r="Q15" s="6"/>
      <c r="R15" s="12" t="s">
        <v>25</v>
      </c>
      <c r="S15" s="169" t="s">
        <v>70</v>
      </c>
      <c r="T15" s="169"/>
      <c r="U15" s="169"/>
      <c r="V15" s="169"/>
      <c r="W15" s="15" t="s">
        <v>26</v>
      </c>
      <c r="X15" s="6"/>
      <c r="Y15" s="6"/>
      <c r="Z15" s="8"/>
    </row>
    <row r="16" spans="1:26" ht="19.5" x14ac:dyDescent="0.25">
      <c r="A16" s="14"/>
      <c r="B16" s="13"/>
      <c r="C16" s="13"/>
      <c r="D16" s="12" t="s">
        <v>27</v>
      </c>
      <c r="E16" s="182" t="s">
        <v>65</v>
      </c>
      <c r="F16" s="182"/>
      <c r="G16" s="182"/>
      <c r="H16" s="182"/>
      <c r="I16" s="182"/>
      <c r="J16" s="16" t="s">
        <v>28</v>
      </c>
      <c r="K16" s="6"/>
      <c r="L16" s="6"/>
      <c r="M16" s="6"/>
      <c r="N16" s="6"/>
      <c r="O16" s="6"/>
      <c r="P16" s="6"/>
      <c r="Q16" s="6"/>
      <c r="R16" s="12" t="s">
        <v>29</v>
      </c>
      <c r="S16" s="182">
        <v>21</v>
      </c>
      <c r="T16" s="182"/>
      <c r="U16" s="182"/>
      <c r="V16" s="182"/>
      <c r="W16" s="16" t="s">
        <v>28</v>
      </c>
      <c r="X16" s="6"/>
      <c r="Y16" s="6"/>
      <c r="Z16" s="8"/>
    </row>
    <row r="17" spans="1:26" x14ac:dyDescent="0.25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x14ac:dyDescent="0.25">
      <c r="A18" s="5"/>
      <c r="B18" s="6"/>
      <c r="C18" s="6"/>
      <c r="D18" s="6"/>
      <c r="E18" s="6"/>
      <c r="F18" s="18" t="s">
        <v>30</v>
      </c>
      <c r="G18" s="6"/>
      <c r="H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x14ac:dyDescent="0.25">
      <c r="A19" s="5"/>
      <c r="B19" s="6"/>
      <c r="C19" s="6"/>
      <c r="D19" s="6"/>
      <c r="E19" s="6"/>
      <c r="F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x14ac:dyDescent="0.25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R21" s="6"/>
      <c r="S21" s="6"/>
      <c r="T21" s="6"/>
      <c r="U21" s="6"/>
      <c r="V21" s="6"/>
      <c r="W21" s="6"/>
      <c r="X21" s="6"/>
      <c r="Y21" s="6"/>
      <c r="Z21" s="8"/>
    </row>
    <row r="22" spans="1:2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x14ac:dyDescent="0.25">
      <c r="A23" s="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x14ac:dyDescent="0.25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x14ac:dyDescent="0.25">
      <c r="A26" s="5"/>
      <c r="B26" s="6"/>
      <c r="C26" s="6"/>
      <c r="D26" s="6"/>
      <c r="E26" s="6"/>
      <c r="F26" s="6"/>
      <c r="G26" s="6"/>
      <c r="H26" s="6"/>
      <c r="I26" s="19" t="s">
        <v>31</v>
      </c>
      <c r="J26" s="19"/>
      <c r="K26" s="19" t="s">
        <v>32</v>
      </c>
      <c r="L26" s="19"/>
      <c r="M26" s="19" t="s">
        <v>33</v>
      </c>
      <c r="N26" s="19"/>
      <c r="O26" s="19" t="s">
        <v>34</v>
      </c>
      <c r="P26" s="19"/>
      <c r="Q26" s="19" t="s">
        <v>35</v>
      </c>
      <c r="S26" s="6"/>
      <c r="T26" s="6"/>
      <c r="U26" s="6"/>
      <c r="V26" s="6"/>
      <c r="W26" s="6"/>
      <c r="X26" s="6"/>
      <c r="Y26" s="6"/>
      <c r="Z26" s="8"/>
    </row>
    <row r="27" spans="1:26" x14ac:dyDescent="0.25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x14ac:dyDescent="0.25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s="23" customFormat="1" ht="17.25" x14ac:dyDescent="0.3">
      <c r="A29" s="20"/>
      <c r="B29" s="21"/>
      <c r="C29" s="21"/>
      <c r="D29" s="21"/>
      <c r="E29" s="177" t="s">
        <v>36</v>
      </c>
      <c r="F29" s="178"/>
      <c r="G29" s="179"/>
      <c r="H29" s="177" t="s">
        <v>37</v>
      </c>
      <c r="I29" s="178"/>
      <c r="J29" s="179"/>
      <c r="K29" s="21"/>
      <c r="L29" s="177" t="s">
        <v>38</v>
      </c>
      <c r="M29" s="178"/>
      <c r="N29" s="179"/>
      <c r="O29" s="21"/>
      <c r="P29" s="21"/>
      <c r="Q29" s="21"/>
      <c r="R29" s="21"/>
      <c r="S29" s="21" t="s">
        <v>77</v>
      </c>
      <c r="T29" s="21"/>
      <c r="U29" s="177" t="s">
        <v>39</v>
      </c>
      <c r="V29" s="178"/>
      <c r="W29" s="179"/>
      <c r="X29" s="21"/>
      <c r="Y29" s="21"/>
      <c r="Z29" s="22"/>
    </row>
    <row r="30" spans="1:26" s="23" customFormat="1" ht="103.5" customHeight="1" x14ac:dyDescent="0.3">
      <c r="A30" s="24" t="s">
        <v>40</v>
      </c>
      <c r="B30" s="24" t="s">
        <v>41</v>
      </c>
      <c r="C30" s="24" t="s">
        <v>42</v>
      </c>
      <c r="D30" s="24" t="s">
        <v>43</v>
      </c>
      <c r="E30" s="24" t="s">
        <v>44</v>
      </c>
      <c r="F30" s="24" t="s">
        <v>45</v>
      </c>
      <c r="G30" s="24" t="s">
        <v>46</v>
      </c>
      <c r="H30" s="24" t="s">
        <v>44</v>
      </c>
      <c r="I30" s="24" t="s">
        <v>45</v>
      </c>
      <c r="J30" s="24" t="s">
        <v>46</v>
      </c>
      <c r="K30" s="24" t="s">
        <v>47</v>
      </c>
      <c r="L30" s="24" t="s">
        <v>48</v>
      </c>
      <c r="M30" s="24" t="s">
        <v>49</v>
      </c>
      <c r="N30" s="24" t="s">
        <v>50</v>
      </c>
      <c r="O30" s="24" t="s">
        <v>51</v>
      </c>
      <c r="P30" s="24" t="s">
        <v>52</v>
      </c>
      <c r="Q30" s="24" t="s">
        <v>53</v>
      </c>
      <c r="R30" s="24" t="s">
        <v>54</v>
      </c>
      <c r="S30" s="24" t="s">
        <v>55</v>
      </c>
      <c r="T30" s="24" t="s">
        <v>56</v>
      </c>
      <c r="U30" s="24" t="s">
        <v>57</v>
      </c>
      <c r="V30" s="24" t="s">
        <v>58</v>
      </c>
      <c r="W30" s="24" t="s">
        <v>59</v>
      </c>
      <c r="X30" s="24" t="s">
        <v>60</v>
      </c>
      <c r="Y30" s="24" t="s">
        <v>61</v>
      </c>
    </row>
    <row r="31" spans="1:26" ht="21" customHeight="1" thickBot="1" x14ac:dyDescent="0.3">
      <c r="A31" s="180" t="s">
        <v>62</v>
      </c>
      <c r="B31" s="181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74"/>
    </row>
    <row r="32" spans="1:26" s="23" customFormat="1" ht="22.5" hidden="1" customHeight="1" x14ac:dyDescent="0.3">
      <c r="A32" s="172" t="s">
        <v>71</v>
      </c>
      <c r="B32" s="173"/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4"/>
    </row>
    <row r="33" spans="1:28" ht="72.75" customHeight="1" x14ac:dyDescent="0.25">
      <c r="A33" s="166">
        <v>1</v>
      </c>
      <c r="B33" s="36">
        <v>43353</v>
      </c>
      <c r="C33" s="36">
        <v>43360</v>
      </c>
      <c r="D33" s="37">
        <v>7</v>
      </c>
      <c r="E33" s="37">
        <v>15.257</v>
      </c>
      <c r="F33" s="37">
        <v>15.055999999999999</v>
      </c>
      <c r="G33" s="37">
        <v>15.132999999999999</v>
      </c>
      <c r="H33" s="37">
        <v>15.263999999999999</v>
      </c>
      <c r="I33" s="37">
        <v>15.061999999999999</v>
      </c>
      <c r="J33" s="37">
        <v>15.180999999999999</v>
      </c>
      <c r="K33" s="38">
        <f>SUM(E33:J33)/6</f>
        <v>15.158833333333332</v>
      </c>
      <c r="L33" s="37">
        <v>30</v>
      </c>
      <c r="M33" s="37">
        <v>30</v>
      </c>
      <c r="N33" s="37">
        <v>30</v>
      </c>
      <c r="O33" s="38">
        <f>SUM(L33:N33)/3</f>
        <v>30</v>
      </c>
      <c r="P33" s="38">
        <f>((PI()/4)*POWER(K33,2))</f>
        <v>180.47682305969749</v>
      </c>
      <c r="Q33" s="38">
        <v>12.664999999999999</v>
      </c>
      <c r="R33" s="38">
        <f>Q33/((P33*O33)/POWER(100,3))</f>
        <v>2339.173859055707</v>
      </c>
      <c r="S33" s="37">
        <f>AB33*336.7</f>
        <v>34343.4</v>
      </c>
      <c r="T33" s="38">
        <f>S33/P33</f>
        <v>190.29257839185263</v>
      </c>
      <c r="U33" s="38">
        <f>T33/10.1972</f>
        <v>18.661257834685269</v>
      </c>
      <c r="V33" s="38">
        <f>U33*145.03777</f>
        <v>2706.5872217377801</v>
      </c>
      <c r="W33" s="39">
        <f>U33/S16</f>
        <v>0.88863132546120327</v>
      </c>
      <c r="X33" s="40" t="s">
        <v>64</v>
      </c>
      <c r="Y33" s="41"/>
      <c r="AB33" s="4">
        <v>102</v>
      </c>
    </row>
    <row r="34" spans="1:28" ht="72.75" customHeight="1" x14ac:dyDescent="0.25">
      <c r="A34" s="167"/>
      <c r="B34" s="28">
        <v>43353</v>
      </c>
      <c r="C34" s="28">
        <v>43360</v>
      </c>
      <c r="D34" s="29">
        <v>7</v>
      </c>
      <c r="E34" s="29">
        <v>15.167</v>
      </c>
      <c r="F34" s="29">
        <v>15.134</v>
      </c>
      <c r="G34" s="29">
        <v>15.138</v>
      </c>
      <c r="H34" s="29">
        <v>15.163</v>
      </c>
      <c r="I34" s="29">
        <v>15.068</v>
      </c>
      <c r="J34" s="29">
        <v>15.202999999999999</v>
      </c>
      <c r="K34" s="26">
        <f>SUM(E34:J34)/6</f>
        <v>15.1455</v>
      </c>
      <c r="L34" s="29">
        <v>30</v>
      </c>
      <c r="M34" s="29">
        <v>30</v>
      </c>
      <c r="N34" s="29">
        <v>30</v>
      </c>
      <c r="O34" s="26">
        <f>SUM(L34:N34)/3</f>
        <v>30</v>
      </c>
      <c r="P34" s="26">
        <f>((PI()/4)*POWER(K34,2))</f>
        <v>180.15947682312438</v>
      </c>
      <c r="Q34" s="26">
        <v>13.21</v>
      </c>
      <c r="R34" s="26">
        <f t="shared" ref="R34:R45" si="0">Q34/((P34*O34)/POWER(100,3))</f>
        <v>2444.1308395097112</v>
      </c>
      <c r="S34" s="29">
        <f>AB33*325.8</f>
        <v>33231.599999999999</v>
      </c>
      <c r="T34" s="26">
        <f t="shared" ref="T34:T40" si="1">S34/P34</f>
        <v>184.45657473032</v>
      </c>
      <c r="U34" s="26">
        <f>T34/10.1972</f>
        <v>18.088943507072528</v>
      </c>
      <c r="V34" s="26">
        <f>U34*145.03777</f>
        <v>2623.5800279217788</v>
      </c>
      <c r="W34" s="25">
        <f>U34/$S$16</f>
        <v>0.86137826224154901</v>
      </c>
      <c r="X34" s="27" t="s">
        <v>63</v>
      </c>
      <c r="Y34" s="42"/>
    </row>
    <row r="35" spans="1:28" ht="72.75" customHeight="1" thickBot="1" x14ac:dyDescent="0.3">
      <c r="A35" s="168"/>
      <c r="B35" s="43">
        <v>43353</v>
      </c>
      <c r="C35" s="43">
        <v>43360</v>
      </c>
      <c r="D35" s="44">
        <v>7</v>
      </c>
      <c r="E35" s="44">
        <v>15.238</v>
      </c>
      <c r="F35" s="44">
        <v>15.108000000000001</v>
      </c>
      <c r="G35" s="44">
        <v>15.257999999999999</v>
      </c>
      <c r="H35" s="44">
        <v>15.28</v>
      </c>
      <c r="I35" s="44">
        <v>15.015000000000001</v>
      </c>
      <c r="J35" s="44">
        <v>15.02</v>
      </c>
      <c r="K35" s="45">
        <f>SUM(E35:J35)/6</f>
        <v>15.153166666666666</v>
      </c>
      <c r="L35" s="44">
        <v>30</v>
      </c>
      <c r="M35" s="44">
        <v>30</v>
      </c>
      <c r="N35" s="44">
        <v>30</v>
      </c>
      <c r="O35" s="45">
        <f t="shared" ref="O35:O45" si="2">SUM(L35:N35)/3</f>
        <v>30</v>
      </c>
      <c r="P35" s="45">
        <f t="shared" ref="P35:P45" si="3">((PI()/4)*POWER(K35,2))</f>
        <v>180.34191678796705</v>
      </c>
      <c r="Q35" s="45">
        <v>13.225</v>
      </c>
      <c r="R35" s="45">
        <f t="shared" si="0"/>
        <v>2444.4307856150449</v>
      </c>
      <c r="S35" s="44">
        <f>AB33*332</f>
        <v>33864</v>
      </c>
      <c r="T35" s="45">
        <f t="shared" si="1"/>
        <v>187.77664451584394</v>
      </c>
      <c r="U35" s="45">
        <f>T35/10.1972</f>
        <v>18.414529921531788</v>
      </c>
      <c r="V35" s="45">
        <f t="shared" ref="V35:V40" si="4">U35*145.03777</f>
        <v>2670.8023554172455</v>
      </c>
      <c r="W35" s="46">
        <f t="shared" ref="W35:W41" si="5">U35/$S$16</f>
        <v>0.87688237721579942</v>
      </c>
      <c r="X35" s="47" t="s">
        <v>63</v>
      </c>
      <c r="Y35" s="48"/>
    </row>
    <row r="36" spans="1:28" ht="74.25" customHeight="1" x14ac:dyDescent="0.25">
      <c r="A36" s="166">
        <v>2</v>
      </c>
      <c r="B36" s="36">
        <v>43353</v>
      </c>
      <c r="C36" s="36">
        <v>43367</v>
      </c>
      <c r="D36" s="37">
        <v>14</v>
      </c>
      <c r="E36" s="37">
        <v>15.191000000000001</v>
      </c>
      <c r="F36" s="37">
        <v>14.96</v>
      </c>
      <c r="G36" s="37">
        <v>15.005000000000001</v>
      </c>
      <c r="H36" s="37">
        <v>15.071999999999999</v>
      </c>
      <c r="I36" s="37">
        <v>15.132</v>
      </c>
      <c r="J36" s="37">
        <v>15.222</v>
      </c>
      <c r="K36" s="38">
        <f t="shared" ref="K36:K37" si="6">SUM(E36:J36)/6</f>
        <v>15.097000000000001</v>
      </c>
      <c r="L36" s="37">
        <v>30</v>
      </c>
      <c r="M36" s="37">
        <v>30</v>
      </c>
      <c r="N36" s="37">
        <v>30</v>
      </c>
      <c r="O36" s="38">
        <f t="shared" si="2"/>
        <v>30</v>
      </c>
      <c r="P36" s="38">
        <f t="shared" si="3"/>
        <v>179.00748523123187</v>
      </c>
      <c r="Q36" s="38">
        <v>13.185</v>
      </c>
      <c r="R36" s="38">
        <f t="shared" si="0"/>
        <v>2455.2045934407629</v>
      </c>
      <c r="S36" s="37">
        <f>AB33*349.7</f>
        <v>35669.4</v>
      </c>
      <c r="T36" s="38">
        <f t="shared" si="1"/>
        <v>199.26205853305109</v>
      </c>
      <c r="U36" s="38">
        <f t="shared" ref="U36:U40" si="7">T36/10.1972</f>
        <v>19.540860092285243</v>
      </c>
      <c r="V36" s="38">
        <f t="shared" si="4"/>
        <v>2834.1627716670459</v>
      </c>
      <c r="W36" s="39">
        <f t="shared" si="5"/>
        <v>0.93051714725167822</v>
      </c>
      <c r="X36" s="40" t="s">
        <v>67</v>
      </c>
      <c r="Y36" s="41"/>
      <c r="Z36" s="115"/>
    </row>
    <row r="37" spans="1:28" ht="73.5" customHeight="1" x14ac:dyDescent="0.25">
      <c r="A37" s="167"/>
      <c r="B37" s="28">
        <v>43353</v>
      </c>
      <c r="C37" s="28">
        <v>43367</v>
      </c>
      <c r="D37" s="29">
        <v>14</v>
      </c>
      <c r="E37" s="30">
        <v>15.215999999999999</v>
      </c>
      <c r="F37" s="30">
        <v>15.243</v>
      </c>
      <c r="G37" s="30">
        <v>16.181000000000001</v>
      </c>
      <c r="H37" s="30">
        <v>15.173999999999999</v>
      </c>
      <c r="I37" s="30">
        <v>15.122</v>
      </c>
      <c r="J37" s="30">
        <v>15.146000000000001</v>
      </c>
      <c r="K37" s="26">
        <f t="shared" si="6"/>
        <v>15.347000000000001</v>
      </c>
      <c r="L37" s="29">
        <v>30</v>
      </c>
      <c r="M37" s="29">
        <v>30</v>
      </c>
      <c r="N37" s="29">
        <v>30</v>
      </c>
      <c r="O37" s="26">
        <f t="shared" si="2"/>
        <v>30</v>
      </c>
      <c r="P37" s="26">
        <f t="shared" si="3"/>
        <v>184.98515065284985</v>
      </c>
      <c r="Q37" s="26">
        <v>13.085000000000001</v>
      </c>
      <c r="R37" s="26">
        <f t="shared" si="0"/>
        <v>2357.8469143460798</v>
      </c>
      <c r="S37" s="29">
        <f>AB33*359.1</f>
        <v>36628.200000000004</v>
      </c>
      <c r="T37" s="26">
        <f t="shared" si="1"/>
        <v>198.00616357978848</v>
      </c>
      <c r="U37" s="26">
        <f t="shared" si="7"/>
        <v>19.417699327245565</v>
      </c>
      <c r="V37" s="26">
        <f>U37*145.03777</f>
        <v>2816.299808954197</v>
      </c>
      <c r="W37" s="25">
        <f t="shared" si="5"/>
        <v>0.92465234891645542</v>
      </c>
      <c r="X37" s="27" t="s">
        <v>67</v>
      </c>
      <c r="Y37" s="42"/>
      <c r="Z37" s="115"/>
    </row>
    <row r="38" spans="1:28" ht="72.75" customHeight="1" x14ac:dyDescent="0.25">
      <c r="A38" s="167"/>
      <c r="B38" s="28">
        <v>43353</v>
      </c>
      <c r="C38" s="28">
        <v>43367</v>
      </c>
      <c r="D38" s="29">
        <v>14</v>
      </c>
      <c r="E38" s="30">
        <v>15.183</v>
      </c>
      <c r="F38" s="30">
        <v>15.233000000000001</v>
      </c>
      <c r="G38" s="30">
        <v>14.935</v>
      </c>
      <c r="H38" s="31">
        <v>15.183</v>
      </c>
      <c r="I38" s="30">
        <v>15.138999999999999</v>
      </c>
      <c r="J38" s="30">
        <v>15.122999999999999</v>
      </c>
      <c r="K38" s="26">
        <f>SUM(E38:J38)/6</f>
        <v>15.132666666666667</v>
      </c>
      <c r="L38" s="29">
        <v>30</v>
      </c>
      <c r="M38" s="29">
        <v>30</v>
      </c>
      <c r="N38" s="29">
        <v>30</v>
      </c>
      <c r="O38" s="26">
        <f>SUM(L38:N38)/3</f>
        <v>30</v>
      </c>
      <c r="P38" s="26">
        <f>((PI()/4)*POWER(K38,2))</f>
        <v>179.85429481148935</v>
      </c>
      <c r="Q38" s="26">
        <v>12.62</v>
      </c>
      <c r="R38" s="26">
        <f t="shared" si="0"/>
        <v>2338.9303386253846</v>
      </c>
      <c r="S38" s="29">
        <f>AB33*345.5</f>
        <v>35241</v>
      </c>
      <c r="T38" s="26">
        <f>S38/P38</f>
        <v>195.94194309864628</v>
      </c>
      <c r="U38" s="26">
        <f>T38/10.1972</f>
        <v>19.215269201216636</v>
      </c>
      <c r="V38" s="26">
        <f>U38*145.03777</f>
        <v>2786.9397948941419</v>
      </c>
      <c r="W38" s="25">
        <f>U38/$S$16</f>
        <v>0.9150128191055541</v>
      </c>
      <c r="X38" s="73" t="s">
        <v>67</v>
      </c>
      <c r="Y38" s="42"/>
      <c r="Z38" s="115"/>
    </row>
    <row r="39" spans="1:28" ht="79.5" customHeight="1" thickBot="1" x14ac:dyDescent="0.3">
      <c r="A39" s="168"/>
      <c r="B39" s="43">
        <v>43353</v>
      </c>
      <c r="C39" s="43">
        <v>43367</v>
      </c>
      <c r="D39" s="44">
        <v>14</v>
      </c>
      <c r="E39" s="44">
        <v>15.191000000000001</v>
      </c>
      <c r="F39" s="44">
        <v>15.233000000000001</v>
      </c>
      <c r="G39" s="44">
        <v>15.12</v>
      </c>
      <c r="H39" s="44">
        <v>15.138</v>
      </c>
      <c r="I39" s="44">
        <v>15.128</v>
      </c>
      <c r="J39" s="44">
        <v>15.233000000000001</v>
      </c>
      <c r="K39" s="45">
        <f>SUM(E39:J39)/6</f>
        <v>15.173833333333334</v>
      </c>
      <c r="L39" s="44">
        <v>30</v>
      </c>
      <c r="M39" s="44">
        <v>30</v>
      </c>
      <c r="N39" s="44">
        <v>30</v>
      </c>
      <c r="O39" s="45">
        <f t="shared" si="2"/>
        <v>30</v>
      </c>
      <c r="P39" s="45">
        <f>((PI()/4)*POWER(K39,2))</f>
        <v>180.83417137006174</v>
      </c>
      <c r="Q39" s="45">
        <v>12.265000000000001</v>
      </c>
      <c r="R39" s="45">
        <f t="shared" si="0"/>
        <v>2260.8190157638442</v>
      </c>
      <c r="S39" s="44">
        <f>AB33*356</f>
        <v>36312</v>
      </c>
      <c r="T39" s="45">
        <f t="shared" si="1"/>
        <v>200.80275605483092</v>
      </c>
      <c r="U39" s="45">
        <f t="shared" si="7"/>
        <v>19.691950344685885</v>
      </c>
      <c r="V39" s="45">
        <f>U39*145.03777</f>
        <v>2856.0765649439722</v>
      </c>
      <c r="W39" s="46">
        <f t="shared" si="5"/>
        <v>0.93771192117551838</v>
      </c>
      <c r="X39" s="73" t="s">
        <v>67</v>
      </c>
      <c r="Y39" s="42"/>
      <c r="Z39" s="115"/>
    </row>
    <row r="40" spans="1:28" ht="75" customHeight="1" x14ac:dyDescent="0.25">
      <c r="A40" s="196">
        <v>3</v>
      </c>
      <c r="B40" s="56">
        <v>43348</v>
      </c>
      <c r="C40" s="56">
        <v>43369</v>
      </c>
      <c r="D40" s="37">
        <v>21</v>
      </c>
      <c r="E40" s="37">
        <v>15.151999999999999</v>
      </c>
      <c r="F40" s="37">
        <v>15.135</v>
      </c>
      <c r="G40" s="37">
        <v>15.12</v>
      </c>
      <c r="H40" s="37">
        <v>15.115</v>
      </c>
      <c r="I40" s="37">
        <v>15.224</v>
      </c>
      <c r="J40" s="37">
        <v>15.138999999999999</v>
      </c>
      <c r="K40" s="38">
        <f>SUM(E40:J40)/6</f>
        <v>15.147499999999999</v>
      </c>
      <c r="L40" s="37">
        <v>30</v>
      </c>
      <c r="M40" s="37">
        <v>30</v>
      </c>
      <c r="N40" s="37">
        <v>30</v>
      </c>
      <c r="O40" s="38">
        <f t="shared" si="2"/>
        <v>30</v>
      </c>
      <c r="P40" s="38">
        <f t="shared" si="3"/>
        <v>180.20706095625195</v>
      </c>
      <c r="Q40" s="38">
        <v>12.98</v>
      </c>
      <c r="R40" s="38">
        <f t="shared" si="0"/>
        <v>2400.9418075560493</v>
      </c>
      <c r="S40" s="37">
        <f>AB33*367.2</f>
        <v>37454.400000000001</v>
      </c>
      <c r="T40" s="38">
        <f t="shared" si="1"/>
        <v>207.84091256608772</v>
      </c>
      <c r="U40" s="38">
        <f t="shared" si="7"/>
        <v>20.382155156914418</v>
      </c>
      <c r="V40" s="38">
        <f t="shared" si="4"/>
        <v>2956.1823317528674</v>
      </c>
      <c r="W40" s="39">
        <f t="shared" si="5"/>
        <v>0.97057881699592463</v>
      </c>
      <c r="X40" s="73" t="s">
        <v>67</v>
      </c>
      <c r="Y40" s="42"/>
      <c r="Z40" s="115"/>
    </row>
    <row r="41" spans="1:28" ht="64.5" customHeight="1" x14ac:dyDescent="0.25">
      <c r="A41" s="197"/>
      <c r="B41" s="59">
        <v>43348</v>
      </c>
      <c r="C41" s="59">
        <v>43369</v>
      </c>
      <c r="D41" s="29">
        <v>21</v>
      </c>
      <c r="E41" s="89">
        <v>15.14</v>
      </c>
      <c r="F41" s="89">
        <v>15.196</v>
      </c>
      <c r="G41" s="89">
        <v>15.263</v>
      </c>
      <c r="H41" s="89">
        <v>15.108000000000001</v>
      </c>
      <c r="I41" s="89">
        <v>15.24</v>
      </c>
      <c r="J41" s="89">
        <v>15.263</v>
      </c>
      <c r="K41" s="74">
        <f>SUM(E41:J41)/6</f>
        <v>15.201666666666666</v>
      </c>
      <c r="L41" s="33">
        <v>30</v>
      </c>
      <c r="M41" s="33">
        <v>30</v>
      </c>
      <c r="N41" s="33">
        <v>30</v>
      </c>
      <c r="O41" s="34">
        <f t="shared" si="2"/>
        <v>30</v>
      </c>
      <c r="P41" s="34">
        <f t="shared" si="3"/>
        <v>181.49818735995348</v>
      </c>
      <c r="Q41" s="74">
        <v>13.01</v>
      </c>
      <c r="R41" s="74">
        <f t="shared" si="0"/>
        <v>2389.3718883627416</v>
      </c>
      <c r="S41" s="29">
        <f>AB33*368.3</f>
        <v>37566.6</v>
      </c>
      <c r="T41" s="34">
        <f t="shared" ref="T41" si="8">S41/P41</f>
        <v>206.98057951122465</v>
      </c>
      <c r="U41" s="34">
        <f t="shared" ref="U41" si="9">T41/10.1972</f>
        <v>20.297785618721282</v>
      </c>
      <c r="V41" s="34">
        <f t="shared" ref="V41" si="10">U41*145.03777</f>
        <v>2943.9455620774047</v>
      </c>
      <c r="W41" s="35">
        <f t="shared" si="5"/>
        <v>0.9665612199391086</v>
      </c>
      <c r="X41" s="73" t="s">
        <v>67</v>
      </c>
      <c r="Y41" s="42"/>
      <c r="Z41" s="115"/>
    </row>
    <row r="42" spans="1:28" ht="74.25" customHeight="1" thickBot="1" x14ac:dyDescent="0.3">
      <c r="A42" s="199"/>
      <c r="B42" s="61">
        <v>43348</v>
      </c>
      <c r="C42" s="61">
        <v>43369</v>
      </c>
      <c r="D42" s="44">
        <v>21</v>
      </c>
      <c r="E42" s="99">
        <v>15.143000000000001</v>
      </c>
      <c r="F42" s="99">
        <v>15.170999999999999</v>
      </c>
      <c r="G42" s="99">
        <v>15.176</v>
      </c>
      <c r="H42" s="99">
        <v>15.122</v>
      </c>
      <c r="I42" s="99">
        <v>15.144</v>
      </c>
      <c r="J42" s="99">
        <v>15.117000000000001</v>
      </c>
      <c r="K42" s="75">
        <f t="shared" ref="K42:K45" si="11">SUM(E42:J42)/6</f>
        <v>15.1455</v>
      </c>
      <c r="L42" s="55">
        <v>30</v>
      </c>
      <c r="M42" s="55">
        <v>30</v>
      </c>
      <c r="N42" s="55">
        <v>30</v>
      </c>
      <c r="O42" s="76">
        <f t="shared" si="2"/>
        <v>30</v>
      </c>
      <c r="P42" s="76">
        <f t="shared" si="3"/>
        <v>180.15947682312438</v>
      </c>
      <c r="Q42" s="75">
        <v>12.785</v>
      </c>
      <c r="R42" s="75">
        <f t="shared" si="0"/>
        <v>2365.4968041734792</v>
      </c>
      <c r="S42" s="99">
        <f>AB33*374.4</f>
        <v>38188.799999999996</v>
      </c>
      <c r="T42" s="76">
        <f t="shared" ref="T42" si="12">S42/P42</f>
        <v>211.97219637517438</v>
      </c>
      <c r="U42" s="76">
        <f t="shared" ref="U42" si="13">T42/10.1972</f>
        <v>20.787294195972851</v>
      </c>
      <c r="V42" s="76">
        <f t="shared" ref="V42" si="14">U42*145.03777</f>
        <v>3014.9427945178454</v>
      </c>
      <c r="W42" s="77">
        <f t="shared" ref="W42" si="15">U42/$S$16</f>
        <v>0.98987115218918342</v>
      </c>
      <c r="X42" s="73" t="s">
        <v>67</v>
      </c>
      <c r="Y42" s="42"/>
      <c r="Z42" s="115"/>
    </row>
    <row r="43" spans="1:28" ht="51" customHeight="1" x14ac:dyDescent="0.25">
      <c r="A43" s="200">
        <v>4</v>
      </c>
      <c r="B43" s="36">
        <v>43348</v>
      </c>
      <c r="C43" s="104">
        <v>43376</v>
      </c>
      <c r="D43" s="95">
        <v>28</v>
      </c>
      <c r="E43" s="96">
        <v>15.05</v>
      </c>
      <c r="F43" s="96">
        <v>15.11</v>
      </c>
      <c r="G43" s="96">
        <v>15.03</v>
      </c>
      <c r="H43" s="96">
        <v>14.93</v>
      </c>
      <c r="I43" s="96">
        <v>15.11</v>
      </c>
      <c r="J43" s="96">
        <v>15.13</v>
      </c>
      <c r="K43" s="97">
        <f t="shared" si="11"/>
        <v>15.059999999999997</v>
      </c>
      <c r="L43" s="37">
        <v>30</v>
      </c>
      <c r="M43" s="37">
        <v>30</v>
      </c>
      <c r="N43" s="37">
        <v>30</v>
      </c>
      <c r="O43" s="38">
        <f t="shared" si="2"/>
        <v>30</v>
      </c>
      <c r="P43" s="38">
        <f t="shared" si="3"/>
        <v>178.13113089192942</v>
      </c>
      <c r="Q43" s="98">
        <v>13.176</v>
      </c>
      <c r="R43" s="98">
        <f t="shared" si="0"/>
        <v>2465.5993469578248</v>
      </c>
      <c r="S43" s="37">
        <f>AB33*375.02</f>
        <v>38252.04</v>
      </c>
      <c r="T43" s="38">
        <f t="shared" ref="T43:T45" si="16">S43/P43</f>
        <v>214.74090356057513</v>
      </c>
      <c r="U43" s="38">
        <f t="shared" ref="U43:U45" si="17">T43/10.1972</f>
        <v>21.058810610812294</v>
      </c>
      <c r="V43" s="38">
        <f t="shared" ref="V43:V45" si="18">U43*145.03777</f>
        <v>3054.3229298445531</v>
      </c>
      <c r="W43" s="39">
        <f t="shared" ref="W43:W45" si="19">U43/$S$16</f>
        <v>1.0028005052767759</v>
      </c>
      <c r="X43" s="73" t="s">
        <v>67</v>
      </c>
      <c r="Y43" s="42"/>
      <c r="Z43" s="115"/>
    </row>
    <row r="44" spans="1:28" ht="49.5" customHeight="1" thickBot="1" x14ac:dyDescent="0.3">
      <c r="A44" s="201"/>
      <c r="B44" s="28">
        <v>43348</v>
      </c>
      <c r="C44" s="49">
        <v>43376</v>
      </c>
      <c r="D44" s="29">
        <v>28</v>
      </c>
      <c r="E44" s="89">
        <v>15.13</v>
      </c>
      <c r="F44" s="89">
        <v>15.11</v>
      </c>
      <c r="G44" s="89">
        <v>14.98</v>
      </c>
      <c r="H44" s="89">
        <v>15.12</v>
      </c>
      <c r="I44" s="89">
        <v>15.13</v>
      </c>
      <c r="J44" s="89">
        <v>15.14</v>
      </c>
      <c r="K44" s="74">
        <f t="shared" si="11"/>
        <v>15.101666666666667</v>
      </c>
      <c r="L44" s="33">
        <v>30</v>
      </c>
      <c r="M44" s="33">
        <v>30</v>
      </c>
      <c r="N44" s="33">
        <v>30</v>
      </c>
      <c r="O44" s="34">
        <f t="shared" si="2"/>
        <v>30</v>
      </c>
      <c r="P44" s="34">
        <f t="shared" si="3"/>
        <v>179.11816912547141</v>
      </c>
      <c r="Q44" s="87">
        <v>12.948</v>
      </c>
      <c r="R44" s="87">
        <f t="shared" si="0"/>
        <v>2409.5824678604567</v>
      </c>
      <c r="S44" s="72">
        <f>AB33*383.06</f>
        <v>39072.120000000003</v>
      </c>
      <c r="T44" s="34">
        <f t="shared" si="16"/>
        <v>218.13599475009244</v>
      </c>
      <c r="U44" s="34">
        <f t="shared" si="17"/>
        <v>21.391754084463621</v>
      </c>
      <c r="V44" s="34">
        <f t="shared" si="18"/>
        <v>3102.6123087989949</v>
      </c>
      <c r="W44" s="35">
        <f t="shared" si="19"/>
        <v>1.0186549564030296</v>
      </c>
      <c r="X44" s="73" t="s">
        <v>67</v>
      </c>
      <c r="Y44" s="42"/>
      <c r="Z44" s="115"/>
    </row>
    <row r="45" spans="1:28" ht="66" customHeight="1" thickBot="1" x14ac:dyDescent="0.3">
      <c r="A45" s="202"/>
      <c r="B45" s="112">
        <v>43348</v>
      </c>
      <c r="C45" s="114">
        <v>43376</v>
      </c>
      <c r="D45" s="113">
        <v>28</v>
      </c>
      <c r="E45" s="99">
        <v>15.18</v>
      </c>
      <c r="F45" s="99">
        <v>14.93</v>
      </c>
      <c r="G45" s="99">
        <v>15.18</v>
      </c>
      <c r="H45" s="99">
        <v>15.17</v>
      </c>
      <c r="I45" s="99">
        <v>15.12</v>
      </c>
      <c r="J45" s="99">
        <v>14.97</v>
      </c>
      <c r="K45" s="75">
        <f t="shared" si="11"/>
        <v>15.091666666666667</v>
      </c>
      <c r="L45" s="55">
        <v>30</v>
      </c>
      <c r="M45" s="55">
        <v>30</v>
      </c>
      <c r="N45" s="55">
        <v>30</v>
      </c>
      <c r="O45" s="76">
        <f t="shared" si="2"/>
        <v>30</v>
      </c>
      <c r="P45" s="76">
        <f t="shared" si="3"/>
        <v>178.88103124000295</v>
      </c>
      <c r="Q45" s="75">
        <v>12.962</v>
      </c>
      <c r="R45" s="75">
        <f t="shared" si="0"/>
        <v>2415.3855983028575</v>
      </c>
      <c r="S45" s="99">
        <f>AB33*374.39</f>
        <v>38187.78</v>
      </c>
      <c r="T45" s="76">
        <f t="shared" si="16"/>
        <v>213.48143922965104</v>
      </c>
      <c r="U45" s="76">
        <f t="shared" si="17"/>
        <v>20.935299810698137</v>
      </c>
      <c r="V45" s="76">
        <f t="shared" si="18"/>
        <v>3036.4091988250798</v>
      </c>
      <c r="W45" s="77">
        <f t="shared" si="19"/>
        <v>0.99691903860467312</v>
      </c>
      <c r="X45" s="73" t="s">
        <v>67</v>
      </c>
      <c r="Y45" s="42"/>
      <c r="Z45" s="115"/>
    </row>
  </sheetData>
  <sheetProtection selectLockedCells="1"/>
  <mergeCells count="31">
    <mergeCell ref="C4:J4"/>
    <mergeCell ref="M4:S4"/>
    <mergeCell ref="W4:Y4"/>
    <mergeCell ref="C5:Y5"/>
    <mergeCell ref="C8:F8"/>
    <mergeCell ref="I8:L8"/>
    <mergeCell ref="O8:S8"/>
    <mergeCell ref="V8:Y8"/>
    <mergeCell ref="O9:S9"/>
    <mergeCell ref="V9:Y9"/>
    <mergeCell ref="C10:F10"/>
    <mergeCell ref="I10:L10"/>
    <mergeCell ref="S12:V12"/>
    <mergeCell ref="C9:F9"/>
    <mergeCell ref="I9:L9"/>
    <mergeCell ref="A33:A35"/>
    <mergeCell ref="A36:A39"/>
    <mergeCell ref="A40:A42"/>
    <mergeCell ref="A43:A45"/>
    <mergeCell ref="E13:I13"/>
    <mergeCell ref="E14:I14"/>
    <mergeCell ref="E15:I15"/>
    <mergeCell ref="A31:Z31"/>
    <mergeCell ref="A32:Z32"/>
    <mergeCell ref="S15:V15"/>
    <mergeCell ref="E29:G29"/>
    <mergeCell ref="H29:J29"/>
    <mergeCell ref="L29:N29"/>
    <mergeCell ref="U29:W29"/>
    <mergeCell ref="E16:I16"/>
    <mergeCell ref="S16:V16"/>
  </mergeCells>
  <printOptions horizontalCentered="1" verticalCentered="1"/>
  <pageMargins left="0.39370078740157483" right="0.39370078740157483" top="0.39370078740157483" bottom="0.39370078740157483" header="0.31496062992125984" footer="0.39370078740157483"/>
  <pageSetup paperSize="9" scale="33" orientation="portrait" r:id="rId1"/>
  <colBreaks count="1" manualBreakCount="1">
    <brk id="26" max="34" man="1"/>
  </colBreak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32"/>
  <sheetViews>
    <sheetView topLeftCell="A11" workbookViewId="0">
      <selection activeCell="D32" sqref="D32:E32"/>
    </sheetView>
  </sheetViews>
  <sheetFormatPr baseColWidth="10" defaultRowHeight="15" x14ac:dyDescent="0.25"/>
  <cols>
    <col min="1" max="1" width="19.28515625" customWidth="1"/>
    <col min="2" max="2" width="17.7109375" customWidth="1"/>
    <col min="3" max="3" width="16" customWidth="1"/>
    <col min="4" max="4" width="18.7109375" customWidth="1"/>
    <col min="5" max="5" width="24.5703125" customWidth="1"/>
  </cols>
  <sheetData>
    <row r="1" spans="1:5" x14ac:dyDescent="0.25">
      <c r="C1" t="s">
        <v>110</v>
      </c>
      <c r="D1">
        <v>9.6000000000000002E-2</v>
      </c>
    </row>
    <row r="3" spans="1:5" x14ac:dyDescent="0.25">
      <c r="C3" t="s">
        <v>109</v>
      </c>
    </row>
    <row r="8" spans="1:5" ht="15.75" thickBot="1" x14ac:dyDescent="0.3"/>
    <row r="9" spans="1:5" x14ac:dyDescent="0.25">
      <c r="A9" s="156" t="s">
        <v>111</v>
      </c>
      <c r="B9" s="157" t="s">
        <v>112</v>
      </c>
      <c r="C9" s="157" t="s">
        <v>113</v>
      </c>
      <c r="D9" s="157" t="s">
        <v>105</v>
      </c>
      <c r="E9" s="158" t="s">
        <v>106</v>
      </c>
    </row>
    <row r="10" spans="1:5" x14ac:dyDescent="0.25">
      <c r="A10" s="148">
        <v>0</v>
      </c>
      <c r="B10" s="149">
        <f t="shared" ref="B10:B28" si="0">D10/(D11/B11)</f>
        <v>0</v>
      </c>
      <c r="C10" s="149">
        <v>179.11816912547141</v>
      </c>
      <c r="D10" s="149">
        <f t="shared" ref="D10:D28" si="1">(A10/(C10/100^2))/1000</f>
        <v>0</v>
      </c>
      <c r="E10" s="150">
        <f t="shared" ref="E10:E29" si="2">B10/300</f>
        <v>0</v>
      </c>
    </row>
    <row r="11" spans="1:5" x14ac:dyDescent="0.25">
      <c r="A11" s="148">
        <v>20</v>
      </c>
      <c r="B11" s="149">
        <f t="shared" si="0"/>
        <v>6.6289947921945374E-3</v>
      </c>
      <c r="C11" s="149">
        <v>179.11816912547141</v>
      </c>
      <c r="D11" s="149">
        <f t="shared" si="1"/>
        <v>1.1165813104079965</v>
      </c>
      <c r="E11" s="150">
        <f t="shared" si="2"/>
        <v>2.2096649307315126E-5</v>
      </c>
    </row>
    <row r="12" spans="1:5" x14ac:dyDescent="0.25">
      <c r="A12" s="148">
        <v>40</v>
      </c>
      <c r="B12" s="149">
        <f t="shared" si="0"/>
        <v>1.3257989584389075E-2</v>
      </c>
      <c r="C12" s="149">
        <v>179.11816912547141</v>
      </c>
      <c r="D12" s="149">
        <f t="shared" si="1"/>
        <v>2.2331626208159929</v>
      </c>
      <c r="E12" s="150">
        <f t="shared" si="2"/>
        <v>4.4193298614630251E-5</v>
      </c>
    </row>
    <row r="13" spans="1:5" x14ac:dyDescent="0.25">
      <c r="A13" s="148">
        <v>60</v>
      </c>
      <c r="B13" s="149">
        <f t="shared" si="0"/>
        <v>1.9886984376583611E-2</v>
      </c>
      <c r="C13" s="149">
        <v>179.11816912547141</v>
      </c>
      <c r="D13" s="149">
        <f t="shared" si="1"/>
        <v>3.3497439312239892</v>
      </c>
      <c r="E13" s="150">
        <f t="shared" si="2"/>
        <v>6.6289947921945367E-5</v>
      </c>
    </row>
    <row r="14" spans="1:5" x14ac:dyDescent="0.25">
      <c r="A14" s="148">
        <v>80</v>
      </c>
      <c r="B14" s="149">
        <f t="shared" si="0"/>
        <v>2.651597916877815E-2</v>
      </c>
      <c r="C14" s="149">
        <v>179.11816912547141</v>
      </c>
      <c r="D14" s="149">
        <f t="shared" si="1"/>
        <v>4.4663252416319859</v>
      </c>
      <c r="E14" s="150">
        <f t="shared" si="2"/>
        <v>8.8386597229260503E-5</v>
      </c>
    </row>
    <row r="15" spans="1:5" x14ac:dyDescent="0.25">
      <c r="A15" s="148">
        <v>100</v>
      </c>
      <c r="B15" s="149">
        <f t="shared" si="0"/>
        <v>3.3144973960972685E-2</v>
      </c>
      <c r="C15" s="149">
        <v>179.11816912547141</v>
      </c>
      <c r="D15" s="149">
        <f t="shared" si="1"/>
        <v>5.5829065520399821</v>
      </c>
      <c r="E15" s="150">
        <f t="shared" si="2"/>
        <v>1.1048324653657561E-4</v>
      </c>
    </row>
    <row r="16" spans="1:5" x14ac:dyDescent="0.25">
      <c r="A16" s="148">
        <v>120</v>
      </c>
      <c r="B16" s="149">
        <f t="shared" si="0"/>
        <v>3.9773968753167223E-2</v>
      </c>
      <c r="C16" s="149">
        <v>179.11816912547141</v>
      </c>
      <c r="D16" s="149">
        <f t="shared" si="1"/>
        <v>6.6994878624479783</v>
      </c>
      <c r="E16" s="150">
        <f t="shared" si="2"/>
        <v>1.3257989584389073E-4</v>
      </c>
    </row>
    <row r="17" spans="1:5" x14ac:dyDescent="0.25">
      <c r="A17" s="148">
        <v>140</v>
      </c>
      <c r="B17" s="149">
        <f t="shared" si="0"/>
        <v>4.6402963545361754E-2</v>
      </c>
      <c r="C17" s="149">
        <v>179.11816912547141</v>
      </c>
      <c r="D17" s="149">
        <f t="shared" si="1"/>
        <v>7.8160691728559737</v>
      </c>
      <c r="E17" s="150">
        <f t="shared" si="2"/>
        <v>1.5467654515120586E-4</v>
      </c>
    </row>
    <row r="18" spans="1:5" x14ac:dyDescent="0.25">
      <c r="A18" s="148">
        <v>160</v>
      </c>
      <c r="B18" s="149">
        <f t="shared" si="0"/>
        <v>5.3031958337556299E-2</v>
      </c>
      <c r="C18" s="149">
        <v>179.11816912547141</v>
      </c>
      <c r="D18" s="149">
        <f t="shared" si="1"/>
        <v>8.9326504832639717</v>
      </c>
      <c r="E18" s="150">
        <f t="shared" si="2"/>
        <v>1.7677319445852101E-4</v>
      </c>
    </row>
    <row r="19" spans="1:5" x14ac:dyDescent="0.25">
      <c r="A19" s="148">
        <v>180</v>
      </c>
      <c r="B19" s="149">
        <f t="shared" si="0"/>
        <v>5.9660953129750831E-2</v>
      </c>
      <c r="C19" s="149">
        <v>179.11816912547141</v>
      </c>
      <c r="D19" s="149">
        <f t="shared" si="1"/>
        <v>10.049231793671966</v>
      </c>
      <c r="E19" s="150">
        <f t="shared" si="2"/>
        <v>1.988698437658361E-4</v>
      </c>
    </row>
    <row r="20" spans="1:5" x14ac:dyDescent="0.25">
      <c r="A20" s="148">
        <v>200</v>
      </c>
      <c r="B20" s="149">
        <f t="shared" si="0"/>
        <v>6.6289947921945369E-2</v>
      </c>
      <c r="C20" s="149">
        <v>179.11816912547141</v>
      </c>
      <c r="D20" s="149">
        <f t="shared" si="1"/>
        <v>11.165813104079964</v>
      </c>
      <c r="E20" s="150">
        <f t="shared" si="2"/>
        <v>2.2096649307315122E-4</v>
      </c>
    </row>
    <row r="21" spans="1:5" x14ac:dyDescent="0.25">
      <c r="A21" s="148">
        <v>220</v>
      </c>
      <c r="B21" s="149">
        <f t="shared" si="0"/>
        <v>7.29189427141399E-2</v>
      </c>
      <c r="C21" s="149">
        <v>179.11816912547141</v>
      </c>
      <c r="D21" s="149">
        <f t="shared" si="1"/>
        <v>12.28239441448796</v>
      </c>
      <c r="E21" s="150">
        <f t="shared" si="2"/>
        <v>2.4306314238046634E-4</v>
      </c>
    </row>
    <row r="22" spans="1:5" x14ac:dyDescent="0.25">
      <c r="A22" s="148">
        <v>240</v>
      </c>
      <c r="B22" s="149">
        <f t="shared" si="0"/>
        <v>7.9547937506334432E-2</v>
      </c>
      <c r="C22" s="149">
        <v>179.11816912547141</v>
      </c>
      <c r="D22" s="149">
        <f t="shared" si="1"/>
        <v>13.398975724895957</v>
      </c>
      <c r="E22" s="150">
        <f t="shared" si="2"/>
        <v>2.6515979168778141E-4</v>
      </c>
    </row>
    <row r="23" spans="1:5" x14ac:dyDescent="0.25">
      <c r="A23" s="148">
        <v>260</v>
      </c>
      <c r="B23" s="149">
        <f t="shared" si="0"/>
        <v>8.6176932298528963E-2</v>
      </c>
      <c r="C23" s="149">
        <v>179.11816912547141</v>
      </c>
      <c r="D23" s="149">
        <f t="shared" si="1"/>
        <v>14.515557035303953</v>
      </c>
      <c r="E23" s="150">
        <f t="shared" si="2"/>
        <v>2.8725644099509656E-4</v>
      </c>
    </row>
    <row r="24" spans="1:5" x14ac:dyDescent="0.25">
      <c r="A24" s="148">
        <v>280</v>
      </c>
      <c r="B24" s="149">
        <f t="shared" si="0"/>
        <v>9.2805927090723495E-2</v>
      </c>
      <c r="C24" s="149">
        <v>179.11816912547141</v>
      </c>
      <c r="D24" s="149">
        <f t="shared" si="1"/>
        <v>15.632138345711947</v>
      </c>
      <c r="E24" s="150">
        <f t="shared" si="2"/>
        <v>3.0935309030241166E-4</v>
      </c>
    </row>
    <row r="25" spans="1:5" x14ac:dyDescent="0.25">
      <c r="A25" s="148">
        <v>300</v>
      </c>
      <c r="B25" s="149">
        <f t="shared" si="0"/>
        <v>9.943492188291804E-2</v>
      </c>
      <c r="C25" s="149">
        <v>179.11816912547141</v>
      </c>
      <c r="D25" s="149">
        <f t="shared" si="1"/>
        <v>16.748719656119945</v>
      </c>
      <c r="E25" s="150">
        <f t="shared" si="2"/>
        <v>3.3144973960972681E-4</v>
      </c>
    </row>
    <row r="26" spans="1:5" x14ac:dyDescent="0.25">
      <c r="A26" s="148">
        <v>320</v>
      </c>
      <c r="B26" s="149">
        <f t="shared" si="0"/>
        <v>0.10606391667511259</v>
      </c>
      <c r="C26" s="149">
        <v>179.11816912547141</v>
      </c>
      <c r="D26" s="149">
        <f t="shared" si="1"/>
        <v>17.865300966527943</v>
      </c>
      <c r="E26" s="150">
        <f t="shared" si="2"/>
        <v>3.5354638891704196E-4</v>
      </c>
    </row>
    <row r="27" spans="1:5" x14ac:dyDescent="0.25">
      <c r="A27" s="148">
        <v>340</v>
      </c>
      <c r="B27" s="149">
        <f t="shared" si="0"/>
        <v>0.11269291146730712</v>
      </c>
      <c r="C27" s="149">
        <v>179.11816912547141</v>
      </c>
      <c r="D27" s="149">
        <f t="shared" si="1"/>
        <v>18.981882276935938</v>
      </c>
      <c r="E27" s="150">
        <f t="shared" si="2"/>
        <v>3.7564303822435705E-4</v>
      </c>
    </row>
    <row r="28" spans="1:5" x14ac:dyDescent="0.25">
      <c r="A28" s="148">
        <v>360</v>
      </c>
      <c r="B28" s="149">
        <f t="shared" si="0"/>
        <v>0.11932190625950163</v>
      </c>
      <c r="C28" s="149">
        <v>179.11816912547141</v>
      </c>
      <c r="D28" s="149">
        <f t="shared" si="1"/>
        <v>20.098463587343932</v>
      </c>
      <c r="E28" s="150">
        <f t="shared" si="2"/>
        <v>3.9773968753167209E-4</v>
      </c>
    </row>
    <row r="29" spans="1:5" x14ac:dyDescent="0.25">
      <c r="A29" s="148">
        <v>370</v>
      </c>
      <c r="B29" s="149">
        <f>D29/(D30/B30)</f>
        <v>0.12263640365559891</v>
      </c>
      <c r="C29" s="149">
        <v>179.11816912547141</v>
      </c>
      <c r="D29" s="149">
        <f>(A29/(C29/100^2))/1000</f>
        <v>20.656754242547933</v>
      </c>
      <c r="E29" s="150">
        <f t="shared" si="2"/>
        <v>4.0878801218532972E-4</v>
      </c>
    </row>
    <row r="30" spans="1:5" ht="15.75" thickBot="1" x14ac:dyDescent="0.3">
      <c r="A30" s="151">
        <v>380</v>
      </c>
      <c r="B30" s="152">
        <v>0.127</v>
      </c>
      <c r="C30" s="152">
        <v>179.11816912547141</v>
      </c>
      <c r="D30" s="152">
        <v>21.391754084463621</v>
      </c>
      <c r="E30" s="153">
        <f>B30/300</f>
        <v>4.2333333333333334E-4</v>
      </c>
    </row>
    <row r="31" spans="1:5" ht="15.75" thickBot="1" x14ac:dyDescent="0.3">
      <c r="A31" s="132"/>
      <c r="B31" s="132"/>
      <c r="C31" s="132"/>
      <c r="D31" s="132"/>
      <c r="E31" s="132"/>
    </row>
    <row r="32" spans="1:5" ht="15.75" thickBot="1" x14ac:dyDescent="0.3">
      <c r="A32" s="132"/>
      <c r="B32" s="132"/>
      <c r="C32" s="132"/>
      <c r="D32" s="154" t="s">
        <v>107</v>
      </c>
      <c r="E32" s="155">
        <f>+(D25-D15)/(E25-E15)</f>
        <v>50531.702561725084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B44"/>
  <sheetViews>
    <sheetView showGridLines="0" topLeftCell="C37" zoomScale="60" zoomScaleNormal="60" zoomScaleSheetLayoutView="70" zoomScalePageLayoutView="70" workbookViewId="0">
      <selection activeCell="U43" sqref="U43"/>
    </sheetView>
  </sheetViews>
  <sheetFormatPr baseColWidth="10" defaultColWidth="10.85546875" defaultRowHeight="15" x14ac:dyDescent="0.25"/>
  <cols>
    <col min="1" max="1" width="12.7109375" style="4" customWidth="1"/>
    <col min="2" max="2" width="27" style="4" bestFit="1" customWidth="1"/>
    <col min="3" max="3" width="21.85546875" style="4" bestFit="1" customWidth="1"/>
    <col min="4" max="4" width="9.7109375" style="4" customWidth="1"/>
    <col min="5" max="5" width="11.140625" style="4" customWidth="1"/>
    <col min="6" max="6" width="10.85546875" style="4" customWidth="1"/>
    <col min="7" max="7" width="11.140625" style="4" customWidth="1"/>
    <col min="8" max="8" width="10.5703125" style="4" customWidth="1"/>
    <col min="9" max="10" width="12" style="4" customWidth="1"/>
    <col min="11" max="11" width="11.85546875" style="4" customWidth="1"/>
    <col min="12" max="15" width="9.42578125" style="4" customWidth="1"/>
    <col min="16" max="16" width="15.5703125" style="4" customWidth="1"/>
    <col min="17" max="17" width="9.42578125" style="4" customWidth="1"/>
    <col min="18" max="18" width="11.140625" style="4" customWidth="1"/>
    <col min="19" max="19" width="12.5703125" style="4" customWidth="1"/>
    <col min="20" max="20" width="14" style="4" customWidth="1"/>
    <col min="21" max="21" width="11.28515625" style="4" customWidth="1"/>
    <col min="22" max="22" width="11" style="4" customWidth="1"/>
    <col min="23" max="23" width="12.7109375" style="4" customWidth="1"/>
    <col min="24" max="24" width="14" style="4" customWidth="1"/>
    <col min="25" max="25" width="13.140625" style="4" customWidth="1"/>
    <col min="26" max="26" width="13.28515625" style="4" customWidth="1"/>
    <col min="27" max="16384" width="10.85546875" style="4"/>
  </cols>
  <sheetData>
    <row r="1" spans="1:26" ht="6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3"/>
    </row>
    <row r="2" spans="1:26" ht="28.5" customHeight="1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 t="s">
        <v>0</v>
      </c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11.25" customHeight="1" x14ac:dyDescent="0.25">
      <c r="A3" s="5"/>
      <c r="B3" s="6"/>
      <c r="C3" s="6"/>
      <c r="D3" s="6"/>
      <c r="E3" s="6"/>
      <c r="F3" s="6"/>
      <c r="G3" s="6"/>
      <c r="H3" s="6"/>
      <c r="I3" s="7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9.5" x14ac:dyDescent="0.25">
      <c r="A4" s="5"/>
      <c r="B4" s="9" t="s">
        <v>1</v>
      </c>
      <c r="C4" s="169" t="s">
        <v>74</v>
      </c>
      <c r="D4" s="169"/>
      <c r="E4" s="169"/>
      <c r="F4" s="169"/>
      <c r="G4" s="169"/>
      <c r="H4" s="169"/>
      <c r="I4" s="169"/>
      <c r="J4" s="169"/>
      <c r="L4" s="9" t="s">
        <v>2</v>
      </c>
      <c r="M4" s="169" t="s">
        <v>73</v>
      </c>
      <c r="N4" s="169"/>
      <c r="O4" s="169"/>
      <c r="P4" s="169"/>
      <c r="Q4" s="169"/>
      <c r="R4" s="169"/>
      <c r="S4" s="169"/>
      <c r="T4" s="6"/>
      <c r="U4" s="6"/>
      <c r="V4" s="9" t="s">
        <v>3</v>
      </c>
      <c r="W4" s="175">
        <v>43376</v>
      </c>
      <c r="X4" s="169"/>
      <c r="Y4" s="169"/>
      <c r="Z4" s="8"/>
    </row>
    <row r="5" spans="1:26" ht="19.5" x14ac:dyDescent="0.25">
      <c r="A5" s="5"/>
      <c r="B5" s="9" t="s">
        <v>4</v>
      </c>
      <c r="C5" s="169" t="s">
        <v>72</v>
      </c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8"/>
    </row>
    <row r="6" spans="1:26" x14ac:dyDescent="0.2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9.5" x14ac:dyDescent="0.25">
      <c r="A7" s="10" t="s">
        <v>5</v>
      </c>
      <c r="B7" s="11"/>
      <c r="C7" s="11"/>
      <c r="D7" s="12"/>
      <c r="E7" s="13"/>
      <c r="F7" s="13"/>
      <c r="G7" s="11" t="s">
        <v>6</v>
      </c>
      <c r="H7" s="6"/>
      <c r="I7" s="11"/>
      <c r="J7" s="12"/>
      <c r="K7" s="13"/>
      <c r="L7" s="13"/>
      <c r="M7" s="11" t="s">
        <v>7</v>
      </c>
      <c r="N7" s="11"/>
      <c r="O7" s="11"/>
      <c r="P7" s="12"/>
      <c r="Q7" s="12"/>
      <c r="R7" s="13"/>
      <c r="S7" s="13"/>
      <c r="T7" s="11" t="s">
        <v>8</v>
      </c>
      <c r="U7" s="11"/>
      <c r="V7" s="11"/>
      <c r="W7" s="12"/>
      <c r="X7" s="13"/>
      <c r="Y7" s="13"/>
      <c r="Z7" s="8"/>
    </row>
    <row r="8" spans="1:26" ht="19.5" x14ac:dyDescent="0.25">
      <c r="A8" s="14"/>
      <c r="B8" s="12" t="s">
        <v>9</v>
      </c>
      <c r="C8" s="170" t="s">
        <v>65</v>
      </c>
      <c r="D8" s="170"/>
      <c r="E8" s="170"/>
      <c r="F8" s="170"/>
      <c r="G8" s="13"/>
      <c r="H8" s="12" t="s">
        <v>9</v>
      </c>
      <c r="I8" s="170" t="s">
        <v>65</v>
      </c>
      <c r="J8" s="170"/>
      <c r="K8" s="170"/>
      <c r="L8" s="170"/>
      <c r="M8" s="13"/>
      <c r="N8" s="12" t="s">
        <v>10</v>
      </c>
      <c r="O8" s="176">
        <v>0</v>
      </c>
      <c r="P8" s="170"/>
      <c r="Q8" s="170"/>
      <c r="R8" s="170"/>
      <c r="S8" s="170"/>
      <c r="T8" s="13"/>
      <c r="U8" s="12" t="s">
        <v>11</v>
      </c>
      <c r="V8" s="170" t="s">
        <v>96</v>
      </c>
      <c r="W8" s="170"/>
      <c r="X8" s="170"/>
      <c r="Y8" s="170"/>
      <c r="Z8" s="8"/>
    </row>
    <row r="9" spans="1:26" ht="19.5" customHeight="1" x14ac:dyDescent="0.25">
      <c r="A9" s="14"/>
      <c r="B9" s="12" t="s">
        <v>10</v>
      </c>
      <c r="C9" s="170" t="s">
        <v>65</v>
      </c>
      <c r="D9" s="170"/>
      <c r="E9" s="170"/>
      <c r="F9" s="170"/>
      <c r="G9" s="13"/>
      <c r="H9" s="12" t="s">
        <v>10</v>
      </c>
      <c r="I9" s="170" t="s">
        <v>65</v>
      </c>
      <c r="J9" s="170"/>
      <c r="K9" s="170"/>
      <c r="L9" s="170"/>
      <c r="M9" s="13"/>
      <c r="N9" s="12" t="s">
        <v>12</v>
      </c>
      <c r="O9" s="171" t="s">
        <v>68</v>
      </c>
      <c r="P9" s="171"/>
      <c r="Q9" s="171"/>
      <c r="R9" s="171"/>
      <c r="S9" s="171"/>
      <c r="T9" s="13"/>
      <c r="U9" s="12" t="s">
        <v>13</v>
      </c>
      <c r="V9" s="171" t="s">
        <v>97</v>
      </c>
      <c r="W9" s="171"/>
      <c r="X9" s="171"/>
      <c r="Y9" s="171"/>
      <c r="Z9" s="8"/>
    </row>
    <row r="10" spans="1:26" ht="19.5" x14ac:dyDescent="0.25">
      <c r="A10" s="14"/>
      <c r="B10" s="12" t="s">
        <v>13</v>
      </c>
      <c r="C10" s="170" t="s">
        <v>75</v>
      </c>
      <c r="D10" s="170"/>
      <c r="E10" s="170"/>
      <c r="F10" s="170"/>
      <c r="G10" s="13"/>
      <c r="H10" s="12" t="s">
        <v>13</v>
      </c>
      <c r="I10" s="170" t="s">
        <v>75</v>
      </c>
      <c r="J10" s="170"/>
      <c r="K10" s="170"/>
      <c r="L10" s="170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9.5" x14ac:dyDescent="0.25">
      <c r="A11" s="14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6"/>
      <c r="T11" s="6"/>
      <c r="U11" s="6"/>
      <c r="V11" s="6"/>
      <c r="W11" s="6"/>
      <c r="X11" s="6"/>
      <c r="Y11" s="6"/>
      <c r="Z11" s="8"/>
    </row>
    <row r="12" spans="1:26" ht="19.5" x14ac:dyDescent="0.25">
      <c r="A12" s="10" t="s">
        <v>14</v>
      </c>
      <c r="B12" s="11"/>
      <c r="C12" s="11"/>
      <c r="D12" s="13"/>
      <c r="E12" s="13"/>
      <c r="F12" s="13"/>
      <c r="G12" s="13"/>
      <c r="H12" s="13"/>
      <c r="I12" s="13"/>
      <c r="J12" s="13"/>
      <c r="K12" s="6"/>
      <c r="L12" s="6"/>
      <c r="M12" s="6"/>
      <c r="N12" s="6"/>
      <c r="O12" s="6"/>
      <c r="P12" s="6"/>
      <c r="Q12" s="6"/>
      <c r="R12" s="12" t="s">
        <v>15</v>
      </c>
      <c r="S12" s="170" t="s">
        <v>76</v>
      </c>
      <c r="T12" s="170"/>
      <c r="U12" s="170"/>
      <c r="V12" s="170"/>
      <c r="W12" s="15" t="s">
        <v>16</v>
      </c>
      <c r="X12" s="6"/>
      <c r="Y12" s="6"/>
      <c r="Z12" s="8"/>
    </row>
    <row r="13" spans="1:26" ht="19.5" x14ac:dyDescent="0.25">
      <c r="A13" s="14"/>
      <c r="B13" s="13"/>
      <c r="C13" s="13"/>
      <c r="D13" s="12" t="s">
        <v>17</v>
      </c>
      <c r="E13" s="169" t="s">
        <v>66</v>
      </c>
      <c r="F13" s="169"/>
      <c r="G13" s="169"/>
      <c r="H13" s="169"/>
      <c r="I13" s="169"/>
      <c r="J13" s="16" t="s">
        <v>18</v>
      </c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15" t="s">
        <v>19</v>
      </c>
      <c r="X13" s="6"/>
      <c r="Y13" s="6"/>
      <c r="Z13" s="8"/>
    </row>
    <row r="14" spans="1:26" ht="19.5" x14ac:dyDescent="0.25">
      <c r="A14" s="14"/>
      <c r="B14" s="13"/>
      <c r="C14" s="13"/>
      <c r="D14" s="12" t="s">
        <v>20</v>
      </c>
      <c r="E14" s="182" t="s">
        <v>65</v>
      </c>
      <c r="F14" s="182"/>
      <c r="G14" s="182"/>
      <c r="H14" s="182"/>
      <c r="I14" s="182"/>
      <c r="J14" s="17" t="s">
        <v>21</v>
      </c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15" t="s">
        <v>22</v>
      </c>
      <c r="X14" s="6"/>
      <c r="Y14" s="6"/>
      <c r="Z14" s="8"/>
    </row>
    <row r="15" spans="1:26" ht="19.5" x14ac:dyDescent="0.25">
      <c r="A15" s="14"/>
      <c r="B15" s="13"/>
      <c r="C15" s="13"/>
      <c r="D15" s="12" t="s">
        <v>23</v>
      </c>
      <c r="E15" s="182" t="s">
        <v>69</v>
      </c>
      <c r="F15" s="182"/>
      <c r="G15" s="182"/>
      <c r="H15" s="182"/>
      <c r="I15" s="182"/>
      <c r="J15" s="17" t="s">
        <v>24</v>
      </c>
      <c r="K15" s="6"/>
      <c r="L15" s="6"/>
      <c r="M15" s="6"/>
      <c r="N15" s="6"/>
      <c r="O15" s="6"/>
      <c r="P15" s="6"/>
      <c r="Q15" s="6"/>
      <c r="R15" s="12" t="s">
        <v>25</v>
      </c>
      <c r="S15" s="169" t="s">
        <v>70</v>
      </c>
      <c r="T15" s="169"/>
      <c r="U15" s="169"/>
      <c r="V15" s="169"/>
      <c r="W15" s="15" t="s">
        <v>26</v>
      </c>
      <c r="X15" s="6"/>
      <c r="Y15" s="6"/>
      <c r="Z15" s="8"/>
    </row>
    <row r="16" spans="1:26" ht="19.5" x14ac:dyDescent="0.25">
      <c r="A16" s="14"/>
      <c r="B16" s="13"/>
      <c r="C16" s="13"/>
      <c r="D16" s="12" t="s">
        <v>27</v>
      </c>
      <c r="E16" s="182" t="s">
        <v>65</v>
      </c>
      <c r="F16" s="182"/>
      <c r="G16" s="182"/>
      <c r="H16" s="182"/>
      <c r="I16" s="182"/>
      <c r="J16" s="16" t="s">
        <v>28</v>
      </c>
      <c r="K16" s="6"/>
      <c r="L16" s="6"/>
      <c r="M16" s="6"/>
      <c r="N16" s="6"/>
      <c r="O16" s="6"/>
      <c r="P16" s="6"/>
      <c r="Q16" s="6"/>
      <c r="R16" s="12" t="s">
        <v>29</v>
      </c>
      <c r="S16" s="182">
        <v>21</v>
      </c>
      <c r="T16" s="182"/>
      <c r="U16" s="182"/>
      <c r="V16" s="182"/>
      <c r="W16" s="16" t="s">
        <v>28</v>
      </c>
      <c r="X16" s="6"/>
      <c r="Y16" s="6"/>
      <c r="Z16" s="8"/>
    </row>
    <row r="17" spans="1:26" x14ac:dyDescent="0.25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x14ac:dyDescent="0.25">
      <c r="A18" s="5"/>
      <c r="B18" s="6"/>
      <c r="C18" s="6"/>
      <c r="D18" s="6"/>
      <c r="E18" s="6"/>
      <c r="F18" s="18" t="s">
        <v>30</v>
      </c>
      <c r="G18" s="6"/>
      <c r="H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x14ac:dyDescent="0.25">
      <c r="A19" s="5"/>
      <c r="B19" s="6"/>
      <c r="C19" s="6"/>
      <c r="D19" s="6"/>
      <c r="E19" s="6"/>
      <c r="F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x14ac:dyDescent="0.25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R21" s="6"/>
      <c r="S21" s="6"/>
      <c r="T21" s="6"/>
      <c r="U21" s="6"/>
      <c r="V21" s="6"/>
      <c r="W21" s="6"/>
      <c r="X21" s="6"/>
      <c r="Y21" s="6"/>
      <c r="Z21" s="8"/>
    </row>
    <row r="22" spans="1:2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x14ac:dyDescent="0.25">
      <c r="A23" s="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x14ac:dyDescent="0.25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x14ac:dyDescent="0.25">
      <c r="A26" s="5"/>
      <c r="B26" s="6"/>
      <c r="C26" s="6"/>
      <c r="D26" s="6"/>
      <c r="E26" s="6"/>
      <c r="F26" s="6"/>
      <c r="G26" s="6"/>
      <c r="H26" s="6"/>
      <c r="I26" s="19" t="s">
        <v>31</v>
      </c>
      <c r="J26" s="19"/>
      <c r="K26" s="19" t="s">
        <v>32</v>
      </c>
      <c r="L26" s="19"/>
      <c r="M26" s="19" t="s">
        <v>33</v>
      </c>
      <c r="N26" s="19"/>
      <c r="O26" s="19" t="s">
        <v>34</v>
      </c>
      <c r="P26" s="19"/>
      <c r="Q26" s="19" t="s">
        <v>35</v>
      </c>
      <c r="S26" s="6"/>
      <c r="T26" s="6"/>
      <c r="U26" s="6"/>
      <c r="V26" s="6"/>
      <c r="W26" s="6"/>
      <c r="X26" s="6"/>
      <c r="Y26" s="6"/>
      <c r="Z26" s="8"/>
    </row>
    <row r="27" spans="1:26" x14ac:dyDescent="0.25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x14ac:dyDescent="0.25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s="23" customFormat="1" ht="17.25" x14ac:dyDescent="0.3">
      <c r="A29" s="20"/>
      <c r="B29" s="21"/>
      <c r="C29" s="21"/>
      <c r="D29" s="21"/>
      <c r="E29" s="177" t="s">
        <v>36</v>
      </c>
      <c r="F29" s="178"/>
      <c r="G29" s="179"/>
      <c r="H29" s="177" t="s">
        <v>37</v>
      </c>
      <c r="I29" s="178"/>
      <c r="J29" s="179"/>
      <c r="K29" s="21"/>
      <c r="L29" s="177" t="s">
        <v>38</v>
      </c>
      <c r="M29" s="178"/>
      <c r="N29" s="179"/>
      <c r="O29" s="21"/>
      <c r="P29" s="21"/>
      <c r="Q29" s="21"/>
      <c r="R29" s="21"/>
      <c r="S29" s="21"/>
      <c r="T29" s="21"/>
      <c r="U29" s="177" t="s">
        <v>39</v>
      </c>
      <c r="V29" s="178"/>
      <c r="W29" s="179"/>
      <c r="X29" s="21"/>
      <c r="Y29" s="21"/>
      <c r="Z29" s="22"/>
    </row>
    <row r="30" spans="1:26" s="23" customFormat="1" ht="103.5" customHeight="1" x14ac:dyDescent="0.3">
      <c r="A30" s="24" t="s">
        <v>40</v>
      </c>
      <c r="B30" s="24" t="s">
        <v>41</v>
      </c>
      <c r="C30" s="24" t="s">
        <v>42</v>
      </c>
      <c r="D30" s="24" t="s">
        <v>43</v>
      </c>
      <c r="E30" s="24" t="s">
        <v>44</v>
      </c>
      <c r="F30" s="24" t="s">
        <v>45</v>
      </c>
      <c r="G30" s="24" t="s">
        <v>46</v>
      </c>
      <c r="H30" s="24" t="s">
        <v>44</v>
      </c>
      <c r="I30" s="24" t="s">
        <v>45</v>
      </c>
      <c r="J30" s="24" t="s">
        <v>46</v>
      </c>
      <c r="K30" s="24" t="s">
        <v>47</v>
      </c>
      <c r="L30" s="24" t="s">
        <v>48</v>
      </c>
      <c r="M30" s="24" t="s">
        <v>49</v>
      </c>
      <c r="N30" s="24" t="s">
        <v>50</v>
      </c>
      <c r="O30" s="24" t="s">
        <v>51</v>
      </c>
      <c r="P30" s="24" t="s">
        <v>52</v>
      </c>
      <c r="Q30" s="24" t="s">
        <v>53</v>
      </c>
      <c r="R30" s="24" t="s">
        <v>54</v>
      </c>
      <c r="S30" s="24" t="s">
        <v>55</v>
      </c>
      <c r="T30" s="24" t="s">
        <v>56</v>
      </c>
      <c r="U30" s="24" t="s">
        <v>57</v>
      </c>
      <c r="V30" s="24" t="s">
        <v>58</v>
      </c>
      <c r="W30" s="24" t="s">
        <v>59</v>
      </c>
      <c r="X30" s="24" t="s">
        <v>60</v>
      </c>
      <c r="Y30" s="24" t="s">
        <v>61</v>
      </c>
    </row>
    <row r="31" spans="1:26" ht="21" customHeight="1" thickBot="1" x14ac:dyDescent="0.3">
      <c r="A31" s="180" t="s">
        <v>62</v>
      </c>
      <c r="B31" s="181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74"/>
    </row>
    <row r="32" spans="1:26" s="23" customFormat="1" ht="22.5" hidden="1" customHeight="1" x14ac:dyDescent="0.3">
      <c r="A32" s="180" t="s">
        <v>71</v>
      </c>
      <c r="B32" s="181"/>
      <c r="C32" s="181"/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1"/>
      <c r="X32" s="181"/>
      <c r="Y32" s="181"/>
      <c r="Z32" s="174"/>
    </row>
    <row r="33" spans="1:28" ht="72.75" customHeight="1" x14ac:dyDescent="0.25">
      <c r="A33" s="166">
        <v>1</v>
      </c>
      <c r="B33" s="36">
        <v>43353</v>
      </c>
      <c r="C33" s="36">
        <v>43360</v>
      </c>
      <c r="D33" s="37">
        <v>7</v>
      </c>
      <c r="E33" s="37">
        <v>15.212</v>
      </c>
      <c r="F33" s="37">
        <v>15.138</v>
      </c>
      <c r="G33" s="37">
        <v>15.223000000000001</v>
      </c>
      <c r="H33" s="37">
        <v>15.21</v>
      </c>
      <c r="I33" s="37">
        <v>15.243</v>
      </c>
      <c r="J33" s="37">
        <v>15.191000000000001</v>
      </c>
      <c r="K33" s="38">
        <f>SUM(E33:J33)/6</f>
        <v>15.202833333333333</v>
      </c>
      <c r="L33" s="37">
        <v>30</v>
      </c>
      <c r="M33" s="37">
        <v>30</v>
      </c>
      <c r="N33" s="37">
        <v>30</v>
      </c>
      <c r="O33" s="38">
        <f>SUM(L33:N33)/3</f>
        <v>30</v>
      </c>
      <c r="P33" s="38">
        <f>((PI()/4)*POWER(K33,2))</f>
        <v>181.52604693815564</v>
      </c>
      <c r="Q33" s="38">
        <v>13.035</v>
      </c>
      <c r="R33" s="38">
        <f>Q33/((P33*O33)/POWER(100,3))</f>
        <v>2393.5958906659298</v>
      </c>
      <c r="S33" s="37">
        <f>AB33*237.2</f>
        <v>24194.399999999998</v>
      </c>
      <c r="T33" s="38">
        <f>S33/P33</f>
        <v>133.28335193815366</v>
      </c>
      <c r="U33" s="38">
        <f>T33/10.1972</f>
        <v>13.070583291310717</v>
      </c>
      <c r="V33" s="38">
        <f>U33*145.03777</f>
        <v>1895.7282531709666</v>
      </c>
      <c r="W33" s="39">
        <f>U33/S16</f>
        <v>0.62240872815765313</v>
      </c>
      <c r="X33" s="40" t="s">
        <v>64</v>
      </c>
      <c r="Y33" s="41"/>
      <c r="AB33" s="4">
        <v>102</v>
      </c>
    </row>
    <row r="34" spans="1:28" ht="72.75" customHeight="1" x14ac:dyDescent="0.25">
      <c r="A34" s="167"/>
      <c r="B34" s="28">
        <v>43353</v>
      </c>
      <c r="C34" s="28">
        <v>43360</v>
      </c>
      <c r="D34" s="29">
        <v>7</v>
      </c>
      <c r="E34" s="29">
        <v>15.223000000000001</v>
      </c>
      <c r="F34" s="29">
        <v>15.148</v>
      </c>
      <c r="G34" s="29">
        <v>15.234</v>
      </c>
      <c r="H34" s="29">
        <v>15.128</v>
      </c>
      <c r="I34" s="29">
        <v>15.111000000000001</v>
      </c>
      <c r="J34" s="29">
        <v>15.231999999999999</v>
      </c>
      <c r="K34" s="26">
        <f>SUM(E34:J34)/6</f>
        <v>15.179333333333334</v>
      </c>
      <c r="L34" s="29">
        <v>30</v>
      </c>
      <c r="M34" s="29">
        <v>30</v>
      </c>
      <c r="N34" s="29">
        <v>30</v>
      </c>
      <c r="O34" s="26">
        <f>SUM(L34:N34)/3</f>
        <v>30</v>
      </c>
      <c r="P34" s="26">
        <f>((PI()/4)*POWER(K34,2))</f>
        <v>180.96528763750484</v>
      </c>
      <c r="Q34" s="26">
        <v>12.955</v>
      </c>
      <c r="R34" s="26">
        <f t="shared" ref="R34:R44" si="0">Q34/((P34*O34)/POWER(100,3))</f>
        <v>2386.2771638191034</v>
      </c>
      <c r="S34" s="29">
        <f>AB33*239.6</f>
        <v>24439.200000000001</v>
      </c>
      <c r="T34" s="26">
        <f t="shared" ref="T34:T41" si="1">S34/P34</f>
        <v>135.04910427327172</v>
      </c>
      <c r="U34" s="26">
        <f>T34/10.1972</f>
        <v>13.243743799599077</v>
      </c>
      <c r="V34" s="26">
        <f>U34*145.03777</f>
        <v>1920.843067145177</v>
      </c>
      <c r="W34" s="25">
        <f>U34/$S$16</f>
        <v>0.63065446664757507</v>
      </c>
      <c r="X34" s="73" t="s">
        <v>63</v>
      </c>
      <c r="Y34" s="42"/>
    </row>
    <row r="35" spans="1:28" ht="72.75" customHeight="1" thickBot="1" x14ac:dyDescent="0.3">
      <c r="A35" s="168"/>
      <c r="B35" s="43">
        <v>43353</v>
      </c>
      <c r="C35" s="43">
        <v>43360</v>
      </c>
      <c r="D35" s="44">
        <v>7</v>
      </c>
      <c r="E35" s="44">
        <v>15.145</v>
      </c>
      <c r="F35" s="44">
        <v>15.132999999999999</v>
      </c>
      <c r="G35" s="44">
        <v>15.143000000000001</v>
      </c>
      <c r="H35" s="44">
        <v>15.238</v>
      </c>
      <c r="I35" s="44">
        <v>15.228999999999999</v>
      </c>
      <c r="J35" s="44">
        <v>15.195</v>
      </c>
      <c r="K35" s="45">
        <f>SUM(E35:J35)/6</f>
        <v>15.1805</v>
      </c>
      <c r="L35" s="44">
        <v>30</v>
      </c>
      <c r="M35" s="44">
        <v>30</v>
      </c>
      <c r="N35" s="44">
        <v>30</v>
      </c>
      <c r="O35" s="45">
        <f t="shared" ref="O35:O41" si="2">SUM(L35:N35)/3</f>
        <v>30</v>
      </c>
      <c r="P35" s="45">
        <f t="shared" ref="P35:P44" si="3">((PI()/4)*POWER(K35,2))</f>
        <v>180.99310628773608</v>
      </c>
      <c r="Q35" s="45">
        <v>13.135</v>
      </c>
      <c r="R35" s="45">
        <f t="shared" si="0"/>
        <v>2419.0608267548173</v>
      </c>
      <c r="S35" s="44">
        <f>AB33*244.2</f>
        <v>24908.399999999998</v>
      </c>
      <c r="T35" s="45">
        <f t="shared" si="1"/>
        <v>137.62071114687404</v>
      </c>
      <c r="U35" s="45">
        <f>T35/10.1972</f>
        <v>13.49593134849508</v>
      </c>
      <c r="V35" s="45">
        <f t="shared" ref="V35:V41" si="4">U35*145.03777</f>
        <v>1957.4197868588192</v>
      </c>
      <c r="W35" s="46">
        <f t="shared" ref="W35:W41" si="5">U35/$S$16</f>
        <v>0.64266339754738477</v>
      </c>
      <c r="X35" s="47" t="s">
        <v>63</v>
      </c>
      <c r="Y35" s="48"/>
    </row>
    <row r="36" spans="1:28" ht="74.25" customHeight="1" x14ac:dyDescent="0.25">
      <c r="A36" s="166">
        <v>2</v>
      </c>
      <c r="B36" s="36">
        <v>43353</v>
      </c>
      <c r="C36" s="36">
        <v>43367</v>
      </c>
      <c r="D36" s="37">
        <v>14</v>
      </c>
      <c r="E36" s="37">
        <v>15.132999999999999</v>
      </c>
      <c r="F36" s="37">
        <v>15.148</v>
      </c>
      <c r="G36" s="37">
        <v>14.929</v>
      </c>
      <c r="H36" s="37">
        <v>15.115</v>
      </c>
      <c r="I36" s="37">
        <v>15.112</v>
      </c>
      <c r="J36" s="37">
        <v>15.138999999999999</v>
      </c>
      <c r="K36" s="38">
        <f t="shared" ref="K36:K37" si="6">SUM(E36:J36)/6</f>
        <v>15.095999999999998</v>
      </c>
      <c r="L36" s="37">
        <v>30</v>
      </c>
      <c r="M36" s="37">
        <v>30</v>
      </c>
      <c r="N36" s="37">
        <v>30</v>
      </c>
      <c r="O36" s="38">
        <f t="shared" si="2"/>
        <v>30</v>
      </c>
      <c r="P36" s="38">
        <f t="shared" si="3"/>
        <v>178.98377170448435</v>
      </c>
      <c r="Q36" s="38">
        <v>13.035</v>
      </c>
      <c r="R36" s="38">
        <f t="shared" si="0"/>
        <v>2427.5943894924294</v>
      </c>
      <c r="S36" s="37">
        <f>AB33*241</f>
        <v>24582</v>
      </c>
      <c r="T36" s="38">
        <f t="shared" si="1"/>
        <v>137.34206048907456</v>
      </c>
      <c r="U36" s="38">
        <f t="shared" ref="U36:U41" si="7">T36/10.1972</f>
        <v>13.468605155246003</v>
      </c>
      <c r="V36" s="38">
        <f t="shared" si="4"/>
        <v>1953.456456727384</v>
      </c>
      <c r="W36" s="39">
        <f>U36/$S$16</f>
        <v>0.64136215024980969</v>
      </c>
      <c r="X36" s="40" t="s">
        <v>67</v>
      </c>
      <c r="Y36" s="41"/>
      <c r="Z36" s="115"/>
    </row>
    <row r="37" spans="1:28" ht="73.5" customHeight="1" x14ac:dyDescent="0.25">
      <c r="A37" s="167"/>
      <c r="B37" s="28">
        <v>43353</v>
      </c>
      <c r="C37" s="28">
        <v>43367</v>
      </c>
      <c r="D37" s="29">
        <v>14</v>
      </c>
      <c r="E37" s="30">
        <v>15.151999999999999</v>
      </c>
      <c r="F37" s="30">
        <v>14.923</v>
      </c>
      <c r="G37" s="30">
        <v>15.180999999999999</v>
      </c>
      <c r="H37" s="30">
        <v>15.109</v>
      </c>
      <c r="I37" s="30">
        <v>15.112</v>
      </c>
      <c r="J37" s="30">
        <v>15.138999999999999</v>
      </c>
      <c r="K37" s="26">
        <f t="shared" si="6"/>
        <v>15.102666666666666</v>
      </c>
      <c r="L37" s="29">
        <v>30</v>
      </c>
      <c r="M37" s="29">
        <v>30</v>
      </c>
      <c r="N37" s="29">
        <v>30</v>
      </c>
      <c r="O37" s="26">
        <f t="shared" si="2"/>
        <v>30</v>
      </c>
      <c r="P37" s="26">
        <f t="shared" si="3"/>
        <v>179.14189155339804</v>
      </c>
      <c r="Q37" s="26">
        <v>13.135</v>
      </c>
      <c r="R37" s="26">
        <f t="shared" si="0"/>
        <v>2444.0588939679997</v>
      </c>
      <c r="S37" s="29">
        <f>AB33*245</f>
        <v>24990</v>
      </c>
      <c r="T37" s="26">
        <f t="shared" si="1"/>
        <v>139.4983595590262</v>
      </c>
      <c r="U37" s="26">
        <f t="shared" si="7"/>
        <v>13.680065072669574</v>
      </c>
      <c r="V37" s="26">
        <f>U37*145.03777</f>
        <v>1984.126131594883</v>
      </c>
      <c r="W37" s="25">
        <f t="shared" si="5"/>
        <v>0.65143167012712255</v>
      </c>
      <c r="X37" s="73" t="s">
        <v>67</v>
      </c>
      <c r="Y37" s="42"/>
      <c r="Z37" s="115"/>
    </row>
    <row r="38" spans="1:28" ht="72.75" customHeight="1" thickBot="1" x14ac:dyDescent="0.3">
      <c r="A38" s="167"/>
      <c r="B38" s="28">
        <v>43353</v>
      </c>
      <c r="C38" s="28">
        <v>43367</v>
      </c>
      <c r="D38" s="29">
        <v>14</v>
      </c>
      <c r="E38" s="30">
        <v>15.128</v>
      </c>
      <c r="F38" s="30">
        <v>15.115</v>
      </c>
      <c r="G38" s="30">
        <v>14.922000000000001</v>
      </c>
      <c r="H38" s="31">
        <v>15.132</v>
      </c>
      <c r="I38" s="30">
        <v>15.071999999999999</v>
      </c>
      <c r="J38" s="30">
        <v>15.112</v>
      </c>
      <c r="K38" s="26">
        <f>SUM(E38:J38)/6</f>
        <v>15.080166666666665</v>
      </c>
      <c r="L38" s="29">
        <v>30</v>
      </c>
      <c r="M38" s="29">
        <v>30</v>
      </c>
      <c r="N38" s="29">
        <v>30</v>
      </c>
      <c r="O38" s="26">
        <f>SUM(L38:N38)/3</f>
        <v>30</v>
      </c>
      <c r="P38" s="26">
        <f>((PI()/4)*POWER(K38,2))</f>
        <v>178.60851686141007</v>
      </c>
      <c r="Q38" s="26">
        <v>13.025</v>
      </c>
      <c r="R38" s="26">
        <f t="shared" si="0"/>
        <v>2430.8284638159503</v>
      </c>
      <c r="S38" s="29">
        <f>AB33*244.9</f>
        <v>24979.8</v>
      </c>
      <c r="T38" s="26">
        <f>S38/P38</f>
        <v>139.85783230809136</v>
      </c>
      <c r="U38" s="26">
        <f>T38/10.1972</f>
        <v>13.715317176096512</v>
      </c>
      <c r="V38" s="26">
        <f>U38*145.03777</f>
        <v>1989.2390180637353</v>
      </c>
      <c r="W38" s="25">
        <f>U38/$S$16</f>
        <v>0.65311034171888149</v>
      </c>
      <c r="X38" s="73" t="s">
        <v>67</v>
      </c>
      <c r="Y38" s="42"/>
      <c r="Z38" s="115"/>
    </row>
    <row r="39" spans="1:28" ht="90" customHeight="1" x14ac:dyDescent="0.25">
      <c r="A39" s="196">
        <v>3</v>
      </c>
      <c r="B39" s="56">
        <v>43348</v>
      </c>
      <c r="C39" s="56">
        <v>43369</v>
      </c>
      <c r="D39" s="37">
        <v>21</v>
      </c>
      <c r="E39" s="37">
        <v>15.154</v>
      </c>
      <c r="F39" s="37">
        <v>14.933</v>
      </c>
      <c r="G39" s="37">
        <v>15.138</v>
      </c>
      <c r="H39" s="37">
        <v>14.932</v>
      </c>
      <c r="I39" s="37">
        <v>15.163</v>
      </c>
      <c r="J39" s="37">
        <v>15.196</v>
      </c>
      <c r="K39" s="38">
        <f>SUM(E39:J39)/6</f>
        <v>15.086</v>
      </c>
      <c r="L39" s="37">
        <v>30</v>
      </c>
      <c r="M39" s="37">
        <v>30</v>
      </c>
      <c r="N39" s="37">
        <v>30</v>
      </c>
      <c r="O39" s="38">
        <f t="shared" si="2"/>
        <v>30</v>
      </c>
      <c r="P39" s="38">
        <f t="shared" si="3"/>
        <v>178.74672283080778</v>
      </c>
      <c r="Q39" s="38">
        <v>12.75</v>
      </c>
      <c r="R39" s="38">
        <f t="shared" si="0"/>
        <v>2377.6659693072111</v>
      </c>
      <c r="S39" s="37">
        <f>AB33*256.4</f>
        <v>26152.799999999999</v>
      </c>
      <c r="T39" s="38">
        <f t="shared" si="1"/>
        <v>146.31205308728855</v>
      </c>
      <c r="U39" s="38">
        <f t="shared" si="7"/>
        <v>14.348257667525257</v>
      </c>
      <c r="V39" s="38">
        <f t="shared" si="4"/>
        <v>2081.0392954832646</v>
      </c>
      <c r="W39" s="39">
        <f t="shared" si="5"/>
        <v>0.68325036512025028</v>
      </c>
      <c r="X39" s="73" t="s">
        <v>67</v>
      </c>
      <c r="Y39" s="42"/>
      <c r="Z39" s="115"/>
    </row>
    <row r="40" spans="1:28" ht="60" customHeight="1" x14ac:dyDescent="0.25">
      <c r="A40" s="197"/>
      <c r="B40" s="59">
        <v>43348</v>
      </c>
      <c r="C40" s="59">
        <v>43369</v>
      </c>
      <c r="D40" s="29">
        <v>21</v>
      </c>
      <c r="E40" s="89">
        <v>15.135</v>
      </c>
      <c r="F40" s="89">
        <v>15.129</v>
      </c>
      <c r="G40" s="89">
        <v>15.138</v>
      </c>
      <c r="H40" s="89">
        <v>15.148999999999999</v>
      </c>
      <c r="I40" s="89">
        <v>14.939</v>
      </c>
      <c r="J40" s="102">
        <v>14.951000000000001</v>
      </c>
      <c r="K40" s="74">
        <f>SUM(E40:J40)/6</f>
        <v>15.073500000000001</v>
      </c>
      <c r="L40" s="33">
        <v>30</v>
      </c>
      <c r="M40" s="33">
        <v>30</v>
      </c>
      <c r="N40" s="33">
        <v>30</v>
      </c>
      <c r="O40" s="34">
        <f t="shared" si="2"/>
        <v>30</v>
      </c>
      <c r="P40" s="34">
        <f t="shared" si="3"/>
        <v>178.4506326319455</v>
      </c>
      <c r="Q40" s="74">
        <v>13.24</v>
      </c>
      <c r="R40" s="74">
        <f t="shared" si="0"/>
        <v>2473.1396399338273</v>
      </c>
      <c r="S40" s="29">
        <f>AB33*258.6</f>
        <v>26377.200000000001</v>
      </c>
      <c r="T40" s="34">
        <f t="shared" si="1"/>
        <v>147.81230870950728</v>
      </c>
      <c r="U40" s="34">
        <f t="shared" si="7"/>
        <v>14.49538193911145</v>
      </c>
      <c r="V40" s="34">
        <f t="shared" si="4"/>
        <v>2102.3778717470004</v>
      </c>
      <c r="W40" s="35">
        <f t="shared" si="5"/>
        <v>0.69025628281483098</v>
      </c>
      <c r="X40" s="73" t="s">
        <v>67</v>
      </c>
      <c r="Y40" s="42"/>
      <c r="Z40" s="115"/>
    </row>
    <row r="41" spans="1:28" ht="72.75" customHeight="1" thickBot="1" x14ac:dyDescent="0.3">
      <c r="A41" s="198"/>
      <c r="B41" s="80">
        <v>43348</v>
      </c>
      <c r="C41" s="80">
        <v>43369</v>
      </c>
      <c r="D41" s="50">
        <v>21</v>
      </c>
      <c r="E41" s="91">
        <v>15.145</v>
      </c>
      <c r="F41" s="91">
        <v>15.195</v>
      </c>
      <c r="G41" s="91">
        <v>15.185</v>
      </c>
      <c r="H41" s="91">
        <v>15.198</v>
      </c>
      <c r="I41" s="91">
        <v>14.933</v>
      </c>
      <c r="J41" s="103">
        <v>15.233000000000001</v>
      </c>
      <c r="K41" s="93">
        <f>SUM(E41:J41)/6</f>
        <v>15.148166666666668</v>
      </c>
      <c r="L41" s="72">
        <v>30</v>
      </c>
      <c r="M41" s="72">
        <v>30</v>
      </c>
      <c r="N41" s="72">
        <v>30</v>
      </c>
      <c r="O41" s="93">
        <f t="shared" si="2"/>
        <v>30</v>
      </c>
      <c r="P41" s="93">
        <f t="shared" si="3"/>
        <v>180.22292373022464</v>
      </c>
      <c r="Q41" s="92">
        <v>13.14</v>
      </c>
      <c r="R41" s="92">
        <f t="shared" si="0"/>
        <v>2430.3234623784119</v>
      </c>
      <c r="S41" s="91">
        <f>AB33*264.1</f>
        <v>26938.2</v>
      </c>
      <c r="T41" s="93">
        <f t="shared" si="1"/>
        <v>149.47155135671721</v>
      </c>
      <c r="U41" s="93">
        <f t="shared" si="7"/>
        <v>14.658097453881183</v>
      </c>
      <c r="V41" s="93">
        <f t="shared" si="4"/>
        <v>2125.9777671536044</v>
      </c>
      <c r="W41" s="94">
        <f t="shared" si="5"/>
        <v>0.69800464066100876</v>
      </c>
      <c r="X41" s="73" t="s">
        <v>67</v>
      </c>
      <c r="Y41" s="42"/>
      <c r="Z41" s="115"/>
    </row>
    <row r="42" spans="1:28" ht="54" customHeight="1" thickBot="1" x14ac:dyDescent="0.3">
      <c r="A42" s="203">
        <v>4</v>
      </c>
      <c r="B42" s="36">
        <v>43348</v>
      </c>
      <c r="C42" s="36">
        <v>43376</v>
      </c>
      <c r="D42" s="37">
        <v>28</v>
      </c>
      <c r="E42" s="96">
        <v>15.14</v>
      </c>
      <c r="F42" s="96">
        <v>14.93</v>
      </c>
      <c r="G42" s="96">
        <v>15.14</v>
      </c>
      <c r="H42" s="96">
        <v>15.11</v>
      </c>
      <c r="I42" s="96">
        <v>15.18</v>
      </c>
      <c r="J42" s="96">
        <v>15.09</v>
      </c>
      <c r="K42" s="38">
        <f t="shared" ref="K42:K44" si="8">SUM(E42:J42)/6</f>
        <v>15.098333333333334</v>
      </c>
      <c r="L42" s="37">
        <v>30</v>
      </c>
      <c r="M42" s="37">
        <v>30</v>
      </c>
      <c r="N42" s="37">
        <v>30</v>
      </c>
      <c r="O42" s="38">
        <f t="shared" ref="O42:O44" si="9">SUM(L42:N42)/3</f>
        <v>30</v>
      </c>
      <c r="P42" s="38">
        <f t="shared" si="3"/>
        <v>179.0391057103561</v>
      </c>
      <c r="Q42" s="97">
        <v>12.888</v>
      </c>
      <c r="R42" s="97">
        <f t="shared" si="0"/>
        <v>2399.4757921489709</v>
      </c>
      <c r="S42" s="37">
        <f>AB33*274.22</f>
        <v>27970.440000000002</v>
      </c>
      <c r="T42" s="38">
        <f t="shared" ref="T42:T44" si="10">S42/P42</f>
        <v>156.22531116330367</v>
      </c>
      <c r="U42" s="38">
        <f t="shared" ref="U42:U44" si="11">T42/10.1972</f>
        <v>15.320412580247879</v>
      </c>
      <c r="V42" s="38">
        <f t="shared" ref="V42:V44" si="12">U42*145.03777</f>
        <v>2222.0384761190985</v>
      </c>
      <c r="W42" s="39">
        <f t="shared" ref="W42:W44" si="13">U42/$S$16</f>
        <v>0.72954345620228001</v>
      </c>
      <c r="X42" s="73" t="s">
        <v>67</v>
      </c>
      <c r="Y42" s="42"/>
      <c r="Z42" s="115"/>
    </row>
    <row r="43" spans="1:28" ht="54" customHeight="1" thickBot="1" x14ac:dyDescent="0.3">
      <c r="A43" s="204"/>
      <c r="B43" s="28">
        <v>43348</v>
      </c>
      <c r="C43" s="36">
        <v>43376</v>
      </c>
      <c r="D43" s="29">
        <v>28</v>
      </c>
      <c r="E43" s="89">
        <v>14.93</v>
      </c>
      <c r="F43" s="89">
        <v>15.11</v>
      </c>
      <c r="G43" s="89">
        <v>14.93</v>
      </c>
      <c r="H43" s="89">
        <v>15.12</v>
      </c>
      <c r="I43" s="89">
        <v>15.13</v>
      </c>
      <c r="J43" s="89">
        <v>14.98</v>
      </c>
      <c r="K43" s="26">
        <f t="shared" si="8"/>
        <v>15.033333333333333</v>
      </c>
      <c r="L43" s="29">
        <v>30</v>
      </c>
      <c r="M43" s="29">
        <v>30</v>
      </c>
      <c r="N43" s="29">
        <v>30</v>
      </c>
      <c r="O43" s="26">
        <f t="shared" si="9"/>
        <v>30</v>
      </c>
      <c r="P43" s="26">
        <f t="shared" si="3"/>
        <v>177.50085759244931</v>
      </c>
      <c r="Q43" s="74">
        <v>12.898</v>
      </c>
      <c r="R43" s="74">
        <f t="shared" si="0"/>
        <v>2422.1479217890956</v>
      </c>
      <c r="S43" s="29">
        <f>AB33*280.35</f>
        <v>28595.7</v>
      </c>
      <c r="T43" s="26">
        <f t="shared" si="10"/>
        <v>161.10175684704089</v>
      </c>
      <c r="U43" s="26">
        <f t="shared" si="11"/>
        <v>15.798626764900256</v>
      </c>
      <c r="V43" s="26">
        <f t="shared" si="12"/>
        <v>2291.3975950434474</v>
      </c>
      <c r="W43" s="25">
        <f t="shared" si="13"/>
        <v>0.75231556023334556</v>
      </c>
      <c r="X43" s="73" t="s">
        <v>67</v>
      </c>
      <c r="Y43" s="42"/>
      <c r="Z43" s="115"/>
    </row>
    <row r="44" spans="1:28" ht="53.25" customHeight="1" thickBot="1" x14ac:dyDescent="0.3">
      <c r="A44" s="205"/>
      <c r="B44" s="43">
        <v>43348</v>
      </c>
      <c r="C44" s="36">
        <v>43376</v>
      </c>
      <c r="D44" s="44">
        <v>28</v>
      </c>
      <c r="E44" s="99">
        <v>15.13</v>
      </c>
      <c r="F44" s="99">
        <v>15.01</v>
      </c>
      <c r="G44" s="99">
        <v>15.03</v>
      </c>
      <c r="H44" s="99">
        <v>14.98</v>
      </c>
      <c r="I44" s="99">
        <v>15.07</v>
      </c>
      <c r="J44" s="99">
        <v>14.99</v>
      </c>
      <c r="K44" s="45">
        <f t="shared" si="8"/>
        <v>15.034999999999998</v>
      </c>
      <c r="L44" s="44">
        <v>30</v>
      </c>
      <c r="M44" s="44">
        <v>30</v>
      </c>
      <c r="N44" s="44">
        <v>30</v>
      </c>
      <c r="O44" s="45">
        <f t="shared" si="9"/>
        <v>30</v>
      </c>
      <c r="P44" s="45">
        <f t="shared" si="3"/>
        <v>177.54021694874331</v>
      </c>
      <c r="Q44" s="75">
        <v>12.881</v>
      </c>
      <c r="R44" s="75">
        <f t="shared" si="0"/>
        <v>2418.4191843734584</v>
      </c>
      <c r="S44" s="99">
        <f>AB33*277.6</f>
        <v>28315.200000000001</v>
      </c>
      <c r="T44" s="45">
        <f t="shared" si="10"/>
        <v>159.4861180561401</v>
      </c>
      <c r="U44" s="45">
        <f t="shared" si="11"/>
        <v>15.640187311824823</v>
      </c>
      <c r="V44" s="45">
        <f t="shared" si="12"/>
        <v>2268.4178900893667</v>
      </c>
      <c r="W44" s="46">
        <f t="shared" si="13"/>
        <v>0.74477082437261066</v>
      </c>
      <c r="X44" s="73" t="s">
        <v>67</v>
      </c>
      <c r="Y44" s="42"/>
      <c r="Z44" s="115"/>
    </row>
  </sheetData>
  <sheetProtection selectLockedCells="1"/>
  <mergeCells count="31">
    <mergeCell ref="A42:A44"/>
    <mergeCell ref="E29:G29"/>
    <mergeCell ref="H29:J29"/>
    <mergeCell ref="L29:N29"/>
    <mergeCell ref="A33:A35"/>
    <mergeCell ref="A36:A38"/>
    <mergeCell ref="A39:A41"/>
    <mergeCell ref="U29:W29"/>
    <mergeCell ref="A31:Z31"/>
    <mergeCell ref="A32:Z32"/>
    <mergeCell ref="S12:V12"/>
    <mergeCell ref="E13:I13"/>
    <mergeCell ref="E14:I14"/>
    <mergeCell ref="E15:I15"/>
    <mergeCell ref="S15:V15"/>
    <mergeCell ref="E16:I16"/>
    <mergeCell ref="S16:V16"/>
    <mergeCell ref="C9:F9"/>
    <mergeCell ref="I9:L9"/>
    <mergeCell ref="O9:S9"/>
    <mergeCell ref="V9:Y9"/>
    <mergeCell ref="C10:F10"/>
    <mergeCell ref="I10:L10"/>
    <mergeCell ref="C4:J4"/>
    <mergeCell ref="M4:S4"/>
    <mergeCell ref="W4:Y4"/>
    <mergeCell ref="C5:Y5"/>
    <mergeCell ref="C8:F8"/>
    <mergeCell ref="I8:L8"/>
    <mergeCell ref="O8:S8"/>
    <mergeCell ref="V8:Y8"/>
  </mergeCells>
  <printOptions horizontalCentered="1" verticalCentered="1"/>
  <pageMargins left="0.39370078740157483" right="0.39370078740157483" top="0.39370078740157483" bottom="0.39370078740157483" header="0.31496062992125984" footer="0.39370078740157483"/>
  <pageSetup paperSize="9" scale="33" orientation="portrait" r:id="rId1"/>
  <colBreaks count="1" manualBreakCount="1">
    <brk id="26" max="34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7:E25"/>
  <sheetViews>
    <sheetView topLeftCell="A4" workbookViewId="0">
      <selection activeCell="D25" sqref="D25:E25"/>
    </sheetView>
  </sheetViews>
  <sheetFormatPr baseColWidth="10" defaultRowHeight="15" x14ac:dyDescent="0.25"/>
  <cols>
    <col min="1" max="1" width="15.7109375" customWidth="1"/>
    <col min="2" max="2" width="19.7109375" customWidth="1"/>
    <col min="4" max="4" width="25.5703125" customWidth="1"/>
    <col min="5" max="5" width="29.85546875" customWidth="1"/>
  </cols>
  <sheetData>
    <row r="7" spans="1:5" ht="15.75" thickBot="1" x14ac:dyDescent="0.3"/>
    <row r="8" spans="1:5" ht="15.75" thickBot="1" x14ac:dyDescent="0.3">
      <c r="A8" s="159" t="s">
        <v>111</v>
      </c>
      <c r="B8" s="160" t="s">
        <v>112</v>
      </c>
      <c r="C8" s="160" t="s">
        <v>113</v>
      </c>
      <c r="D8" s="160" t="s">
        <v>105</v>
      </c>
      <c r="E8" s="161" t="s">
        <v>106</v>
      </c>
    </row>
    <row r="9" spans="1:5" x14ac:dyDescent="0.25">
      <c r="A9" s="135">
        <v>0</v>
      </c>
      <c r="B9" s="136">
        <f t="shared" ref="B9:B21" si="0">D9/(D10/B10)</f>
        <v>0</v>
      </c>
      <c r="C9" s="136">
        <v>177.50085759244931</v>
      </c>
      <c r="D9" s="136">
        <f t="shared" ref="D9:D21" si="1">(A9/(C9/100^2))/1000</f>
        <v>0</v>
      </c>
      <c r="E9" s="137">
        <f t="shared" ref="E9:E22" si="2">B9/300</f>
        <v>0</v>
      </c>
    </row>
    <row r="10" spans="1:5" x14ac:dyDescent="0.25">
      <c r="A10" s="138">
        <v>20</v>
      </c>
      <c r="B10" s="133">
        <f t="shared" si="0"/>
        <v>6.8467021265435019E-3</v>
      </c>
      <c r="C10" s="133">
        <v>177.50085759244931</v>
      </c>
      <c r="D10" s="133">
        <f t="shared" si="1"/>
        <v>1.1267551194553092</v>
      </c>
      <c r="E10" s="139">
        <f t="shared" si="2"/>
        <v>2.2822340421811674E-5</v>
      </c>
    </row>
    <row r="11" spans="1:5" x14ac:dyDescent="0.25">
      <c r="A11" s="138">
        <v>40</v>
      </c>
      <c r="B11" s="133">
        <f t="shared" si="0"/>
        <v>1.3693404253087004E-2</v>
      </c>
      <c r="C11" s="133">
        <v>177.50085759244931</v>
      </c>
      <c r="D11" s="133">
        <f t="shared" si="1"/>
        <v>2.2535102389106183</v>
      </c>
      <c r="E11" s="139">
        <f t="shared" si="2"/>
        <v>4.5644680843623347E-5</v>
      </c>
    </row>
    <row r="12" spans="1:5" x14ac:dyDescent="0.25">
      <c r="A12" s="138">
        <v>60</v>
      </c>
      <c r="B12" s="133">
        <f t="shared" si="0"/>
        <v>2.0540106379630507E-2</v>
      </c>
      <c r="C12" s="133">
        <v>177.50085759244931</v>
      </c>
      <c r="D12" s="133">
        <f t="shared" si="1"/>
        <v>3.3802653583659272</v>
      </c>
      <c r="E12" s="139">
        <f t="shared" si="2"/>
        <v>6.8467021265435017E-5</v>
      </c>
    </row>
    <row r="13" spans="1:5" x14ac:dyDescent="0.25">
      <c r="A13" s="138">
        <v>80</v>
      </c>
      <c r="B13" s="133">
        <f t="shared" si="0"/>
        <v>2.7386808506174008E-2</v>
      </c>
      <c r="C13" s="133">
        <v>177.50085759244931</v>
      </c>
      <c r="D13" s="133">
        <f t="shared" si="1"/>
        <v>4.5070204778212366</v>
      </c>
      <c r="E13" s="139">
        <f t="shared" si="2"/>
        <v>9.1289361687246694E-5</v>
      </c>
    </row>
    <row r="14" spans="1:5" x14ac:dyDescent="0.25">
      <c r="A14" s="138">
        <v>100</v>
      </c>
      <c r="B14" s="133">
        <f t="shared" si="0"/>
        <v>3.4233510632717512E-2</v>
      </c>
      <c r="C14" s="133">
        <v>177.50085759244931</v>
      </c>
      <c r="D14" s="133">
        <f t="shared" si="1"/>
        <v>5.6337755972765455</v>
      </c>
      <c r="E14" s="139">
        <f t="shared" si="2"/>
        <v>1.1411170210905837E-4</v>
      </c>
    </row>
    <row r="15" spans="1:5" x14ac:dyDescent="0.25">
      <c r="A15" s="138">
        <v>120</v>
      </c>
      <c r="B15" s="133">
        <f t="shared" si="0"/>
        <v>4.1080212759261013E-2</v>
      </c>
      <c r="C15" s="133">
        <v>177.50085759244931</v>
      </c>
      <c r="D15" s="133">
        <f t="shared" si="1"/>
        <v>6.7605307167318545</v>
      </c>
      <c r="E15" s="139">
        <f t="shared" si="2"/>
        <v>1.3693404253087003E-4</v>
      </c>
    </row>
    <row r="16" spans="1:5" x14ac:dyDescent="0.25">
      <c r="A16" s="138">
        <v>140</v>
      </c>
      <c r="B16" s="133">
        <f t="shared" si="0"/>
        <v>4.7926914885804514E-2</v>
      </c>
      <c r="C16" s="133">
        <v>177.50085759244931</v>
      </c>
      <c r="D16" s="133">
        <f t="shared" si="1"/>
        <v>7.8872858361871634</v>
      </c>
      <c r="E16" s="139">
        <f t="shared" si="2"/>
        <v>1.5975638295268171E-4</v>
      </c>
    </row>
    <row r="17" spans="1:5" x14ac:dyDescent="0.25">
      <c r="A17" s="138">
        <v>160</v>
      </c>
      <c r="B17" s="133">
        <f t="shared" si="0"/>
        <v>5.4773617012348015E-2</v>
      </c>
      <c r="C17" s="133">
        <v>177.50085759244931</v>
      </c>
      <c r="D17" s="133">
        <f t="shared" si="1"/>
        <v>9.0140409556424732</v>
      </c>
      <c r="E17" s="139">
        <f t="shared" si="2"/>
        <v>1.8257872337449339E-4</v>
      </c>
    </row>
    <row r="18" spans="1:5" x14ac:dyDescent="0.25">
      <c r="A18" s="138">
        <v>180</v>
      </c>
      <c r="B18" s="133">
        <f t="shared" si="0"/>
        <v>6.1620319138891516E-2</v>
      </c>
      <c r="C18" s="133">
        <v>177.50085759244931</v>
      </c>
      <c r="D18" s="133">
        <f t="shared" si="1"/>
        <v>10.140796075097782</v>
      </c>
      <c r="E18" s="139">
        <f t="shared" si="2"/>
        <v>2.0540106379630507E-4</v>
      </c>
    </row>
    <row r="19" spans="1:5" x14ac:dyDescent="0.25">
      <c r="A19" s="138">
        <v>200</v>
      </c>
      <c r="B19" s="133">
        <f t="shared" si="0"/>
        <v>6.8467021265435024E-2</v>
      </c>
      <c r="C19" s="133">
        <v>177.50085759244931</v>
      </c>
      <c r="D19" s="133">
        <f t="shared" si="1"/>
        <v>11.267551194553091</v>
      </c>
      <c r="E19" s="139">
        <f t="shared" si="2"/>
        <v>2.2822340421811674E-4</v>
      </c>
    </row>
    <row r="20" spans="1:5" x14ac:dyDescent="0.25">
      <c r="A20" s="138">
        <v>220</v>
      </c>
      <c r="B20" s="133">
        <f t="shared" si="0"/>
        <v>7.5313723391978518E-2</v>
      </c>
      <c r="C20" s="133">
        <v>177.50085759244931</v>
      </c>
      <c r="D20" s="133">
        <f t="shared" si="1"/>
        <v>12.3943063140084</v>
      </c>
      <c r="E20" s="139">
        <f t="shared" si="2"/>
        <v>2.5104574463992842E-4</v>
      </c>
    </row>
    <row r="21" spans="1:5" x14ac:dyDescent="0.25">
      <c r="A21" s="138">
        <v>240</v>
      </c>
      <c r="B21" s="133">
        <f t="shared" si="0"/>
        <v>8.2160425518522026E-2</v>
      </c>
      <c r="C21" s="133">
        <v>177.50085759244931</v>
      </c>
      <c r="D21" s="133">
        <f t="shared" si="1"/>
        <v>13.521061433463709</v>
      </c>
      <c r="E21" s="139">
        <f t="shared" si="2"/>
        <v>2.7386808506174007E-4</v>
      </c>
    </row>
    <row r="22" spans="1:5" x14ac:dyDescent="0.25">
      <c r="A22" s="138">
        <v>260</v>
      </c>
      <c r="B22" s="133">
        <f>D22/(D23/B23)</f>
        <v>8.900712764506552E-2</v>
      </c>
      <c r="C22" s="133">
        <v>177.50085759244931</v>
      </c>
      <c r="D22" s="133">
        <f>(A22/(C22/100^2))/1000</f>
        <v>14.647816552919018</v>
      </c>
      <c r="E22" s="139">
        <f t="shared" si="2"/>
        <v>2.9669042548355172E-4</v>
      </c>
    </row>
    <row r="23" spans="1:5" ht="15.75" thickBot="1" x14ac:dyDescent="0.3">
      <c r="A23" s="140">
        <v>280</v>
      </c>
      <c r="B23" s="141">
        <v>9.6000000000000002E-2</v>
      </c>
      <c r="C23" s="141">
        <v>177.50085759244931</v>
      </c>
      <c r="D23" s="141">
        <v>15.798626764900256</v>
      </c>
      <c r="E23" s="142">
        <f>B23/300</f>
        <v>3.2000000000000003E-4</v>
      </c>
    </row>
    <row r="24" spans="1:5" ht="15.75" thickBot="1" x14ac:dyDescent="0.3"/>
    <row r="25" spans="1:5" ht="15.75" thickBot="1" x14ac:dyDescent="0.3">
      <c r="D25" s="146" t="s">
        <v>107</v>
      </c>
      <c r="E25" s="147">
        <f>+(D20-D12)/(E20-E12)</f>
        <v>49370.708640313293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SUMERGIDO </vt:lpstr>
      <vt:lpstr>E Sumergido</vt:lpstr>
      <vt:lpstr>VINIPEL TRANSPARENTE</vt:lpstr>
      <vt:lpstr>E Vin Trans</vt:lpstr>
      <vt:lpstr>VINIPEL NEGRO</vt:lpstr>
      <vt:lpstr>E Vin Negro</vt:lpstr>
      <vt:lpstr>INTEMPERIE</vt:lpstr>
      <vt:lpstr>E Intemperie</vt:lpstr>
      <vt:lpstr>INTEMPERIE!Área_de_impresión</vt:lpstr>
      <vt:lpstr>'SUMERGIDO '!Área_de_impresión</vt:lpstr>
      <vt:lpstr>'VINIPEL NEGRO'!Área_de_impresión</vt:lpstr>
      <vt:lpstr>'VINIPEL TRANSPARENTE'!Área_de_impresión</vt:lpstr>
      <vt:lpstr>INTEMPERIE!Títulos_a_imprimir</vt:lpstr>
      <vt:lpstr>'SUMERGIDO '!Títulos_a_imprimir</vt:lpstr>
      <vt:lpstr>'VINIPEL NEGRO'!Títulos_a_imprimir</vt:lpstr>
      <vt:lpstr>'VINIPEL TRANSPARENTE'!Títulos_a_imprimir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Emiro Lozano P.</dc:creator>
  <cp:lastModifiedBy>Jefferson Zapata Moreno</cp:lastModifiedBy>
  <cp:lastPrinted>2017-09-25T23:21:38Z</cp:lastPrinted>
  <dcterms:created xsi:type="dcterms:W3CDTF">2017-09-25T23:16:42Z</dcterms:created>
  <dcterms:modified xsi:type="dcterms:W3CDTF">2018-12-03T16:40:10Z</dcterms:modified>
</cp:coreProperties>
</file>