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126"/>
  <workbookPr filterPrivacy="1" defaultThemeVersion="124226"/>
  <xr:revisionPtr revIDLastSave="0" documentId="13_ncr:1_{F7A77952-8F2A-4BA4-BAB0-7AC4D0ACFEED}" xr6:coauthVersionLast="40" xr6:coauthVersionMax="40" xr10:uidLastSave="{00000000-0000-0000-0000-000000000000}"/>
  <bookViews>
    <workbookView xWindow="0" yWindow="0" windowWidth="15348" windowHeight="4152" tabRatio="800" firstSheet="3" activeTab="9" xr2:uid="{00000000-000D-0000-FFFF-FFFF00000000}"/>
  </bookViews>
  <sheets>
    <sheet name="Proyeccion" sheetId="1" r:id="rId1"/>
    <sheet name="Pozo-succion bom. 1" sheetId="8" r:id="rId2"/>
    <sheet name="Succion-elevado bom. 3" sheetId="36" r:id="rId3"/>
    <sheet name="Tanques Calculos" sheetId="32" r:id="rId4"/>
    <sheet name="Dotación tub. actual" sheetId="37" r:id="rId5"/>
    <sheet name="Masa actual" sheetId="50" r:id="rId6"/>
    <sheet name="Energia actual" sheetId="51" r:id="rId7"/>
    <sheet name="Dotación tub. propuesta" sheetId="39" r:id="rId8"/>
    <sheet name="Masa propuesta" sheetId="47" r:id="rId9"/>
    <sheet name="Energia propuesta" sheetId="48" r:id="rId10"/>
    <sheet name="Anclajes tub. propuesta" sheetId="41" r:id="rId11"/>
  </sheets>
  <externalReferences>
    <externalReference r:id="rId12"/>
  </externalReferences>
  <definedNames>
    <definedName name="deltap" localSheetId="6">#REF!</definedName>
    <definedName name="deltap" localSheetId="5">#REF!</definedName>
    <definedName name="deltap" localSheetId="8">#REF!</definedName>
    <definedName name="deltap">#REF!</definedName>
  </definedNames>
  <calcPr calcId="181029" iterate="1" iterateDelta="9.9999999999999995E-8"/>
</workbook>
</file>

<file path=xl/calcChain.xml><?xml version="1.0" encoding="utf-8"?>
<calcChain xmlns="http://schemas.openxmlformats.org/spreadsheetml/2006/main">
  <c r="BD4" i="32" l="1"/>
  <c r="BD32" i="32"/>
  <c r="AD9" i="32"/>
  <c r="AD8" i="32"/>
  <c r="AE9" i="32" l="1"/>
  <c r="K5" i="41" l="1"/>
  <c r="K6" i="41"/>
  <c r="K7" i="41"/>
  <c r="K8" i="41"/>
  <c r="K9" i="41"/>
  <c r="K10" i="41"/>
  <c r="K11" i="41"/>
  <c r="K12" i="41"/>
  <c r="K13" i="41"/>
  <c r="K14" i="41"/>
  <c r="K4" i="41"/>
  <c r="AG4" i="41" l="1"/>
  <c r="AE4" i="41"/>
  <c r="AG5" i="41"/>
  <c r="AE5" i="41"/>
  <c r="F13" i="41" l="1"/>
  <c r="F14" i="41"/>
  <c r="L14" i="41"/>
  <c r="T23" i="36" l="1"/>
  <c r="I116" i="50" l="1"/>
  <c r="I110" i="50"/>
  <c r="I111" i="50" s="1"/>
  <c r="I112" i="50" s="1"/>
  <c r="I101" i="50"/>
  <c r="I95" i="50"/>
  <c r="I96" i="50" s="1"/>
  <c r="I97" i="50" s="1"/>
  <c r="I86" i="50"/>
  <c r="I80" i="50"/>
  <c r="I81" i="50" s="1"/>
  <c r="I82" i="50" s="1"/>
  <c r="I71" i="50"/>
  <c r="I65" i="50"/>
  <c r="I66" i="50" s="1"/>
  <c r="I67" i="50" s="1"/>
  <c r="I56" i="50"/>
  <c r="I50" i="50"/>
  <c r="I51" i="50" s="1"/>
  <c r="I52" i="50" s="1"/>
  <c r="I41" i="50"/>
  <c r="I35" i="50"/>
  <c r="I36" i="50" s="1"/>
  <c r="I37" i="50" s="1"/>
  <c r="I26" i="50"/>
  <c r="I20" i="50"/>
  <c r="I21" i="50" s="1"/>
  <c r="I22" i="50" s="1"/>
  <c r="I5" i="50"/>
  <c r="I6" i="50" s="1"/>
  <c r="I7" i="50" s="1"/>
  <c r="I11" i="50"/>
  <c r="I3" i="50"/>
  <c r="N11" i="51"/>
  <c r="I113" i="50" s="1"/>
  <c r="K11" i="51"/>
  <c r="L11" i="51" s="1"/>
  <c r="N10" i="51"/>
  <c r="I98" i="50" s="1"/>
  <c r="K10" i="51"/>
  <c r="L10" i="51" s="1"/>
  <c r="N9" i="51"/>
  <c r="I83" i="50" s="1"/>
  <c r="K9" i="51"/>
  <c r="L9" i="51" s="1"/>
  <c r="AI6" i="51"/>
  <c r="AI7" i="51"/>
  <c r="AI8" i="51"/>
  <c r="AI9" i="51"/>
  <c r="AI10" i="51"/>
  <c r="AI11" i="51"/>
  <c r="AI5" i="51"/>
  <c r="AB6" i="51"/>
  <c r="AN6" i="51" s="1"/>
  <c r="AB7" i="51"/>
  <c r="AN7" i="51" s="1"/>
  <c r="AB8" i="51"/>
  <c r="AN8" i="51" s="1"/>
  <c r="AB9" i="51"/>
  <c r="AN9" i="51" s="1"/>
  <c r="AB10" i="51"/>
  <c r="AN10" i="51" s="1"/>
  <c r="AB11" i="51"/>
  <c r="AN11" i="51" s="1"/>
  <c r="AB5" i="51"/>
  <c r="AN5" i="51" s="1"/>
  <c r="AT77" i="50"/>
  <c r="AT76" i="50"/>
  <c r="AT75" i="50"/>
  <c r="AT74" i="50"/>
  <c r="AT73" i="50"/>
  <c r="AT72" i="50"/>
  <c r="AT71" i="50"/>
  <c r="AT70" i="50"/>
  <c r="AT66" i="50"/>
  <c r="AT65" i="50"/>
  <c r="AT64" i="50"/>
  <c r="AT63" i="50"/>
  <c r="AT62" i="50"/>
  <c r="AT61" i="50"/>
  <c r="AT60" i="50"/>
  <c r="AT59" i="50"/>
  <c r="AT55" i="50"/>
  <c r="AT54" i="50"/>
  <c r="AT53" i="50"/>
  <c r="AT52" i="50"/>
  <c r="AT51" i="50"/>
  <c r="AT50" i="50"/>
  <c r="AT49" i="50"/>
  <c r="AT48" i="50"/>
  <c r="AT44" i="50"/>
  <c r="AT43" i="50"/>
  <c r="AT42" i="50"/>
  <c r="AT41" i="50"/>
  <c r="AT40" i="50"/>
  <c r="AT39" i="50"/>
  <c r="AT38" i="50"/>
  <c r="AT37" i="50"/>
  <c r="AT33" i="50"/>
  <c r="AT32" i="50"/>
  <c r="AT31" i="50"/>
  <c r="AT30" i="50"/>
  <c r="AT29" i="50"/>
  <c r="AT28" i="50"/>
  <c r="AT27" i="50"/>
  <c r="AT26" i="50"/>
  <c r="AT22" i="50"/>
  <c r="AT21" i="50"/>
  <c r="AT20" i="50"/>
  <c r="AT19" i="50"/>
  <c r="AT18" i="50"/>
  <c r="AT17" i="50"/>
  <c r="AT16" i="50"/>
  <c r="AT15" i="50"/>
  <c r="AB6" i="50"/>
  <c r="AS7" i="50" s="1"/>
  <c r="AB7" i="50"/>
  <c r="AS71" i="50" s="1"/>
  <c r="AB8" i="50"/>
  <c r="AS72" i="50" s="1"/>
  <c r="AB9" i="50"/>
  <c r="AS9" i="50" s="1"/>
  <c r="AB10" i="50"/>
  <c r="AS77" i="50" s="1"/>
  <c r="AB11" i="50"/>
  <c r="AS10" i="50" s="1"/>
  <c r="AB5" i="50"/>
  <c r="AS4" i="50" s="1"/>
  <c r="N8" i="51"/>
  <c r="I68" i="50" s="1"/>
  <c r="K8" i="51"/>
  <c r="L8" i="51" s="1"/>
  <c r="N7" i="51"/>
  <c r="I53" i="50" s="1"/>
  <c r="K7" i="51"/>
  <c r="L7" i="51" s="1"/>
  <c r="N6" i="51"/>
  <c r="I38" i="50" s="1"/>
  <c r="K6" i="51"/>
  <c r="L6" i="51" s="1"/>
  <c r="N5" i="51"/>
  <c r="I23" i="50" s="1"/>
  <c r="K5" i="51"/>
  <c r="L5" i="51" s="1"/>
  <c r="N4" i="51"/>
  <c r="I8" i="50" s="1"/>
  <c r="Z22" i="51"/>
  <c r="Z21" i="51"/>
  <c r="Z20" i="51"/>
  <c r="Z19" i="51"/>
  <c r="Z18" i="51"/>
  <c r="Z17" i="51"/>
  <c r="Z16" i="51"/>
  <c r="Z15" i="51"/>
  <c r="Z14" i="51"/>
  <c r="Z13" i="51"/>
  <c r="Z12" i="51"/>
  <c r="AK11" i="51"/>
  <c r="Z11" i="51"/>
  <c r="AK10" i="51"/>
  <c r="Z10" i="51"/>
  <c r="AK9" i="51"/>
  <c r="Z9" i="51"/>
  <c r="AK8" i="51"/>
  <c r="Z8" i="51"/>
  <c r="AK7" i="51"/>
  <c r="Z7" i="51"/>
  <c r="AK6" i="51"/>
  <c r="Z6" i="51"/>
  <c r="AK5" i="51"/>
  <c r="Z5" i="51"/>
  <c r="Z4" i="51"/>
  <c r="K4" i="51"/>
  <c r="L4" i="51" s="1"/>
  <c r="Z3" i="51"/>
  <c r="E22" i="50"/>
  <c r="E21" i="50"/>
  <c r="E20" i="50"/>
  <c r="E19" i="50"/>
  <c r="E18" i="50"/>
  <c r="E17" i="50"/>
  <c r="E16" i="50"/>
  <c r="E15" i="50"/>
  <c r="E14" i="50"/>
  <c r="E13" i="50"/>
  <c r="E12" i="50"/>
  <c r="BB11" i="50"/>
  <c r="AT11" i="50"/>
  <c r="Z11" i="50"/>
  <c r="AE11" i="51" s="1"/>
  <c r="AF11" i="51" s="1"/>
  <c r="X11" i="50"/>
  <c r="E11" i="50"/>
  <c r="BB10" i="50"/>
  <c r="AT10" i="50"/>
  <c r="Z10" i="50"/>
  <c r="AA10" i="50" s="1"/>
  <c r="X10" i="50"/>
  <c r="AL11" i="50" s="1"/>
  <c r="AN11" i="50" s="1"/>
  <c r="E10" i="50"/>
  <c r="BB9" i="50"/>
  <c r="AT9" i="50"/>
  <c r="Z9" i="50"/>
  <c r="AA9" i="50" s="1"/>
  <c r="X9" i="50"/>
  <c r="E9" i="50"/>
  <c r="BB8" i="50"/>
  <c r="AT8" i="50"/>
  <c r="Z8" i="50"/>
  <c r="AA8" i="50" s="1"/>
  <c r="X8" i="50"/>
  <c r="AL6" i="50" s="1"/>
  <c r="AN6" i="50" s="1"/>
  <c r="E8" i="50"/>
  <c r="BB7" i="50"/>
  <c r="AT7" i="50"/>
  <c r="Z7" i="50"/>
  <c r="AE7" i="51" s="1"/>
  <c r="AF7" i="51" s="1"/>
  <c r="X7" i="50"/>
  <c r="AL5" i="50" s="1"/>
  <c r="AN5" i="50" s="1"/>
  <c r="E7" i="50"/>
  <c r="BB6" i="50"/>
  <c r="AT6" i="50"/>
  <c r="Z6" i="50"/>
  <c r="AA6" i="50" s="1"/>
  <c r="X6" i="50"/>
  <c r="AL7" i="50" s="1"/>
  <c r="AN7" i="50" s="1"/>
  <c r="E6" i="50"/>
  <c r="BB5" i="50"/>
  <c r="AT5" i="50"/>
  <c r="Z5" i="50"/>
  <c r="AE5" i="51" s="1"/>
  <c r="AF5" i="51" s="1"/>
  <c r="X5" i="50"/>
  <c r="AL4" i="50" s="1"/>
  <c r="AN4" i="50" s="1"/>
  <c r="E5" i="50"/>
  <c r="AT4" i="50"/>
  <c r="E4" i="50"/>
  <c r="E3" i="50"/>
  <c r="I8" i="47"/>
  <c r="I6" i="47"/>
  <c r="I7" i="47" s="1"/>
  <c r="N4" i="48"/>
  <c r="K4" i="48"/>
  <c r="L4" i="48" s="1"/>
  <c r="AS5" i="50" l="1"/>
  <c r="AS11" i="50"/>
  <c r="AG9" i="51"/>
  <c r="AS17" i="50"/>
  <c r="AS61" i="50"/>
  <c r="AS32" i="50"/>
  <c r="AG10" i="51"/>
  <c r="AE10" i="51"/>
  <c r="AF10" i="51" s="1"/>
  <c r="AS43" i="50"/>
  <c r="AE9" i="51"/>
  <c r="AF9" i="51" s="1"/>
  <c r="AG8" i="51"/>
  <c r="AS6" i="50"/>
  <c r="AS28" i="50"/>
  <c r="AE8" i="51"/>
  <c r="AG7" i="51"/>
  <c r="AS54" i="50"/>
  <c r="AG6" i="51"/>
  <c r="AS39" i="50"/>
  <c r="AE6" i="51"/>
  <c r="AF6" i="51" s="1"/>
  <c r="AS21" i="50"/>
  <c r="AG5" i="51"/>
  <c r="AS8" i="50"/>
  <c r="AS50" i="50"/>
  <c r="AG11" i="51"/>
  <c r="AS15" i="50"/>
  <c r="AS19" i="50"/>
  <c r="AS26" i="50"/>
  <c r="AS30" i="50"/>
  <c r="AS37" i="50"/>
  <c r="AS41" i="50"/>
  <c r="AS48" i="50"/>
  <c r="AS52" i="50"/>
  <c r="AS59" i="50"/>
  <c r="AS63" i="50"/>
  <c r="AS70" i="50"/>
  <c r="AS74" i="50"/>
  <c r="AS16" i="50"/>
  <c r="AS20" i="50"/>
  <c r="AS27" i="50"/>
  <c r="AS31" i="50"/>
  <c r="AS38" i="50"/>
  <c r="AS42" i="50"/>
  <c r="AS49" i="50"/>
  <c r="AS53" i="50"/>
  <c r="AS60" i="50"/>
  <c r="AS64" i="50"/>
  <c r="AS75" i="50"/>
  <c r="AS65" i="50"/>
  <c r="AS76" i="50"/>
  <c r="AS18" i="50"/>
  <c r="AS22" i="50"/>
  <c r="AS29" i="50"/>
  <c r="AS33" i="50"/>
  <c r="AS40" i="50"/>
  <c r="AS44" i="50"/>
  <c r="AS51" i="50"/>
  <c r="AS55" i="50"/>
  <c r="AS62" i="50"/>
  <c r="AS66" i="50"/>
  <c r="AS73" i="50"/>
  <c r="AC9" i="50"/>
  <c r="AE9" i="50" s="1"/>
  <c r="Z23" i="51"/>
  <c r="AF8" i="51"/>
  <c r="AC10" i="50"/>
  <c r="AE10" i="50" s="1"/>
  <c r="E23" i="50"/>
  <c r="AC6" i="50"/>
  <c r="AE6" i="50" s="1"/>
  <c r="AC8" i="50"/>
  <c r="AE8" i="50" s="1"/>
  <c r="AA7" i="50"/>
  <c r="AC7" i="50" s="1"/>
  <c r="AE7" i="50" s="1"/>
  <c r="AA11" i="50"/>
  <c r="AC11" i="50" s="1"/>
  <c r="AE11" i="50" s="1"/>
  <c r="AL9" i="50"/>
  <c r="AN9" i="50" s="1"/>
  <c r="AL10" i="50"/>
  <c r="AN10" i="50" s="1"/>
  <c r="AA5" i="50"/>
  <c r="AT154" i="47"/>
  <c r="AS154" i="47"/>
  <c r="AT153" i="47"/>
  <c r="AS153" i="47"/>
  <c r="AT152" i="47"/>
  <c r="AS152" i="47"/>
  <c r="AT151" i="47"/>
  <c r="AS151" i="47"/>
  <c r="AT150" i="47"/>
  <c r="AS150" i="47"/>
  <c r="AT149" i="47"/>
  <c r="AS149" i="47"/>
  <c r="AT148" i="47"/>
  <c r="AS148" i="47"/>
  <c r="AT147" i="47"/>
  <c r="AS147" i="47"/>
  <c r="AT146" i="47"/>
  <c r="AS146" i="47"/>
  <c r="AT145" i="47"/>
  <c r="AS145" i="47"/>
  <c r="AT144" i="47"/>
  <c r="AS144" i="47"/>
  <c r="AT143" i="47"/>
  <c r="AS143" i="47"/>
  <c r="AT142" i="47"/>
  <c r="AS142" i="47"/>
  <c r="AT141" i="47"/>
  <c r="AS141" i="47"/>
  <c r="AT140" i="47"/>
  <c r="AS140" i="47"/>
  <c r="AT139" i="47"/>
  <c r="AS139" i="47"/>
  <c r="AT138" i="47"/>
  <c r="AS138" i="47"/>
  <c r="AT137" i="47"/>
  <c r="AS137" i="47"/>
  <c r="AT136" i="47"/>
  <c r="AS136" i="47"/>
  <c r="AT132" i="47"/>
  <c r="AS132" i="47"/>
  <c r="AT131" i="47"/>
  <c r="AS131" i="47"/>
  <c r="AT130" i="47"/>
  <c r="AS130" i="47"/>
  <c r="AT129" i="47"/>
  <c r="AS129" i="47"/>
  <c r="AT128" i="47"/>
  <c r="AS128" i="47"/>
  <c r="AT127" i="47"/>
  <c r="AS127" i="47"/>
  <c r="AT126" i="47"/>
  <c r="AS126" i="47"/>
  <c r="AT125" i="47"/>
  <c r="AS125" i="47"/>
  <c r="AT124" i="47"/>
  <c r="AS124" i="47"/>
  <c r="AT123" i="47"/>
  <c r="AS123" i="47"/>
  <c r="AT122" i="47"/>
  <c r="AS122" i="47"/>
  <c r="AT121" i="47"/>
  <c r="AS121" i="47"/>
  <c r="AT120" i="47"/>
  <c r="AS120" i="47"/>
  <c r="AT119" i="47"/>
  <c r="AS119" i="47"/>
  <c r="AT118" i="47"/>
  <c r="AS118" i="47"/>
  <c r="AT117" i="47"/>
  <c r="AS117" i="47"/>
  <c r="AT116" i="47"/>
  <c r="AS116" i="47"/>
  <c r="AT115" i="47"/>
  <c r="AS115" i="47"/>
  <c r="AT114" i="47"/>
  <c r="AS114" i="47"/>
  <c r="AT110" i="47"/>
  <c r="AT109" i="47"/>
  <c r="AT108" i="47"/>
  <c r="AT107" i="47"/>
  <c r="AT106" i="47"/>
  <c r="AT105" i="47"/>
  <c r="AT104" i="47"/>
  <c r="AT103" i="47"/>
  <c r="AT102" i="47"/>
  <c r="AT101" i="47"/>
  <c r="AT100" i="47"/>
  <c r="AT99" i="47"/>
  <c r="AT98" i="47"/>
  <c r="AT97" i="47"/>
  <c r="AT96" i="47"/>
  <c r="AT95" i="47"/>
  <c r="AT94" i="47"/>
  <c r="AT93" i="47"/>
  <c r="AT92" i="47"/>
  <c r="AT88" i="47"/>
  <c r="AT87" i="47"/>
  <c r="AT86" i="47"/>
  <c r="AT85" i="47"/>
  <c r="AT84" i="47"/>
  <c r="AT83" i="47"/>
  <c r="AT82" i="47"/>
  <c r="AT81" i="47"/>
  <c r="AT80" i="47"/>
  <c r="AT79" i="47"/>
  <c r="AT78" i="47"/>
  <c r="AT77" i="47"/>
  <c r="AT76" i="47"/>
  <c r="AT75" i="47"/>
  <c r="AT74" i="47"/>
  <c r="AT73" i="47"/>
  <c r="AT72" i="47"/>
  <c r="AT71" i="47"/>
  <c r="AT70" i="47"/>
  <c r="AT66" i="47"/>
  <c r="AT65" i="47"/>
  <c r="AT64" i="47"/>
  <c r="AT63" i="47"/>
  <c r="AT62" i="47"/>
  <c r="AT61" i="47"/>
  <c r="AT60" i="47"/>
  <c r="AT59" i="47"/>
  <c r="AT58" i="47"/>
  <c r="AT57" i="47"/>
  <c r="AT56" i="47"/>
  <c r="AT55" i="47"/>
  <c r="AT54" i="47"/>
  <c r="AT53" i="47"/>
  <c r="AT52" i="47"/>
  <c r="AT51" i="47"/>
  <c r="AT50" i="47"/>
  <c r="AT49" i="47"/>
  <c r="AT48" i="47"/>
  <c r="AT44" i="47"/>
  <c r="AT43" i="47"/>
  <c r="AT42" i="47"/>
  <c r="AT41" i="47"/>
  <c r="AT40" i="47"/>
  <c r="AT39" i="47"/>
  <c r="AT38" i="47"/>
  <c r="AT37" i="47"/>
  <c r="AT36" i="47"/>
  <c r="AT35" i="47"/>
  <c r="AT34" i="47"/>
  <c r="AT33" i="47"/>
  <c r="AT32" i="47"/>
  <c r="AT31" i="47"/>
  <c r="AT30" i="47"/>
  <c r="AT29" i="47"/>
  <c r="AT28" i="47"/>
  <c r="AT27" i="47"/>
  <c r="AT26" i="47"/>
  <c r="AT5" i="47"/>
  <c r="AT6" i="47"/>
  <c r="AT7" i="47"/>
  <c r="AT8" i="47"/>
  <c r="AT9" i="47"/>
  <c r="AT10" i="47"/>
  <c r="AT11" i="47"/>
  <c r="AT12" i="47"/>
  <c r="AT13" i="47"/>
  <c r="AT14" i="47"/>
  <c r="AT15" i="47"/>
  <c r="AT16" i="47"/>
  <c r="AT17" i="47"/>
  <c r="AT18" i="47"/>
  <c r="AT19" i="47"/>
  <c r="AT20" i="47"/>
  <c r="AT21" i="47"/>
  <c r="AT22" i="47"/>
  <c r="AT4" i="47"/>
  <c r="Z22" i="48"/>
  <c r="Z21" i="48"/>
  <c r="Z20" i="48"/>
  <c r="Z19" i="48"/>
  <c r="Z18" i="48"/>
  <c r="Z17" i="48"/>
  <c r="Z16" i="48"/>
  <c r="Z15" i="48"/>
  <c r="Z14" i="48"/>
  <c r="Z13" i="48"/>
  <c r="Z12" i="48"/>
  <c r="Z11" i="48"/>
  <c r="Z10" i="48"/>
  <c r="Z9" i="48"/>
  <c r="Z8" i="48"/>
  <c r="Z7" i="48"/>
  <c r="Z6" i="48"/>
  <c r="Z5" i="48"/>
  <c r="Z4" i="48"/>
  <c r="Z3" i="48"/>
  <c r="E22" i="47"/>
  <c r="E21" i="47"/>
  <c r="E20" i="47"/>
  <c r="E19" i="47"/>
  <c r="E18" i="47"/>
  <c r="E17" i="47"/>
  <c r="E16" i="47"/>
  <c r="E15" i="47"/>
  <c r="E14" i="47"/>
  <c r="E13" i="47"/>
  <c r="E12" i="47"/>
  <c r="E11" i="47"/>
  <c r="E10" i="47"/>
  <c r="E9" i="47"/>
  <c r="E8" i="47"/>
  <c r="E7" i="47"/>
  <c r="E6" i="47"/>
  <c r="E5" i="47"/>
  <c r="E4" i="47"/>
  <c r="E3" i="47"/>
  <c r="AO10" i="50" l="1"/>
  <c r="AP10" i="50" s="1"/>
  <c r="AR10" i="50" s="1"/>
  <c r="AC5" i="50"/>
  <c r="AE5" i="50" s="1"/>
  <c r="AO6" i="50"/>
  <c r="AP6" i="50" s="1"/>
  <c r="AR6" i="50" s="1"/>
  <c r="AO4" i="50"/>
  <c r="AP4" i="50" s="1"/>
  <c r="AO7" i="50"/>
  <c r="AP7" i="50" s="1"/>
  <c r="AO11" i="50"/>
  <c r="AP11" i="50" s="1"/>
  <c r="AO5" i="50"/>
  <c r="AP5" i="50" s="1"/>
  <c r="AR5" i="50" s="1"/>
  <c r="AO9" i="50"/>
  <c r="AP9" i="50" s="1"/>
  <c r="AR9" i="50" s="1"/>
  <c r="Z23" i="48"/>
  <c r="E23" i="47"/>
  <c r="AK6" i="48" l="1"/>
  <c r="AK7" i="48"/>
  <c r="AK8" i="48"/>
  <c r="AK9" i="48"/>
  <c r="AK10" i="48"/>
  <c r="AK11" i="48"/>
  <c r="AK12" i="48"/>
  <c r="AK13" i="48"/>
  <c r="AK14" i="48"/>
  <c r="AK15" i="48"/>
  <c r="AK16" i="48"/>
  <c r="AK17" i="48"/>
  <c r="AK18" i="48"/>
  <c r="AK19" i="48"/>
  <c r="AK5" i="48"/>
  <c r="AI6" i="48"/>
  <c r="AI7" i="48"/>
  <c r="AI8" i="48"/>
  <c r="AI9" i="48"/>
  <c r="AI10" i="48"/>
  <c r="AI11" i="48"/>
  <c r="AI12" i="48"/>
  <c r="AI13" i="48"/>
  <c r="AI14" i="48"/>
  <c r="AI15" i="48"/>
  <c r="AI16" i="48"/>
  <c r="AI17" i="48"/>
  <c r="AI18" i="48"/>
  <c r="AI19" i="48"/>
  <c r="AI5" i="48"/>
  <c r="AG6" i="48"/>
  <c r="AG7" i="48"/>
  <c r="AG8" i="48"/>
  <c r="AG9" i="48"/>
  <c r="AG10" i="48"/>
  <c r="AG11" i="48"/>
  <c r="AG12" i="48"/>
  <c r="AG13" i="48"/>
  <c r="AG14" i="48"/>
  <c r="AG15" i="48"/>
  <c r="AG16" i="48"/>
  <c r="AG17" i="48"/>
  <c r="AG18" i="48"/>
  <c r="AG19" i="48"/>
  <c r="AG5" i="48"/>
  <c r="AB6" i="48"/>
  <c r="AN6" i="48" s="1"/>
  <c r="AB7" i="48"/>
  <c r="AN7" i="48" s="1"/>
  <c r="AB8" i="48"/>
  <c r="AN8" i="48" s="1"/>
  <c r="AB9" i="48"/>
  <c r="AN9" i="48" s="1"/>
  <c r="AB10" i="48"/>
  <c r="AN10" i="48" s="1"/>
  <c r="AB11" i="48"/>
  <c r="AN11" i="48" s="1"/>
  <c r="AB12" i="48"/>
  <c r="AN12" i="48" s="1"/>
  <c r="AB13" i="48"/>
  <c r="AN13" i="48" s="1"/>
  <c r="AB14" i="48"/>
  <c r="AN14" i="48" s="1"/>
  <c r="AB15" i="48"/>
  <c r="AN15" i="48" s="1"/>
  <c r="AB16" i="48"/>
  <c r="AN16" i="48" s="1"/>
  <c r="AB17" i="48"/>
  <c r="AN17" i="48" s="1"/>
  <c r="AB18" i="48"/>
  <c r="AN18" i="48" s="1"/>
  <c r="AB19" i="48"/>
  <c r="AN19" i="48" s="1"/>
  <c r="AB5" i="48"/>
  <c r="AN5" i="48" s="1"/>
  <c r="BB6" i="47"/>
  <c r="BB7" i="47"/>
  <c r="BB8" i="47"/>
  <c r="BB9" i="47"/>
  <c r="BB10" i="47"/>
  <c r="BB11" i="47"/>
  <c r="BB12" i="47"/>
  <c r="BB13" i="47"/>
  <c r="BB14" i="47"/>
  <c r="BB15" i="47"/>
  <c r="BB16" i="47"/>
  <c r="BB17" i="47"/>
  <c r="BB18" i="47"/>
  <c r="BB19" i="47"/>
  <c r="BB5" i="47"/>
  <c r="AS110" i="47"/>
  <c r="AS109" i="47"/>
  <c r="AS108" i="47"/>
  <c r="AS107" i="47"/>
  <c r="AS106" i="47"/>
  <c r="AS105" i="47"/>
  <c r="AS104" i="47"/>
  <c r="AS103" i="47"/>
  <c r="AS102" i="47"/>
  <c r="AS101" i="47"/>
  <c r="AS100" i="47"/>
  <c r="AS99" i="47"/>
  <c r="AS98" i="47"/>
  <c r="AS97" i="47"/>
  <c r="AS96" i="47"/>
  <c r="AS95" i="47"/>
  <c r="AS94" i="47"/>
  <c r="AS93" i="47"/>
  <c r="AS92" i="47"/>
  <c r="AS88" i="47"/>
  <c r="AS87" i="47"/>
  <c r="AS86" i="47"/>
  <c r="AS85" i="47"/>
  <c r="AS84" i="47"/>
  <c r="AS83" i="47"/>
  <c r="AS82" i="47"/>
  <c r="AS81" i="47"/>
  <c r="AS80" i="47"/>
  <c r="AS79" i="47"/>
  <c r="AS78" i="47"/>
  <c r="AS77" i="47"/>
  <c r="AS76" i="47"/>
  <c r="AS75" i="47"/>
  <c r="AS74" i="47"/>
  <c r="AS73" i="47"/>
  <c r="AS72" i="47"/>
  <c r="AS71" i="47"/>
  <c r="AS70" i="47"/>
  <c r="AS66" i="47"/>
  <c r="AS65" i="47"/>
  <c r="AS64" i="47"/>
  <c r="AS63" i="47"/>
  <c r="AS62" i="47"/>
  <c r="AS61" i="47"/>
  <c r="AS60" i="47"/>
  <c r="AS59" i="47"/>
  <c r="AS58" i="47"/>
  <c r="AS57" i="47"/>
  <c r="AS56" i="47"/>
  <c r="AS55" i="47"/>
  <c r="AS54" i="47"/>
  <c r="AS53" i="47"/>
  <c r="AS52" i="47"/>
  <c r="AS51" i="47"/>
  <c r="AS50" i="47"/>
  <c r="AS49" i="47"/>
  <c r="AS48" i="47"/>
  <c r="AS44" i="47"/>
  <c r="AS43" i="47"/>
  <c r="AS42" i="47"/>
  <c r="AS41" i="47"/>
  <c r="AS40" i="47"/>
  <c r="AS39" i="47"/>
  <c r="AS38" i="47"/>
  <c r="AS37" i="47"/>
  <c r="AS36" i="47"/>
  <c r="AS35" i="47"/>
  <c r="AS34" i="47"/>
  <c r="AS33" i="47"/>
  <c r="AS32" i="47"/>
  <c r="AS31" i="47"/>
  <c r="AS30" i="47"/>
  <c r="AS29" i="47"/>
  <c r="AS28" i="47"/>
  <c r="AS27" i="47"/>
  <c r="AS26" i="47"/>
  <c r="AS22" i="47"/>
  <c r="AS21" i="47"/>
  <c r="AS20" i="47"/>
  <c r="AS19" i="47"/>
  <c r="Z19" i="47"/>
  <c r="AE19" i="48" s="1"/>
  <c r="AF19" i="48" s="1"/>
  <c r="X19" i="47"/>
  <c r="AL21" i="47" s="1"/>
  <c r="AN21" i="47" s="1"/>
  <c r="AS18" i="47"/>
  <c r="Z18" i="47"/>
  <c r="AA18" i="47" s="1"/>
  <c r="X18" i="47"/>
  <c r="AL20" i="47" s="1"/>
  <c r="AN20" i="47" s="1"/>
  <c r="AS17" i="47"/>
  <c r="Z17" i="47"/>
  <c r="AA17" i="47" s="1"/>
  <c r="X17" i="47"/>
  <c r="AL19" i="47" s="1"/>
  <c r="AN19" i="47" s="1"/>
  <c r="AS16" i="47"/>
  <c r="Z16" i="47"/>
  <c r="AA16" i="47" s="1"/>
  <c r="X16" i="47"/>
  <c r="AL11" i="47" s="1"/>
  <c r="AN11" i="47" s="1"/>
  <c r="AS15" i="47"/>
  <c r="Z15" i="47"/>
  <c r="AE15" i="48" s="1"/>
  <c r="AF15" i="48" s="1"/>
  <c r="X15" i="47"/>
  <c r="AS14" i="47"/>
  <c r="Z14" i="47"/>
  <c r="AE14" i="48" s="1"/>
  <c r="AF14" i="48" s="1"/>
  <c r="X14" i="47"/>
  <c r="AS13" i="47"/>
  <c r="Z13" i="47"/>
  <c r="AA13" i="47" s="1"/>
  <c r="X13" i="47"/>
  <c r="AL10" i="47" s="1"/>
  <c r="AN10" i="47" s="1"/>
  <c r="AS12" i="47"/>
  <c r="Z12" i="47"/>
  <c r="AA12" i="47" s="1"/>
  <c r="X12" i="47"/>
  <c r="AL13" i="47" s="1"/>
  <c r="AN13" i="47" s="1"/>
  <c r="AS11" i="47"/>
  <c r="Z11" i="47"/>
  <c r="AA11" i="47" s="1"/>
  <c r="X11" i="47"/>
  <c r="AL9" i="47" s="1"/>
  <c r="AN9" i="47" s="1"/>
  <c r="AS10" i="47"/>
  <c r="Z10" i="47"/>
  <c r="AA10" i="47" s="1"/>
  <c r="X10" i="47"/>
  <c r="AL12" i="47" s="1"/>
  <c r="AN12" i="47" s="1"/>
  <c r="AS9" i="47"/>
  <c r="Z9" i="47"/>
  <c r="AA9" i="47" s="1"/>
  <c r="X9" i="47"/>
  <c r="AL7" i="47" s="1"/>
  <c r="AN7" i="47" s="1"/>
  <c r="AS8" i="47"/>
  <c r="Z8" i="47"/>
  <c r="AA8" i="47" s="1"/>
  <c r="X8" i="47"/>
  <c r="AL6" i="47" s="1"/>
  <c r="AN6" i="47" s="1"/>
  <c r="AS7" i="47"/>
  <c r="Z7" i="47"/>
  <c r="AA7" i="47" s="1"/>
  <c r="X7" i="47"/>
  <c r="AL5" i="47" s="1"/>
  <c r="AN5" i="47" s="1"/>
  <c r="AS6" i="47"/>
  <c r="Z6" i="47"/>
  <c r="AA6" i="47" s="1"/>
  <c r="X6" i="47"/>
  <c r="AL22" i="47" s="1"/>
  <c r="AN22" i="47" s="1"/>
  <c r="AS5" i="47"/>
  <c r="Z5" i="47"/>
  <c r="AA5" i="47" s="1"/>
  <c r="X5" i="47"/>
  <c r="AL4" i="47" s="1"/>
  <c r="AN4" i="47" s="1"/>
  <c r="AS4" i="47"/>
  <c r="AE7" i="48" l="1"/>
  <c r="AF7" i="48" s="1"/>
  <c r="AE6" i="48"/>
  <c r="AF6" i="48" s="1"/>
  <c r="AE13" i="48"/>
  <c r="AF13" i="48" s="1"/>
  <c r="AE5" i="48"/>
  <c r="AF5" i="48" s="1"/>
  <c r="AE12" i="48"/>
  <c r="AF12" i="48" s="1"/>
  <c r="AE11" i="48"/>
  <c r="AF11" i="48" s="1"/>
  <c r="AE18" i="48"/>
  <c r="AF18" i="48" s="1"/>
  <c r="AE10" i="48"/>
  <c r="AF10" i="48" s="1"/>
  <c r="AE17" i="48"/>
  <c r="AF17" i="48" s="1"/>
  <c r="AE9" i="48"/>
  <c r="AF9" i="48" s="1"/>
  <c r="AE16" i="48"/>
  <c r="AF16" i="48" s="1"/>
  <c r="AE8" i="48"/>
  <c r="AF8" i="48" s="1"/>
  <c r="AC10" i="47"/>
  <c r="AE10" i="47" s="1"/>
  <c r="AO4" i="47"/>
  <c r="AP4" i="47" s="1"/>
  <c r="AC9" i="47"/>
  <c r="AE9" i="47" s="1"/>
  <c r="AC11" i="47"/>
  <c r="AE11" i="47" s="1"/>
  <c r="AC13" i="47"/>
  <c r="AE13" i="47" s="1"/>
  <c r="AO22" i="47"/>
  <c r="AP22" i="47" s="1"/>
  <c r="AC8" i="47"/>
  <c r="AE8" i="47" s="1"/>
  <c r="AC12" i="47"/>
  <c r="AE12" i="47" s="1"/>
  <c r="AC7" i="47"/>
  <c r="AE7" i="47" s="1"/>
  <c r="AO19" i="47"/>
  <c r="AP19" i="47" s="1"/>
  <c r="AO11" i="47"/>
  <c r="AP11" i="47" s="1"/>
  <c r="AO21" i="47"/>
  <c r="AP21" i="47" s="1"/>
  <c r="AO12" i="47"/>
  <c r="AP12" i="47" s="1"/>
  <c r="AO5" i="47"/>
  <c r="AP5" i="47" s="1"/>
  <c r="AO20" i="47"/>
  <c r="AP20" i="47" s="1"/>
  <c r="AL14" i="47"/>
  <c r="AN14" i="47" s="1"/>
  <c r="AO6" i="47"/>
  <c r="AP6" i="47" s="1"/>
  <c r="AA19" i="47"/>
  <c r="AC19" i="47" s="1"/>
  <c r="AE19" i="47" s="1"/>
  <c r="AO10" i="47"/>
  <c r="AP10" i="47" s="1"/>
  <c r="AO13" i="47"/>
  <c r="AP13" i="47" s="1"/>
  <c r="AO7" i="47"/>
  <c r="AP7" i="47" s="1"/>
  <c r="AL15" i="47"/>
  <c r="AN15" i="47" s="1"/>
  <c r="AO9" i="47"/>
  <c r="AP9" i="47" s="1"/>
  <c r="AA14" i="47"/>
  <c r="AC14" i="47" s="1"/>
  <c r="AE14" i="47" s="1"/>
  <c r="AA15" i="47"/>
  <c r="AC15" i="47" s="1"/>
  <c r="AE15" i="47" s="1"/>
  <c r="AC17" i="47"/>
  <c r="AE17" i="47" s="1"/>
  <c r="AC16" i="47"/>
  <c r="AE16" i="47" s="1"/>
  <c r="AC18" i="47"/>
  <c r="AE18" i="47" s="1"/>
  <c r="AC5" i="47"/>
  <c r="AE5" i="47" s="1"/>
  <c r="AC6" i="47"/>
  <c r="AE6" i="47" s="1"/>
  <c r="AO15" i="47" l="1"/>
  <c r="AP15" i="47" s="1"/>
  <c r="AO14" i="47"/>
  <c r="AP14" i="47" s="1"/>
  <c r="F5" i="41" l="1"/>
  <c r="F6" i="41"/>
  <c r="F7" i="41"/>
  <c r="F8" i="41"/>
  <c r="F9" i="41"/>
  <c r="F10" i="41"/>
  <c r="F11" i="41"/>
  <c r="F12" i="41"/>
  <c r="F4" i="41"/>
  <c r="L5" i="41"/>
  <c r="L6" i="41"/>
  <c r="L12" i="41"/>
  <c r="L13" i="41"/>
  <c r="L4" i="41"/>
  <c r="L11" i="41" l="1"/>
  <c r="L9" i="41"/>
  <c r="L7" i="41"/>
  <c r="L10" i="41"/>
  <c r="L8" i="41"/>
  <c r="BJ41" i="32" l="1"/>
  <c r="BO50" i="32"/>
  <c r="F7" i="39" l="1"/>
  <c r="T6" i="47" s="1"/>
  <c r="T20" i="39"/>
  <c r="S20" i="39"/>
  <c r="Q20" i="39"/>
  <c r="T19" i="39"/>
  <c r="S19" i="39"/>
  <c r="Q19" i="39"/>
  <c r="T18" i="39"/>
  <c r="S18" i="39"/>
  <c r="Q18" i="39"/>
  <c r="T17" i="39"/>
  <c r="S17" i="39"/>
  <c r="Q17" i="39"/>
  <c r="T16" i="39"/>
  <c r="S16" i="39"/>
  <c r="Q16" i="39"/>
  <c r="M16" i="39"/>
  <c r="L16" i="39"/>
  <c r="J16" i="39"/>
  <c r="E16" i="39"/>
  <c r="F16" i="39" s="1"/>
  <c r="T15" i="47" s="1"/>
  <c r="T15" i="39"/>
  <c r="S15" i="39"/>
  <c r="Q15" i="39"/>
  <c r="M15" i="39"/>
  <c r="L15" i="39"/>
  <c r="J15" i="39"/>
  <c r="E15" i="39"/>
  <c r="F15" i="39" s="1"/>
  <c r="T14" i="47" s="1"/>
  <c r="T14" i="39"/>
  <c r="S14" i="39"/>
  <c r="Q14" i="39"/>
  <c r="M14" i="39"/>
  <c r="L14" i="39"/>
  <c r="J14" i="39"/>
  <c r="E14" i="39"/>
  <c r="F14" i="39" s="1"/>
  <c r="T13" i="47" s="1"/>
  <c r="T13" i="39"/>
  <c r="S13" i="39"/>
  <c r="Q13" i="39"/>
  <c r="M13" i="39"/>
  <c r="L13" i="39"/>
  <c r="J13" i="39"/>
  <c r="E13" i="39"/>
  <c r="F13" i="39" s="1"/>
  <c r="T12" i="47" s="1"/>
  <c r="T12" i="39"/>
  <c r="S12" i="39"/>
  <c r="Q12" i="39"/>
  <c r="M12" i="39"/>
  <c r="L12" i="39"/>
  <c r="J12" i="39"/>
  <c r="E12" i="39"/>
  <c r="F12" i="39" s="1"/>
  <c r="T11" i="47" s="1"/>
  <c r="T11" i="39"/>
  <c r="S11" i="39"/>
  <c r="Q11" i="39"/>
  <c r="M11" i="39"/>
  <c r="L11" i="39"/>
  <c r="J11" i="39"/>
  <c r="E11" i="39"/>
  <c r="F11" i="39" s="1"/>
  <c r="T10" i="47" s="1"/>
  <c r="T10" i="39"/>
  <c r="S10" i="39"/>
  <c r="Q10" i="39"/>
  <c r="M10" i="39"/>
  <c r="L10" i="39"/>
  <c r="J10" i="39"/>
  <c r="E10" i="39"/>
  <c r="F10" i="39" s="1"/>
  <c r="T9" i="47" s="1"/>
  <c r="T9" i="39"/>
  <c r="S9" i="39"/>
  <c r="Q9" i="39"/>
  <c r="M9" i="39"/>
  <c r="L9" i="39"/>
  <c r="J9" i="39"/>
  <c r="E9" i="39"/>
  <c r="F9" i="39" s="1"/>
  <c r="T8" i="47" s="1"/>
  <c r="T8" i="39"/>
  <c r="S8" i="39"/>
  <c r="Q8" i="39"/>
  <c r="M8" i="39"/>
  <c r="L8" i="39"/>
  <c r="J8" i="39"/>
  <c r="E8" i="39"/>
  <c r="F8" i="39" s="1"/>
  <c r="T7" i="47" s="1"/>
  <c r="T7" i="39"/>
  <c r="S7" i="39"/>
  <c r="Q7" i="39"/>
  <c r="M7" i="39"/>
  <c r="L7" i="39"/>
  <c r="J7" i="39"/>
  <c r="T6" i="39"/>
  <c r="S6" i="39"/>
  <c r="Q6" i="39"/>
  <c r="M6" i="39"/>
  <c r="L6" i="39"/>
  <c r="J6" i="39"/>
  <c r="E6" i="39"/>
  <c r="F6" i="39" s="1"/>
  <c r="T5" i="47" s="1"/>
  <c r="T5" i="39"/>
  <c r="S5" i="39"/>
  <c r="Q5" i="39"/>
  <c r="M5" i="39"/>
  <c r="L5" i="39"/>
  <c r="J5" i="39"/>
  <c r="E5" i="39"/>
  <c r="F5" i="39" s="1"/>
  <c r="T4" i="47" s="1"/>
  <c r="T16" i="47" l="1"/>
  <c r="I4" i="47"/>
  <c r="I12" i="47" s="1"/>
  <c r="F4" i="48"/>
  <c r="Q6" i="37"/>
  <c r="Q7" i="37"/>
  <c r="Q8" i="37"/>
  <c r="Q9" i="37"/>
  <c r="Q10" i="37"/>
  <c r="Q11" i="37"/>
  <c r="Q12" i="37"/>
  <c r="Q13" i="37"/>
  <c r="Q14" i="37"/>
  <c r="Q15" i="37"/>
  <c r="Q16" i="37"/>
  <c r="Q17" i="37"/>
  <c r="Q18" i="37"/>
  <c r="Q19" i="37"/>
  <c r="Q20" i="37"/>
  <c r="Q5" i="37"/>
  <c r="T6" i="37"/>
  <c r="T7" i="37"/>
  <c r="T8" i="37"/>
  <c r="T9" i="37"/>
  <c r="T10" i="37"/>
  <c r="T11" i="37"/>
  <c r="T12" i="37"/>
  <c r="T13" i="37"/>
  <c r="T14" i="37"/>
  <c r="T15" i="37"/>
  <c r="T16" i="37"/>
  <c r="T17" i="37"/>
  <c r="T18" i="37"/>
  <c r="T19" i="37"/>
  <c r="T20" i="37"/>
  <c r="S6" i="37"/>
  <c r="S7" i="37"/>
  <c r="S8" i="37"/>
  <c r="S9" i="37"/>
  <c r="S10" i="37"/>
  <c r="S11" i="37"/>
  <c r="S12" i="37"/>
  <c r="S13" i="37"/>
  <c r="S14" i="37"/>
  <c r="S15" i="37"/>
  <c r="S16" i="37"/>
  <c r="S17" i="37"/>
  <c r="S18" i="37"/>
  <c r="S19" i="37"/>
  <c r="S20" i="37"/>
  <c r="S5" i="37"/>
  <c r="T5" i="37"/>
  <c r="M6" i="37"/>
  <c r="M7" i="37"/>
  <c r="M8" i="37"/>
  <c r="M9" i="37"/>
  <c r="M10" i="37"/>
  <c r="M11" i="37"/>
  <c r="M12" i="37"/>
  <c r="M13" i="37"/>
  <c r="M14" i="37"/>
  <c r="M15" i="37"/>
  <c r="M16" i="37"/>
  <c r="M17" i="37"/>
  <c r="M18" i="37"/>
  <c r="M5" i="37"/>
  <c r="L6" i="37"/>
  <c r="L7" i="37"/>
  <c r="L8" i="37"/>
  <c r="L9" i="37"/>
  <c r="L10" i="37"/>
  <c r="L11" i="37"/>
  <c r="L12" i="37"/>
  <c r="L13" i="37"/>
  <c r="L14" i="37"/>
  <c r="L15" i="37"/>
  <c r="L16" i="37"/>
  <c r="L17" i="37"/>
  <c r="L18" i="37"/>
  <c r="L5" i="37"/>
  <c r="J18" i="37"/>
  <c r="F6" i="51" s="1"/>
  <c r="I34" i="50" s="1"/>
  <c r="E18" i="37"/>
  <c r="F18" i="37" s="1"/>
  <c r="T17" i="50" s="1"/>
  <c r="I5" i="51" s="1"/>
  <c r="J17" i="37"/>
  <c r="E17" i="37"/>
  <c r="I6" i="51" l="1"/>
  <c r="D6" i="51"/>
  <c r="I33" i="50" s="1"/>
  <c r="I42" i="50" s="1"/>
  <c r="F5" i="51"/>
  <c r="I19" i="50" s="1"/>
  <c r="F17" i="37"/>
  <c r="T16" i="50" s="1"/>
  <c r="M6" i="51" l="1"/>
  <c r="I43" i="50"/>
  <c r="I28" i="50"/>
  <c r="M5" i="51"/>
  <c r="J16" i="37"/>
  <c r="E16" i="37"/>
  <c r="F16" i="37" s="1"/>
  <c r="T15" i="50" s="1"/>
  <c r="G15" i="37"/>
  <c r="J15" i="37" s="1"/>
  <c r="F10" i="51" s="1"/>
  <c r="I94" i="50" s="1"/>
  <c r="G14" i="37"/>
  <c r="J14" i="37" s="1"/>
  <c r="G13" i="37"/>
  <c r="J13" i="37" s="1"/>
  <c r="F11" i="51" s="1"/>
  <c r="I109" i="50" s="1"/>
  <c r="G12" i="37"/>
  <c r="J12" i="37" s="1"/>
  <c r="D11" i="51" s="1"/>
  <c r="I108" i="50" s="1"/>
  <c r="G11" i="37"/>
  <c r="J11" i="37" s="1"/>
  <c r="G10" i="37"/>
  <c r="J10" i="37" s="1"/>
  <c r="G9" i="37"/>
  <c r="J9" i="37" s="1"/>
  <c r="G8" i="37"/>
  <c r="J8" i="37" s="1"/>
  <c r="G7" i="37"/>
  <c r="J7" i="37" s="1"/>
  <c r="F8" i="51" s="1"/>
  <c r="I64" i="50" s="1"/>
  <c r="G6" i="37"/>
  <c r="J6" i="37" s="1"/>
  <c r="G5" i="37"/>
  <c r="J5" i="37" s="1"/>
  <c r="I117" i="50" l="1"/>
  <c r="F9" i="51"/>
  <c r="I79" i="50" s="1"/>
  <c r="D10" i="51"/>
  <c r="I93" i="50" s="1"/>
  <c r="I102" i="50" s="1"/>
  <c r="H5" i="51"/>
  <c r="R5" i="51"/>
  <c r="I30" i="50"/>
  <c r="I29" i="50"/>
  <c r="F7" i="51"/>
  <c r="I49" i="50" s="1"/>
  <c r="D9" i="51"/>
  <c r="I78" i="50" s="1"/>
  <c r="D8" i="51"/>
  <c r="I63" i="50" s="1"/>
  <c r="I72" i="50" s="1"/>
  <c r="I44" i="50"/>
  <c r="I45" i="50"/>
  <c r="F4" i="51"/>
  <c r="I4" i="50" s="1"/>
  <c r="I12" i="50" s="1"/>
  <c r="D5" i="51"/>
  <c r="I18" i="50" s="1"/>
  <c r="I27" i="50" s="1"/>
  <c r="D7" i="51"/>
  <c r="I48" i="50" s="1"/>
  <c r="H6" i="51"/>
  <c r="R6" i="51"/>
  <c r="E6" i="37"/>
  <c r="F6" i="37" s="1"/>
  <c r="T5" i="50" s="1"/>
  <c r="E7" i="37"/>
  <c r="F7" i="37" s="1"/>
  <c r="T6" i="50" s="1"/>
  <c r="E8" i="37"/>
  <c r="F8" i="37" s="1"/>
  <c r="T7" i="50" s="1"/>
  <c r="E9" i="37"/>
  <c r="F9" i="37" s="1"/>
  <c r="T8" i="50" s="1"/>
  <c r="E10" i="37"/>
  <c r="F10" i="37" s="1"/>
  <c r="T9" i="50" s="1"/>
  <c r="E11" i="37"/>
  <c r="F11" i="37" s="1"/>
  <c r="T10" i="50" s="1"/>
  <c r="E12" i="37"/>
  <c r="F12" i="37" s="1"/>
  <c r="T11" i="50" s="1"/>
  <c r="E13" i="37"/>
  <c r="F13" i="37" s="1"/>
  <c r="T12" i="50" s="1"/>
  <c r="E14" i="37"/>
  <c r="F14" i="37" s="1"/>
  <c r="T13" i="50" s="1"/>
  <c r="E15" i="37"/>
  <c r="F15" i="37" s="1"/>
  <c r="T14" i="50" s="1"/>
  <c r="E5" i="37"/>
  <c r="F5" i="37" s="1"/>
  <c r="I87" i="50" l="1"/>
  <c r="I57" i="50"/>
  <c r="T4" i="50"/>
  <c r="T18" i="50" s="1"/>
  <c r="I4" i="51" s="1"/>
  <c r="BM4" i="36"/>
  <c r="I13" i="50" l="1"/>
  <c r="I7" i="51"/>
  <c r="R23" i="36"/>
  <c r="M7" i="51" l="1"/>
  <c r="I58" i="50"/>
  <c r="AK11" i="36"/>
  <c r="AL11" i="36"/>
  <c r="I60" i="50" l="1"/>
  <c r="I59" i="50"/>
  <c r="H7" i="51"/>
  <c r="R7" i="51"/>
  <c r="T5" i="8"/>
  <c r="T8" i="8"/>
  <c r="T9" i="8"/>
  <c r="T10" i="8"/>
  <c r="T13" i="8"/>
  <c r="T14" i="8"/>
  <c r="T17" i="8"/>
  <c r="T18" i="8"/>
  <c r="T20" i="8"/>
  <c r="T4" i="8"/>
  <c r="T23" i="8"/>
  <c r="BJ7" i="32" l="1"/>
  <c r="BO32" i="32"/>
  <c r="BO35" i="32"/>
  <c r="BO37" i="32"/>
  <c r="BO38" i="32"/>
  <c r="BO40" i="32"/>
  <c r="BO41" i="32"/>
  <c r="BO43" i="32"/>
  <c r="BO44" i="32"/>
  <c r="BO45" i="32"/>
  <c r="BO46" i="32"/>
  <c r="BO47" i="32"/>
  <c r="BO48" i="32"/>
  <c r="BO31" i="32"/>
  <c r="BJ38" i="32" l="1"/>
  <c r="DT122" i="36"/>
  <c r="DS121" i="36"/>
  <c r="DT121" i="36" s="1"/>
  <c r="DS120" i="36"/>
  <c r="DT120" i="36" s="1"/>
  <c r="DS119" i="36"/>
  <c r="DT119" i="36" s="1"/>
  <c r="DS118" i="36"/>
  <c r="DT118" i="36" s="1"/>
  <c r="DS117" i="36"/>
  <c r="DT117" i="36" s="1"/>
  <c r="DS116" i="36"/>
  <c r="DT116" i="36" s="1"/>
  <c r="DS115" i="36"/>
  <c r="DT115" i="36" s="1"/>
  <c r="DS114" i="36"/>
  <c r="DT114" i="36" s="1"/>
  <c r="DS113" i="36"/>
  <c r="DT113" i="36" s="1"/>
  <c r="DT112" i="36"/>
  <c r="DS111" i="36"/>
  <c r="DT111" i="36" s="1"/>
  <c r="DS110" i="36"/>
  <c r="DT110" i="36" s="1"/>
  <c r="DS109" i="36"/>
  <c r="DT109" i="36" s="1"/>
  <c r="DS108" i="36"/>
  <c r="DT108" i="36" s="1"/>
  <c r="DS107" i="36"/>
  <c r="DT107" i="36" s="1"/>
  <c r="DS106" i="36"/>
  <c r="DT106" i="36" s="1"/>
  <c r="DS105" i="36"/>
  <c r="DT105" i="36" s="1"/>
  <c r="DS104" i="36"/>
  <c r="DT104" i="36" s="1"/>
  <c r="DS103" i="36"/>
  <c r="DT103" i="36" s="1"/>
  <c r="DT102" i="36"/>
  <c r="DS101" i="36"/>
  <c r="DT101" i="36" s="1"/>
  <c r="DS100" i="36"/>
  <c r="DT100" i="36" s="1"/>
  <c r="DS99" i="36"/>
  <c r="DT99" i="36" s="1"/>
  <c r="DS98" i="36"/>
  <c r="DT98" i="36" s="1"/>
  <c r="DT97" i="36"/>
  <c r="DS96" i="36"/>
  <c r="DT96" i="36" s="1"/>
  <c r="DS95" i="36"/>
  <c r="DT95" i="36" s="1"/>
  <c r="DS94" i="36"/>
  <c r="DT94" i="36" s="1"/>
  <c r="DS93" i="36"/>
  <c r="DT93" i="36" s="1"/>
  <c r="DT92" i="36"/>
  <c r="DS91" i="36"/>
  <c r="DT91" i="36" s="1"/>
  <c r="DS90" i="36"/>
  <c r="DT90" i="36" s="1"/>
  <c r="DS89" i="36"/>
  <c r="DT89" i="36" s="1"/>
  <c r="DS88" i="36"/>
  <c r="DT88" i="36" s="1"/>
  <c r="DT87" i="36"/>
  <c r="DS86" i="36"/>
  <c r="DT86" i="36" s="1"/>
  <c r="DS85" i="36"/>
  <c r="DT85" i="36" s="1"/>
  <c r="BW17" i="36" s="1"/>
  <c r="DS84" i="36"/>
  <c r="DT84" i="36" s="1"/>
  <c r="DS83" i="36"/>
  <c r="DT83" i="36" s="1"/>
  <c r="DT82" i="36"/>
  <c r="DS81" i="36"/>
  <c r="DT81" i="36" s="1"/>
  <c r="DS80" i="36"/>
  <c r="DT80" i="36" s="1"/>
  <c r="DS79" i="36"/>
  <c r="DT79" i="36" s="1"/>
  <c r="DS78" i="36"/>
  <c r="DT78" i="36" s="1"/>
  <c r="DT77" i="36"/>
  <c r="DS76" i="36"/>
  <c r="DT76" i="36" s="1"/>
  <c r="DS75" i="36"/>
  <c r="DT75" i="36" s="1"/>
  <c r="DS74" i="36"/>
  <c r="DT74" i="36" s="1"/>
  <c r="DS73" i="36"/>
  <c r="DT73" i="36" s="1"/>
  <c r="DT72" i="36"/>
  <c r="R22" i="36"/>
  <c r="R21" i="36"/>
  <c r="T20" i="36"/>
  <c r="R19" i="36"/>
  <c r="T18" i="36"/>
  <c r="T17" i="36"/>
  <c r="R17" i="36"/>
  <c r="R15" i="36"/>
  <c r="T14" i="36"/>
  <c r="R14" i="36"/>
  <c r="T13" i="36"/>
  <c r="R13" i="36"/>
  <c r="R11" i="36"/>
  <c r="I11" i="36"/>
  <c r="BG4" i="36" s="1"/>
  <c r="AL10" i="36"/>
  <c r="AK10" i="36"/>
  <c r="T10" i="36"/>
  <c r="R10" i="36"/>
  <c r="M10" i="36"/>
  <c r="BW9" i="36"/>
  <c r="AL9" i="36"/>
  <c r="AK9" i="36"/>
  <c r="T9" i="36"/>
  <c r="R9" i="36"/>
  <c r="AL8" i="36"/>
  <c r="AK8" i="36"/>
  <c r="T8" i="36"/>
  <c r="R8" i="36"/>
  <c r="AL7" i="36"/>
  <c r="AK7" i="36"/>
  <c r="R7" i="36"/>
  <c r="M7" i="36"/>
  <c r="AL6" i="36"/>
  <c r="AK6" i="36"/>
  <c r="BW5" i="36"/>
  <c r="AL5" i="36"/>
  <c r="AK5" i="36"/>
  <c r="T5" i="36"/>
  <c r="R5" i="36"/>
  <c r="C5" i="36"/>
  <c r="BW4" i="36"/>
  <c r="BI4" i="36"/>
  <c r="BH4" i="36"/>
  <c r="AL4" i="36"/>
  <c r="AK4" i="36"/>
  <c r="AH4" i="36"/>
  <c r="AF4" i="36"/>
  <c r="AB4" i="36"/>
  <c r="Z4" i="36"/>
  <c r="T4" i="36"/>
  <c r="R4" i="36"/>
  <c r="I4" i="36"/>
  <c r="BC4" i="36" s="1"/>
  <c r="AC3" i="36"/>
  <c r="F3" i="36"/>
  <c r="R12" i="8"/>
  <c r="BJ35" i="32"/>
  <c r="BW25" i="36" l="1"/>
  <c r="M11" i="36"/>
  <c r="I6" i="36"/>
  <c r="J6" i="36" s="1"/>
  <c r="BW11" i="36"/>
  <c r="BD4" i="36"/>
  <c r="T15" i="36"/>
  <c r="T7" i="36"/>
  <c r="BX5" i="8"/>
  <c r="BX4" i="8"/>
  <c r="BM4" i="8"/>
  <c r="BI4" i="8"/>
  <c r="BH4" i="8"/>
  <c r="AH4" i="8"/>
  <c r="R23" i="8"/>
  <c r="AC3" i="8"/>
  <c r="R5" i="8"/>
  <c r="R7" i="8"/>
  <c r="R8" i="8"/>
  <c r="R9" i="8"/>
  <c r="R10" i="8"/>
  <c r="R11" i="8"/>
  <c r="R13" i="8"/>
  <c r="R14" i="8"/>
  <c r="R16" i="8"/>
  <c r="R17" i="8"/>
  <c r="R19" i="8"/>
  <c r="R21" i="8"/>
  <c r="R22" i="8"/>
  <c r="Y4" i="32" l="1"/>
  <c r="Z4" i="32" s="1"/>
  <c r="L5" i="32"/>
  <c r="L6" i="32"/>
  <c r="L7" i="32"/>
  <c r="L8" i="32"/>
  <c r="L9" i="32"/>
  <c r="L10" i="32"/>
  <c r="L11" i="32"/>
  <c r="L12" i="32"/>
  <c r="L13" i="32"/>
  <c r="L14" i="32"/>
  <c r="L15" i="32"/>
  <c r="L16" i="32"/>
  <c r="L17" i="32"/>
  <c r="L18" i="32"/>
  <c r="L19" i="32"/>
  <c r="L20" i="32"/>
  <c r="L21" i="32"/>
  <c r="L22" i="32"/>
  <c r="L23" i="32"/>
  <c r="L24" i="32"/>
  <c r="L25" i="32"/>
  <c r="L26" i="32"/>
  <c r="L27" i="32"/>
  <c r="L4" i="32"/>
  <c r="AD10" i="32"/>
  <c r="AE10" i="32" s="1"/>
  <c r="AE8" i="32"/>
  <c r="L28" i="32" l="1"/>
  <c r="Y3" i="32" s="1"/>
  <c r="Z3" i="32" s="1"/>
  <c r="AF8" i="32" l="1"/>
  <c r="AF10" i="32"/>
  <c r="AF9" i="32"/>
  <c r="M10" i="8"/>
  <c r="M7" i="8" l="1"/>
  <c r="M11" i="8" s="1"/>
  <c r="I11" i="8" l="1"/>
  <c r="C5" i="8"/>
  <c r="F3" i="8"/>
  <c r="BD4" i="8" l="1"/>
  <c r="R4" i="8"/>
  <c r="BA40" i="32"/>
  <c r="BA12" i="32"/>
  <c r="AJ32" i="32"/>
  <c r="AN32" i="32"/>
  <c r="AN33" i="32" s="1"/>
  <c r="AN34" i="32" s="1"/>
  <c r="AJ33" i="32"/>
  <c r="AJ34" i="32"/>
  <c r="AJ35" i="32"/>
  <c r="AJ36" i="32"/>
  <c r="AJ37" i="32"/>
  <c r="AJ38" i="32"/>
  <c r="AJ39" i="32"/>
  <c r="AJ40" i="32"/>
  <c r="AJ41" i="32"/>
  <c r="AJ42" i="32"/>
  <c r="AJ43" i="32"/>
  <c r="AJ44" i="32"/>
  <c r="AJ45" i="32"/>
  <c r="AJ46" i="32"/>
  <c r="AJ47" i="32"/>
  <c r="AJ48" i="32"/>
  <c r="AJ49" i="32"/>
  <c r="AJ50" i="32"/>
  <c r="AJ51" i="32"/>
  <c r="AJ52" i="32"/>
  <c r="AJ53" i="32"/>
  <c r="AJ54" i="32"/>
  <c r="AJ55" i="32"/>
  <c r="AN4" i="32"/>
  <c r="AN5" i="32" s="1"/>
  <c r="AN6" i="32" s="1"/>
  <c r="AN7" i="32" s="1"/>
  <c r="AN8" i="32" s="1"/>
  <c r="AJ5" i="32"/>
  <c r="AJ6" i="32"/>
  <c r="AJ7" i="32"/>
  <c r="AJ8" i="32"/>
  <c r="AJ9" i="32"/>
  <c r="AJ10" i="32"/>
  <c r="AJ11" i="32"/>
  <c r="AJ12" i="32"/>
  <c r="AJ13" i="32"/>
  <c r="AJ14" i="32"/>
  <c r="AJ15" i="32"/>
  <c r="AJ16" i="32"/>
  <c r="AJ17" i="32"/>
  <c r="AJ18" i="32"/>
  <c r="AJ19" i="32"/>
  <c r="AJ20" i="32"/>
  <c r="AJ21" i="32"/>
  <c r="AJ22" i="32"/>
  <c r="AJ23" i="32"/>
  <c r="AJ24" i="32"/>
  <c r="AJ25" i="32"/>
  <c r="AJ26" i="32"/>
  <c r="AJ27" i="32"/>
  <c r="AJ4" i="32"/>
  <c r="E7" i="32" l="1"/>
  <c r="E8" i="32"/>
  <c r="E9" i="32"/>
  <c r="E10" i="32"/>
  <c r="E11" i="32"/>
  <c r="E12" i="32"/>
  <c r="E13" i="32"/>
  <c r="E14" i="32"/>
  <c r="E15" i="32"/>
  <c r="E16" i="32"/>
  <c r="E17" i="32"/>
  <c r="E18" i="32"/>
  <c r="E19" i="32"/>
  <c r="E20" i="32"/>
  <c r="E21" i="32"/>
  <c r="E22" i="32"/>
  <c r="E23" i="32"/>
  <c r="E24" i="32"/>
  <c r="E25" i="32"/>
  <c r="E26" i="32"/>
  <c r="E27" i="32"/>
  <c r="E28" i="32"/>
  <c r="E29" i="32"/>
  <c r="E6" i="32"/>
  <c r="S48" i="1" l="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8" i="1"/>
  <c r="B5" i="1" l="1"/>
  <c r="W12" i="1" l="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11" i="1"/>
  <c r="Y23" i="1" l="1"/>
  <c r="Y24" i="1" s="1"/>
  <c r="Y25" i="1" s="1"/>
  <c r="Y26" i="1" s="1"/>
  <c r="Y27" i="1" s="1"/>
  <c r="Y28" i="1" s="1"/>
  <c r="Y29" i="1" s="1"/>
  <c r="Y30" i="1" s="1"/>
  <c r="Y31" i="1" s="1"/>
  <c r="Y32" i="1" s="1"/>
  <c r="Y33" i="1" s="1"/>
  <c r="Y34" i="1" s="1"/>
  <c r="Y35" i="1" s="1"/>
  <c r="Y36" i="1" s="1"/>
  <c r="Y37" i="1" s="1"/>
  <c r="Y38" i="1" s="1"/>
  <c r="Y39" i="1" s="1"/>
  <c r="Y40" i="1" s="1"/>
  <c r="Y41" i="1" s="1"/>
  <c r="Y42" i="1" s="1"/>
  <c r="Y43" i="1" s="1"/>
  <c r="Y44" i="1" s="1"/>
  <c r="Y45" i="1" s="1"/>
  <c r="Y46" i="1" s="1"/>
  <c r="Y47" i="1" s="1"/>
  <c r="Y48" i="1" s="1"/>
  <c r="Y12" i="1"/>
  <c r="Y13" i="1"/>
  <c r="Y14" i="1"/>
  <c r="Y15" i="1"/>
  <c r="Y16" i="1"/>
  <c r="Y17" i="1"/>
  <c r="Y18" i="1"/>
  <c r="Y19" i="1"/>
  <c r="Y20" i="1"/>
  <c r="Y21" i="1"/>
  <c r="Y22" i="1"/>
  <c r="Y11" i="1"/>
  <c r="N47" i="1"/>
  <c r="N48" i="1"/>
  <c r="N13" i="1"/>
  <c r="N14" i="1"/>
  <c r="N18" i="1"/>
  <c r="N19" i="1"/>
  <c r="N20" i="1"/>
  <c r="N21" i="1"/>
  <c r="N27" i="1"/>
  <c r="N28" i="1"/>
  <c r="N29" i="1"/>
  <c r="N30" i="1"/>
  <c r="N34" i="1"/>
  <c r="N35" i="1"/>
  <c r="N38" i="1"/>
  <c r="N42" i="1"/>
  <c r="N43" i="1"/>
  <c r="N44" i="1"/>
  <c r="N45" i="1"/>
  <c r="N46" i="1"/>
  <c r="M11" i="1"/>
  <c r="N15" i="1" s="1"/>
  <c r="K11" i="1"/>
  <c r="J11" i="1"/>
  <c r="L47" i="1" s="1"/>
  <c r="I19" i="1"/>
  <c r="I25" i="1"/>
  <c r="I27" i="1"/>
  <c r="H11" i="1"/>
  <c r="I12" i="1" s="1"/>
  <c r="F11" i="1"/>
  <c r="G15" i="1" s="1"/>
  <c r="G37" i="1" l="1"/>
  <c r="G14" i="1"/>
  <c r="G35" i="1"/>
  <c r="G12" i="1"/>
  <c r="I17" i="1"/>
  <c r="G36" i="1"/>
  <c r="G13" i="1"/>
  <c r="G21" i="1"/>
  <c r="I16" i="1"/>
  <c r="G27" i="1"/>
  <c r="G46" i="1"/>
  <c r="G45" i="1"/>
  <c r="G25" i="1"/>
  <c r="G44" i="1"/>
  <c r="G22" i="1"/>
  <c r="G33" i="1"/>
  <c r="I43" i="1"/>
  <c r="G42" i="1"/>
  <c r="G30" i="1"/>
  <c r="G20" i="1"/>
  <c r="I41" i="1"/>
  <c r="G41" i="1"/>
  <c r="G29" i="1"/>
  <c r="G19" i="1"/>
  <c r="I35" i="1"/>
  <c r="N37" i="1"/>
  <c r="N26" i="1"/>
  <c r="N12" i="1"/>
  <c r="G26" i="1"/>
  <c r="G34" i="1"/>
  <c r="G43" i="1"/>
  <c r="G38" i="1"/>
  <c r="G28" i="1"/>
  <c r="G18" i="1"/>
  <c r="I33" i="1"/>
  <c r="N36" i="1"/>
  <c r="N22" i="1"/>
  <c r="G47" i="1"/>
  <c r="L41" i="1"/>
  <c r="L33" i="1"/>
  <c r="L25" i="1"/>
  <c r="L17" i="1"/>
  <c r="I42" i="1"/>
  <c r="I34" i="1"/>
  <c r="I26" i="1"/>
  <c r="I18" i="1"/>
  <c r="L40" i="1"/>
  <c r="L32" i="1"/>
  <c r="L24" i="1"/>
  <c r="L16" i="1"/>
  <c r="I24" i="1"/>
  <c r="I23" i="1"/>
  <c r="L29" i="1"/>
  <c r="G48" i="1"/>
  <c r="L38" i="1"/>
  <c r="I39" i="1"/>
  <c r="I15" i="1"/>
  <c r="L21" i="1"/>
  <c r="G17" i="1"/>
  <c r="I38" i="1"/>
  <c r="I30" i="1"/>
  <c r="I22" i="1"/>
  <c r="I14" i="1"/>
  <c r="L44" i="1"/>
  <c r="L36" i="1"/>
  <c r="L28" i="1"/>
  <c r="L20" i="1"/>
  <c r="L12" i="1"/>
  <c r="N41" i="1"/>
  <c r="N33" i="1"/>
  <c r="N25" i="1"/>
  <c r="N17" i="1"/>
  <c r="I48" i="1"/>
  <c r="L11" i="1"/>
  <c r="L31" i="1"/>
  <c r="L23" i="1"/>
  <c r="L15" i="1"/>
  <c r="I40" i="1"/>
  <c r="I32" i="1"/>
  <c r="L46" i="1"/>
  <c r="L30" i="1"/>
  <c r="L22" i="1"/>
  <c r="L14" i="1"/>
  <c r="G40" i="1"/>
  <c r="G32" i="1"/>
  <c r="G24" i="1"/>
  <c r="G16" i="1"/>
  <c r="I45" i="1"/>
  <c r="I37" i="1"/>
  <c r="I29" i="1"/>
  <c r="I21" i="1"/>
  <c r="I13" i="1"/>
  <c r="L43" i="1"/>
  <c r="L35" i="1"/>
  <c r="L27" i="1"/>
  <c r="L19" i="1"/>
  <c r="N40" i="1"/>
  <c r="N32" i="1"/>
  <c r="N24" i="1"/>
  <c r="N16" i="1"/>
  <c r="I47" i="1"/>
  <c r="L39" i="1"/>
  <c r="I11" i="1"/>
  <c r="I31" i="1"/>
  <c r="L45" i="1"/>
  <c r="L37" i="1"/>
  <c r="L13" i="1"/>
  <c r="I46" i="1"/>
  <c r="G11" i="1"/>
  <c r="G39" i="1"/>
  <c r="G31" i="1"/>
  <c r="G23" i="1"/>
  <c r="I44" i="1"/>
  <c r="I36" i="1"/>
  <c r="I28" i="1"/>
  <c r="I20" i="1"/>
  <c r="L42" i="1"/>
  <c r="L34" i="1"/>
  <c r="L26" i="1"/>
  <c r="L18" i="1"/>
  <c r="N11" i="1"/>
  <c r="N39" i="1"/>
  <c r="N31" i="1"/>
  <c r="N23" i="1"/>
  <c r="L48" i="1"/>
  <c r="O23" i="1" l="1"/>
  <c r="T9" i="1" s="1"/>
  <c r="T16" i="1"/>
  <c r="T32" i="1"/>
  <c r="T40" i="1"/>
  <c r="T48" i="1"/>
  <c r="T8" i="1"/>
  <c r="T17" i="1"/>
  <c r="T33" i="1"/>
  <c r="T41" i="1"/>
  <c r="T10" i="1"/>
  <c r="T18" i="1"/>
  <c r="T26" i="1"/>
  <c r="T34" i="1"/>
  <c r="T42" i="1"/>
  <c r="T11" i="1"/>
  <c r="T19" i="1"/>
  <c r="T27" i="1"/>
  <c r="T35" i="1"/>
  <c r="T43" i="1"/>
  <c r="T38" i="1"/>
  <c r="T12" i="1"/>
  <c r="T28" i="1"/>
  <c r="T36" i="1"/>
  <c r="T44" i="1"/>
  <c r="T13" i="1"/>
  <c r="T21" i="1"/>
  <c r="T29" i="1"/>
  <c r="T37" i="1"/>
  <c r="T45" i="1"/>
  <c r="T14" i="1"/>
  <c r="T22" i="1"/>
  <c r="T30" i="1"/>
  <c r="T15" i="1"/>
  <c r="T23" i="1"/>
  <c r="T31" i="1"/>
  <c r="T39" i="1"/>
  <c r="T47" i="1"/>
  <c r="U47" i="1" s="1"/>
  <c r="Z47" i="1"/>
  <c r="T24" i="1" l="1"/>
  <c r="T20" i="1"/>
  <c r="T46" i="1"/>
  <c r="T25" i="1"/>
  <c r="F14" i="32"/>
  <c r="G14" i="32" s="1"/>
  <c r="F22" i="32"/>
  <c r="G22" i="32" s="1"/>
  <c r="F6" i="32"/>
  <c r="G6" i="32" s="1"/>
  <c r="F28" i="32"/>
  <c r="G28" i="32" s="1"/>
  <c r="F21" i="32"/>
  <c r="G21" i="32" s="1"/>
  <c r="F7" i="32"/>
  <c r="G7" i="32" s="1"/>
  <c r="F15" i="32"/>
  <c r="G15" i="32" s="1"/>
  <c r="F23" i="32"/>
  <c r="G23" i="32" s="1"/>
  <c r="F17" i="32"/>
  <c r="G17" i="32" s="1"/>
  <c r="F27" i="32"/>
  <c r="G27" i="32" s="1"/>
  <c r="F20" i="32"/>
  <c r="G20" i="32" s="1"/>
  <c r="F8" i="32"/>
  <c r="G8" i="32" s="1"/>
  <c r="F16" i="32"/>
  <c r="G16" i="32" s="1"/>
  <c r="F24" i="32"/>
  <c r="G24" i="32" s="1"/>
  <c r="F25" i="32"/>
  <c r="G25" i="32" s="1"/>
  <c r="F9" i="32"/>
  <c r="G9" i="32" s="1"/>
  <c r="F19" i="32"/>
  <c r="G19" i="32" s="1"/>
  <c r="F29" i="32"/>
  <c r="G29" i="32" s="1"/>
  <c r="F10" i="32"/>
  <c r="G10" i="32" s="1"/>
  <c r="F18" i="32"/>
  <c r="G18" i="32" s="1"/>
  <c r="F26" i="32"/>
  <c r="G26" i="32" s="1"/>
  <c r="F12" i="32"/>
  <c r="G12" i="32" s="1"/>
  <c r="F11" i="32"/>
  <c r="G11" i="32" s="1"/>
  <c r="F13" i="32"/>
  <c r="G13" i="32" s="1"/>
  <c r="U48" i="1"/>
  <c r="Z48" i="1" s="1"/>
  <c r="AJ56" i="32"/>
  <c r="AJ28" i="32"/>
  <c r="K27" i="32"/>
  <c r="M27" i="32" s="1"/>
  <c r="K26" i="32"/>
  <c r="M26" i="32" s="1"/>
  <c r="K25" i="32"/>
  <c r="M25" i="32" s="1"/>
  <c r="K24" i="32"/>
  <c r="M24" i="32" s="1"/>
  <c r="K23" i="32"/>
  <c r="M23" i="32" s="1"/>
  <c r="K22" i="32"/>
  <c r="M22" i="32" s="1"/>
  <c r="K21" i="32"/>
  <c r="M21" i="32" s="1"/>
  <c r="K20" i="32"/>
  <c r="M20" i="32" s="1"/>
  <c r="K19" i="32"/>
  <c r="M19" i="32" s="1"/>
  <c r="K18" i="32"/>
  <c r="M18" i="32" s="1"/>
  <c r="K17" i="32"/>
  <c r="M17" i="32" s="1"/>
  <c r="K16" i="32"/>
  <c r="M16" i="32" s="1"/>
  <c r="K15" i="32"/>
  <c r="M15" i="32" s="1"/>
  <c r="K14" i="32"/>
  <c r="M14" i="32" s="1"/>
  <c r="K13" i="32"/>
  <c r="M13" i="32" s="1"/>
  <c r="K12" i="32"/>
  <c r="M12" i="32" s="1"/>
  <c r="K11" i="32"/>
  <c r="M11" i="32" s="1"/>
  <c r="K10" i="32"/>
  <c r="M10" i="32" s="1"/>
  <c r="K9" i="32"/>
  <c r="M9" i="32" s="1"/>
  <c r="K8" i="32"/>
  <c r="M8" i="32" s="1"/>
  <c r="K7" i="32"/>
  <c r="M7" i="32" s="1"/>
  <c r="K6" i="32"/>
  <c r="M6" i="32" s="1"/>
  <c r="K5" i="32"/>
  <c r="M5" i="32" s="1"/>
  <c r="K4" i="32"/>
  <c r="M4" i="32" s="1"/>
  <c r="M28" i="32" l="1"/>
  <c r="AK46" i="32"/>
  <c r="AO46" i="32" s="1"/>
  <c r="AK39" i="32"/>
  <c r="AK40" i="32"/>
  <c r="AK33" i="32"/>
  <c r="AO33" i="32" s="1"/>
  <c r="AK41" i="32"/>
  <c r="AK44" i="32"/>
  <c r="AO44" i="32" s="1"/>
  <c r="AK52" i="32"/>
  <c r="AK48" i="32"/>
  <c r="AK47" i="32"/>
  <c r="AK35" i="32"/>
  <c r="AK51" i="32"/>
  <c r="AK49" i="32"/>
  <c r="AK43" i="32"/>
  <c r="AO43" i="32" s="1"/>
  <c r="AK42" i="32"/>
  <c r="AK36" i="32"/>
  <c r="AK45" i="32"/>
  <c r="AO45" i="32" s="1"/>
  <c r="AK34" i="32"/>
  <c r="AK55" i="32"/>
  <c r="AO55" i="32" s="1"/>
  <c r="AK50" i="32"/>
  <c r="AK37" i="32"/>
  <c r="AK38" i="32"/>
  <c r="AK32" i="32"/>
  <c r="AK54" i="32"/>
  <c r="AO54" i="32" s="1"/>
  <c r="AK53" i="32"/>
  <c r="AK8" i="32"/>
  <c r="AO8" i="32" s="1"/>
  <c r="AK16" i="32"/>
  <c r="AO16" i="32" s="1"/>
  <c r="AK24" i="32"/>
  <c r="AK7" i="32"/>
  <c r="AO7" i="32" s="1"/>
  <c r="AK11" i="32"/>
  <c r="AK19" i="32"/>
  <c r="AO19" i="32" s="1"/>
  <c r="AK27" i="32"/>
  <c r="AO27" i="32" s="1"/>
  <c r="AK23" i="32"/>
  <c r="AK28" i="32"/>
  <c r="AK15" i="32"/>
  <c r="AO15" i="32" s="1"/>
  <c r="AK20" i="32"/>
  <c r="AK6" i="32"/>
  <c r="AO6" i="32" s="1"/>
  <c r="AK12" i="32"/>
  <c r="AK18" i="32"/>
  <c r="AO18" i="32" s="1"/>
  <c r="AK10" i="32"/>
  <c r="AK13" i="32"/>
  <c r="AK17" i="32"/>
  <c r="AO17" i="32" s="1"/>
  <c r="AK26" i="32"/>
  <c r="AO26" i="32" s="1"/>
  <c r="AK25" i="32"/>
  <c r="AK5" i="32"/>
  <c r="AO5" i="32" s="1"/>
  <c r="AK4" i="32"/>
  <c r="AO4" i="32" s="1"/>
  <c r="AK9" i="32"/>
  <c r="AK21" i="32"/>
  <c r="AK22" i="32"/>
  <c r="AK14" i="32"/>
  <c r="AM13" i="32" l="1"/>
  <c r="AO13" i="32" s="1"/>
  <c r="AM24" i="32"/>
  <c r="AO24" i="32" s="1"/>
  <c r="AM23" i="32"/>
  <c r="AO23" i="32" s="1"/>
  <c r="AM12" i="32"/>
  <c r="AO12" i="32" s="1"/>
  <c r="AO22" i="32"/>
  <c r="AO21" i="32"/>
  <c r="AO11" i="32"/>
  <c r="AO14" i="32"/>
  <c r="AO32" i="32"/>
  <c r="AP32" i="32" s="1"/>
  <c r="AP33" i="32" s="1"/>
  <c r="AL32" i="32"/>
  <c r="AL33" i="32" s="1"/>
  <c r="AL34" i="32" s="1"/>
  <c r="AL35" i="32" s="1"/>
  <c r="AL36" i="32" s="1"/>
  <c r="AL37" i="32" s="1"/>
  <c r="AL38" i="32" s="1"/>
  <c r="AL39" i="32" s="1"/>
  <c r="AL40" i="32" s="1"/>
  <c r="AL41" i="32" s="1"/>
  <c r="AL42" i="32" s="1"/>
  <c r="AL43" i="32" s="1"/>
  <c r="AL44" i="32" s="1"/>
  <c r="AL45" i="32" s="1"/>
  <c r="AL46" i="32" s="1"/>
  <c r="AL47" i="32" s="1"/>
  <c r="AL48" i="32" s="1"/>
  <c r="AL49" i="32" s="1"/>
  <c r="AL50" i="32" s="1"/>
  <c r="AL51" i="32" s="1"/>
  <c r="AL52" i="32" s="1"/>
  <c r="AL53" i="32" s="1"/>
  <c r="AL54" i="32" s="1"/>
  <c r="AL55" i="32" s="1"/>
  <c r="AO34" i="32"/>
  <c r="AO25" i="32"/>
  <c r="AO20" i="32"/>
  <c r="AO10" i="32"/>
  <c r="AL4" i="32"/>
  <c r="AL5" i="32" s="1"/>
  <c r="AL6" i="32" s="1"/>
  <c r="AL7" i="32" s="1"/>
  <c r="AL8" i="32" s="1"/>
  <c r="AL9" i="32" s="1"/>
  <c r="AL10" i="32" s="1"/>
  <c r="AL11" i="32" s="1"/>
  <c r="AL12" i="32" s="1"/>
  <c r="AL13" i="32" s="1"/>
  <c r="AL14" i="32" s="1"/>
  <c r="AL15" i="32" s="1"/>
  <c r="AL16" i="32" s="1"/>
  <c r="AL17" i="32" s="1"/>
  <c r="AL18" i="32" s="1"/>
  <c r="AL19" i="32" s="1"/>
  <c r="AL20" i="32" s="1"/>
  <c r="AL21" i="32" s="1"/>
  <c r="AL22" i="32" s="1"/>
  <c r="AL23" i="32" s="1"/>
  <c r="AL24" i="32" s="1"/>
  <c r="AL25" i="32" s="1"/>
  <c r="AL26" i="32" s="1"/>
  <c r="AL27" i="32" s="1"/>
  <c r="AP4" i="32"/>
  <c r="AP5" i="32" s="1"/>
  <c r="AP6" i="32" s="1"/>
  <c r="AP7" i="32" s="1"/>
  <c r="AP8" i="32" s="1"/>
  <c r="AM47" i="32" l="1"/>
  <c r="AO47" i="32" s="1"/>
  <c r="AM36" i="32"/>
  <c r="AM48" i="32"/>
  <c r="AM39" i="32"/>
  <c r="AM35" i="32"/>
  <c r="AM37" i="32"/>
  <c r="AM38" i="32"/>
  <c r="AO38" i="32" s="1"/>
  <c r="AM50" i="32"/>
  <c r="AO50" i="32" s="1"/>
  <c r="AM49" i="32"/>
  <c r="AO49" i="32" s="1"/>
  <c r="AO51" i="32"/>
  <c r="AO42" i="32"/>
  <c r="AO41" i="32"/>
  <c r="AO48" i="32"/>
  <c r="AO39" i="32"/>
  <c r="AO40" i="32"/>
  <c r="AO52" i="32"/>
  <c r="AO53" i="32"/>
  <c r="AP34" i="32"/>
  <c r="AK56" i="32"/>
  <c r="AO9" i="32"/>
  <c r="AP9" i="32" s="1"/>
  <c r="AN9" i="32"/>
  <c r="AN10" i="32" s="1"/>
  <c r="AN11" i="32" s="1"/>
  <c r="AN12" i="32" s="1"/>
  <c r="AN13" i="32" s="1"/>
  <c r="AN14" i="32" s="1"/>
  <c r="AN15" i="32" s="1"/>
  <c r="AN16" i="32" s="1"/>
  <c r="AN17" i="32" s="1"/>
  <c r="AN18" i="32" s="1"/>
  <c r="AN19" i="32" s="1"/>
  <c r="AN20" i="32" s="1"/>
  <c r="AN21" i="32" s="1"/>
  <c r="AN22" i="32" s="1"/>
  <c r="AN23" i="32" s="1"/>
  <c r="AN24" i="32" s="1"/>
  <c r="AN25" i="32" s="1"/>
  <c r="AN26" i="32" s="1"/>
  <c r="AN27" i="32" s="1"/>
  <c r="AN35" i="32" l="1"/>
  <c r="AN36" i="32" s="1"/>
  <c r="AN37" i="32" s="1"/>
  <c r="AN38" i="32" s="1"/>
  <c r="AN39" i="32" s="1"/>
  <c r="AN40" i="32" s="1"/>
  <c r="AN41" i="32" s="1"/>
  <c r="AN42" i="32" s="1"/>
  <c r="AN43" i="32" s="1"/>
  <c r="AN44" i="32" s="1"/>
  <c r="AN45" i="32" s="1"/>
  <c r="AN46" i="32" s="1"/>
  <c r="AN47" i="32" s="1"/>
  <c r="AN48" i="32" s="1"/>
  <c r="AN49" i="32" s="1"/>
  <c r="AN50" i="32" s="1"/>
  <c r="AN51" i="32" s="1"/>
  <c r="AN52" i="32" s="1"/>
  <c r="AN53" i="32" s="1"/>
  <c r="AN54" i="32" s="1"/>
  <c r="AN55" i="32" s="1"/>
  <c r="AO35" i="32"/>
  <c r="AP35" i="32" s="1"/>
  <c r="AO36" i="32"/>
  <c r="AO37" i="32"/>
  <c r="AP10" i="32"/>
  <c r="AP11" i="32" s="1"/>
  <c r="AP12" i="32" s="1"/>
  <c r="AP13" i="32" s="1"/>
  <c r="AP14" i="32" s="1"/>
  <c r="AP15" i="32" s="1"/>
  <c r="AP16" i="32" s="1"/>
  <c r="AP17" i="32" s="1"/>
  <c r="AP18" i="32" s="1"/>
  <c r="AP19" i="32" s="1"/>
  <c r="AP20" i="32" s="1"/>
  <c r="AP21" i="32" s="1"/>
  <c r="AP22" i="32" s="1"/>
  <c r="AP23" i="32" s="1"/>
  <c r="AP24" i="32" s="1"/>
  <c r="AP25" i="32" s="1"/>
  <c r="AP26" i="32" s="1"/>
  <c r="AP27" i="32" s="1"/>
  <c r="AP36" i="32" l="1"/>
  <c r="AP37" i="32" s="1"/>
  <c r="AP38" i="32" s="1"/>
  <c r="AP39" i="32" s="1"/>
  <c r="AP40" i="32" s="1"/>
  <c r="AP41" i="32" s="1"/>
  <c r="AP42" i="32" s="1"/>
  <c r="AP43" i="32" s="1"/>
  <c r="AP44" i="32" s="1"/>
  <c r="AP45" i="32" s="1"/>
  <c r="AP46" i="32" s="1"/>
  <c r="AP47" i="32" s="1"/>
  <c r="AP48" i="32" s="1"/>
  <c r="AP49" i="32" s="1"/>
  <c r="AP50" i="32" s="1"/>
  <c r="AP51" i="32" s="1"/>
  <c r="AP52" i="32" s="1"/>
  <c r="AP53" i="32" s="1"/>
  <c r="AP54" i="32" s="1"/>
  <c r="AP55" i="32" s="1"/>
  <c r="AP28" i="32"/>
  <c r="AP56" i="32" l="1"/>
  <c r="AQ23" i="32"/>
  <c r="AQ6" i="32"/>
  <c r="AQ26" i="32"/>
  <c r="AQ14" i="32"/>
  <c r="AQ19" i="32"/>
  <c r="AQ18" i="32"/>
  <c r="AQ25" i="32"/>
  <c r="AQ15" i="32"/>
  <c r="AQ4" i="32"/>
  <c r="AQ16" i="32"/>
  <c r="AQ17" i="32"/>
  <c r="AQ10" i="32"/>
  <c r="AQ22" i="32"/>
  <c r="AQ13" i="32"/>
  <c r="AQ11" i="32"/>
  <c r="AQ9" i="32"/>
  <c r="AQ21" i="32"/>
  <c r="AQ8" i="32"/>
  <c r="AQ24" i="32"/>
  <c r="AQ12" i="32"/>
  <c r="AQ27" i="32"/>
  <c r="AQ7" i="32"/>
  <c r="AQ20" i="32"/>
  <c r="AQ5" i="32"/>
  <c r="BA6" i="32" l="1"/>
  <c r="AQ36" i="32"/>
  <c r="AQ52" i="32"/>
  <c r="AQ45" i="32"/>
  <c r="AQ37" i="32"/>
  <c r="AQ35" i="32"/>
  <c r="AQ54" i="32"/>
  <c r="AQ46" i="32"/>
  <c r="AQ42" i="32"/>
  <c r="AQ47" i="32"/>
  <c r="AQ32" i="32"/>
  <c r="AQ38" i="32"/>
  <c r="AQ55" i="32"/>
  <c r="AQ48" i="32"/>
  <c r="AQ50" i="32"/>
  <c r="AQ40" i="32"/>
  <c r="AQ41" i="32"/>
  <c r="AQ51" i="32"/>
  <c r="AQ33" i="32"/>
  <c r="AQ44" i="32"/>
  <c r="AQ39" i="32"/>
  <c r="AQ49" i="32"/>
  <c r="AQ34" i="32"/>
  <c r="AQ43" i="32"/>
  <c r="AQ53" i="32"/>
  <c r="AQ28" i="32"/>
  <c r="BA34" i="32" l="1"/>
  <c r="AQ56" i="32"/>
  <c r="BJ40" i="32" l="1"/>
  <c r="AF4" i="8" l="1"/>
  <c r="BX25" i="8" l="1"/>
  <c r="DU77" i="8" l="1"/>
  <c r="DU82" i="8"/>
  <c r="DU87" i="8"/>
  <c r="DU92" i="8"/>
  <c r="DU97" i="8"/>
  <c r="DU102" i="8"/>
  <c r="DU112" i="8"/>
  <c r="DU122" i="8"/>
  <c r="DU72" i="8"/>
  <c r="DT114" i="8"/>
  <c r="DU114" i="8" s="1"/>
  <c r="DT115" i="8"/>
  <c r="DU115" i="8" s="1"/>
  <c r="DT116" i="8"/>
  <c r="DU116" i="8" s="1"/>
  <c r="DT117" i="8"/>
  <c r="DU117" i="8" s="1"/>
  <c r="DT118" i="8"/>
  <c r="DU118" i="8" s="1"/>
  <c r="DT119" i="8"/>
  <c r="DU119" i="8" s="1"/>
  <c r="DT120" i="8"/>
  <c r="DU120" i="8" s="1"/>
  <c r="DT121" i="8"/>
  <c r="DU121" i="8" s="1"/>
  <c r="DT113" i="8"/>
  <c r="DU113" i="8" s="1"/>
  <c r="DT104" i="8"/>
  <c r="DU104" i="8" s="1"/>
  <c r="DT105" i="8"/>
  <c r="DU105" i="8" s="1"/>
  <c r="DT106" i="8"/>
  <c r="DU106" i="8" s="1"/>
  <c r="DT107" i="8"/>
  <c r="DU107" i="8" s="1"/>
  <c r="DT108" i="8"/>
  <c r="DU108" i="8" s="1"/>
  <c r="DT109" i="8"/>
  <c r="DU109" i="8" s="1"/>
  <c r="DT110" i="8"/>
  <c r="DU110" i="8" s="1"/>
  <c r="DT111" i="8"/>
  <c r="DU111" i="8" s="1"/>
  <c r="DT103" i="8"/>
  <c r="DU103" i="8" s="1"/>
  <c r="DT99" i="8"/>
  <c r="DU99" i="8" s="1"/>
  <c r="DT100" i="8"/>
  <c r="DU100" i="8" s="1"/>
  <c r="DT101" i="8"/>
  <c r="DU101" i="8" s="1"/>
  <c r="DT98" i="8"/>
  <c r="DU98" i="8" s="1"/>
  <c r="DT94" i="8"/>
  <c r="DU94" i="8" s="1"/>
  <c r="DT95" i="8"/>
  <c r="DU95" i="8" s="1"/>
  <c r="DT96" i="8"/>
  <c r="DU96" i="8" s="1"/>
  <c r="DT93" i="8"/>
  <c r="DU93" i="8" s="1"/>
  <c r="DT89" i="8"/>
  <c r="DU89" i="8" s="1"/>
  <c r="DT90" i="8"/>
  <c r="DU90" i="8" s="1"/>
  <c r="DT91" i="8"/>
  <c r="DU91" i="8" s="1"/>
  <c r="DT88" i="8"/>
  <c r="DU88" i="8" s="1"/>
  <c r="DT84" i="8"/>
  <c r="DU84" i="8" s="1"/>
  <c r="DT85" i="8"/>
  <c r="DU85" i="8" s="1"/>
  <c r="BX17" i="8" s="1"/>
  <c r="DT86" i="8"/>
  <c r="DU86" i="8" s="1"/>
  <c r="DT83" i="8"/>
  <c r="DU83" i="8" s="1"/>
  <c r="DT79" i="8"/>
  <c r="DU79" i="8" s="1"/>
  <c r="DT80" i="8"/>
  <c r="DU80" i="8" s="1"/>
  <c r="DT81" i="8"/>
  <c r="DU81" i="8" s="1"/>
  <c r="DT78" i="8"/>
  <c r="DU78" i="8" s="1"/>
  <c r="DT74" i="8"/>
  <c r="DU74" i="8" s="1"/>
  <c r="DT75" i="8"/>
  <c r="DU75" i="8" s="1"/>
  <c r="DT76" i="8"/>
  <c r="DU76" i="8" s="1"/>
  <c r="DT73" i="8"/>
  <c r="DU73" i="8" s="1"/>
  <c r="BX9" i="8"/>
  <c r="AK5" i="8"/>
  <c r="AK6" i="8"/>
  <c r="AK7" i="8"/>
  <c r="AK8" i="8"/>
  <c r="AK9" i="8"/>
  <c r="AK10" i="8"/>
  <c r="AK4" i="8"/>
  <c r="AL5" i="8"/>
  <c r="AL6" i="8"/>
  <c r="AL7" i="8"/>
  <c r="AL8" i="8"/>
  <c r="AL9" i="8"/>
  <c r="AL10" i="8"/>
  <c r="AL4" i="8"/>
  <c r="AB4" i="8"/>
  <c r="Z4" i="8"/>
  <c r="I4" i="8" l="1"/>
  <c r="BC4" i="8" l="1"/>
  <c r="I6" i="8"/>
  <c r="J6" i="8" s="1"/>
  <c r="BX11" i="8"/>
  <c r="BG4" i="8"/>
  <c r="U44" i="1" l="1"/>
  <c r="U19" i="1"/>
  <c r="V47" i="1" l="1"/>
  <c r="AA47" i="1" s="1"/>
  <c r="AB47" i="1" s="1"/>
  <c r="AC47" i="1" s="1"/>
  <c r="AE47" i="1" s="1"/>
  <c r="AG47" i="1" s="1"/>
  <c r="V48" i="1"/>
  <c r="AA48" i="1" s="1"/>
  <c r="AB48" i="1" s="1"/>
  <c r="AC48" i="1" s="1"/>
  <c r="AE48" i="1" s="1"/>
  <c r="U22" i="1"/>
  <c r="U25" i="1"/>
  <c r="U28" i="1"/>
  <c r="U31" i="1"/>
  <c r="U34" i="1"/>
  <c r="U37" i="1"/>
  <c r="U39" i="1"/>
  <c r="U41" i="1"/>
  <c r="U43" i="1"/>
  <c r="U45" i="1"/>
  <c r="U46" i="1"/>
  <c r="U21" i="1"/>
  <c r="U24" i="1"/>
  <c r="U27" i="1"/>
  <c r="U30" i="1"/>
  <c r="U33" i="1"/>
  <c r="U35" i="1"/>
  <c r="U38" i="1"/>
  <c r="U40" i="1"/>
  <c r="U42" i="1"/>
  <c r="U20" i="1"/>
  <c r="U23" i="1"/>
  <c r="U26" i="1"/>
  <c r="U29" i="1"/>
  <c r="U32" i="1"/>
  <c r="U36" i="1"/>
  <c r="U11" i="1"/>
  <c r="Z11" i="1" s="1"/>
  <c r="U12" i="1"/>
  <c r="U13" i="1"/>
  <c r="U14" i="1"/>
  <c r="U15" i="1"/>
  <c r="U16" i="1"/>
  <c r="U17" i="1"/>
  <c r="U18" i="1"/>
  <c r="V19" i="1"/>
  <c r="Z19" i="1"/>
  <c r="V44" i="1"/>
  <c r="Z44" i="1"/>
  <c r="C6" i="36" l="1"/>
  <c r="F4" i="36" s="1"/>
  <c r="C6" i="8"/>
  <c r="F4" i="8" s="1"/>
  <c r="BA4" i="32"/>
  <c r="BA5" i="32" s="1"/>
  <c r="BA8" i="32" s="1"/>
  <c r="BA14" i="32" s="1"/>
  <c r="BA16" i="32" s="1"/>
  <c r="BA32" i="32"/>
  <c r="AG48" i="1"/>
  <c r="V34" i="1"/>
  <c r="Z34" i="1"/>
  <c r="V24" i="1"/>
  <c r="Z24" i="1"/>
  <c r="V11" i="1"/>
  <c r="V46" i="1"/>
  <c r="Z46" i="1"/>
  <c r="Z18" i="1"/>
  <c r="V18" i="1"/>
  <c r="V14" i="1"/>
  <c r="Z14" i="1"/>
  <c r="Z36" i="1"/>
  <c r="V36" i="1"/>
  <c r="Z23" i="1"/>
  <c r="V23" i="1"/>
  <c r="Z35" i="1"/>
  <c r="V35" i="1"/>
  <c r="V28" i="1"/>
  <c r="Z28" i="1"/>
  <c r="V15" i="1"/>
  <c r="Z15" i="1"/>
  <c r="Z39" i="1"/>
  <c r="V39" i="1"/>
  <c r="Z17" i="1"/>
  <c r="V17" i="1"/>
  <c r="Z13" i="1"/>
  <c r="V13" i="1"/>
  <c r="Z32" i="1"/>
  <c r="V32" i="1"/>
  <c r="V20" i="1"/>
  <c r="Z20" i="1"/>
  <c r="V43" i="1"/>
  <c r="Z43" i="1"/>
  <c r="Z26" i="1"/>
  <c r="V26" i="1"/>
  <c r="Z16" i="1"/>
  <c r="V16" i="1"/>
  <c r="Z12" i="1"/>
  <c r="V12" i="1"/>
  <c r="V29" i="1"/>
  <c r="Z29" i="1"/>
  <c r="V40" i="1"/>
  <c r="Z40" i="1"/>
  <c r="Z30" i="1"/>
  <c r="V30" i="1"/>
  <c r="Z22" i="1"/>
  <c r="V22" i="1"/>
  <c r="V33" i="1"/>
  <c r="Z33" i="1"/>
  <c r="Z41" i="1"/>
  <c r="V41" i="1"/>
  <c r="V38" i="1"/>
  <c r="Z38" i="1"/>
  <c r="V45" i="1"/>
  <c r="Z45" i="1"/>
  <c r="V25" i="1"/>
  <c r="Z25" i="1"/>
  <c r="V42" i="1"/>
  <c r="Z42" i="1"/>
  <c r="V21" i="1"/>
  <c r="Z21" i="1"/>
  <c r="Z31" i="1"/>
  <c r="V31" i="1"/>
  <c r="Z27" i="1"/>
  <c r="V27" i="1"/>
  <c r="V37" i="1"/>
  <c r="Z37" i="1"/>
  <c r="AA19" i="1"/>
  <c r="AA44" i="1"/>
  <c r="BO34" i="32" l="1"/>
  <c r="BO49" i="32"/>
  <c r="BA33" i="32"/>
  <c r="BA36" i="32" s="1"/>
  <c r="BO39" i="32"/>
  <c r="BO33" i="32"/>
  <c r="BO36" i="32"/>
  <c r="BO42" i="32"/>
  <c r="BA17" i="32"/>
  <c r="BD3" i="32" s="1"/>
  <c r="BB5" i="8"/>
  <c r="T12" i="8"/>
  <c r="T6" i="8"/>
  <c r="I12" i="8"/>
  <c r="M17" i="8" s="1"/>
  <c r="T7" i="8"/>
  <c r="T22" i="8"/>
  <c r="I8" i="8"/>
  <c r="I9" i="8" s="1"/>
  <c r="T15" i="8"/>
  <c r="T16" i="8"/>
  <c r="T19" i="8"/>
  <c r="T11" i="8"/>
  <c r="T21" i="8"/>
  <c r="T25" i="8"/>
  <c r="R15" i="8"/>
  <c r="R20" i="8"/>
  <c r="R25" i="8"/>
  <c r="R6" i="8"/>
  <c r="R18" i="8"/>
  <c r="I8" i="36"/>
  <c r="I9" i="36" s="1"/>
  <c r="T12" i="36"/>
  <c r="T11" i="36"/>
  <c r="R16" i="36"/>
  <c r="T22" i="36"/>
  <c r="R25" i="36"/>
  <c r="BW12" i="36" s="1"/>
  <c r="BB11" i="36"/>
  <c r="R20" i="36"/>
  <c r="T25" i="36"/>
  <c r="BB6" i="36"/>
  <c r="BB8" i="36"/>
  <c r="BO3" i="36" s="1"/>
  <c r="BB7" i="36"/>
  <c r="R6" i="36"/>
  <c r="BB10" i="36"/>
  <c r="BB13" i="36"/>
  <c r="R12" i="36"/>
  <c r="I5" i="36"/>
  <c r="J5" i="36" s="1"/>
  <c r="BB5" i="36"/>
  <c r="T21" i="36"/>
  <c r="BB9" i="36"/>
  <c r="T16" i="36"/>
  <c r="BW10" i="36"/>
  <c r="R18" i="36"/>
  <c r="T6" i="36"/>
  <c r="T19" i="36"/>
  <c r="BB12" i="36"/>
  <c r="I12" i="36"/>
  <c r="BT3" i="36"/>
  <c r="AA17" i="1"/>
  <c r="AB17" i="1" s="1"/>
  <c r="AC17" i="1" s="1"/>
  <c r="AE17" i="1" s="1"/>
  <c r="AG17" i="1" s="1"/>
  <c r="AA18" i="1"/>
  <c r="AA20" i="1"/>
  <c r="AA14" i="1"/>
  <c r="AA40" i="1"/>
  <c r="AA35" i="1"/>
  <c r="AA43" i="1"/>
  <c r="AA34" i="1"/>
  <c r="AA23" i="1"/>
  <c r="AA36" i="1"/>
  <c r="AA26" i="1"/>
  <c r="AA39" i="1"/>
  <c r="AA15" i="1"/>
  <c r="AA24" i="1"/>
  <c r="AA33" i="1"/>
  <c r="AA13" i="1"/>
  <c r="AB13" i="1" s="1"/>
  <c r="AC13" i="1" s="1"/>
  <c r="AE13" i="1" s="1"/>
  <c r="AG13" i="1" s="1"/>
  <c r="AA25" i="1"/>
  <c r="AA32" i="1"/>
  <c r="AA46" i="1"/>
  <c r="AA27" i="1"/>
  <c r="AA21" i="1"/>
  <c r="AA45" i="1"/>
  <c r="AA28" i="1"/>
  <c r="AA11" i="1"/>
  <c r="AA31" i="1"/>
  <c r="AA42" i="1"/>
  <c r="AA38" i="1"/>
  <c r="AA29" i="1"/>
  <c r="AA37" i="1"/>
  <c r="AA30" i="1"/>
  <c r="AA16" i="1"/>
  <c r="AA22" i="1"/>
  <c r="AA12" i="1"/>
  <c r="AA41" i="1"/>
  <c r="AB19" i="1"/>
  <c r="AC19" i="1" s="1"/>
  <c r="AE19" i="1" s="1"/>
  <c r="AG19" i="1" s="1"/>
  <c r="AB14" i="1"/>
  <c r="AC14" i="1" s="1"/>
  <c r="AE14" i="1" s="1"/>
  <c r="AG14" i="1" s="1"/>
  <c r="AB18" i="1"/>
  <c r="AC18" i="1" s="1"/>
  <c r="AE18" i="1" s="1"/>
  <c r="AG18" i="1" s="1"/>
  <c r="AB20" i="1"/>
  <c r="AC20" i="1" s="1"/>
  <c r="AE20" i="1" s="1"/>
  <c r="AG20" i="1" s="1"/>
  <c r="BA42" i="32" l="1"/>
  <c r="BA44" i="32" s="1"/>
  <c r="BA45" i="32" s="1"/>
  <c r="R24" i="36"/>
  <c r="BJ6" i="32"/>
  <c r="BM7" i="36"/>
  <c r="BD7" i="36"/>
  <c r="BC7" i="36"/>
  <c r="BI7" i="36"/>
  <c r="BH7" i="36"/>
  <c r="BG7" i="36"/>
  <c r="BM12" i="36"/>
  <c r="BG12" i="36"/>
  <c r="BD12" i="36"/>
  <c r="BC12" i="36"/>
  <c r="BE12" i="36" s="1"/>
  <c r="BI12" i="36"/>
  <c r="BH12" i="36"/>
  <c r="BM5" i="36"/>
  <c r="BD5" i="36"/>
  <c r="BH5" i="36"/>
  <c r="BC5" i="36"/>
  <c r="BE5" i="36" s="1"/>
  <c r="BI5" i="36"/>
  <c r="BG5" i="36"/>
  <c r="BM6" i="36"/>
  <c r="BC6" i="36"/>
  <c r="BE6" i="36" s="1"/>
  <c r="BH6" i="36"/>
  <c r="BI6" i="36"/>
  <c r="BG6" i="36"/>
  <c r="BD6" i="36"/>
  <c r="BO51" i="32"/>
  <c r="BJ43" i="32" s="1"/>
  <c r="BJ44" i="32" s="1"/>
  <c r="T24" i="8"/>
  <c r="BF4" i="8" s="1"/>
  <c r="BM9" i="36"/>
  <c r="BH9" i="36"/>
  <c r="BG9" i="36"/>
  <c r="BO2" i="36"/>
  <c r="BC9" i="36"/>
  <c r="BE9" i="36" s="1"/>
  <c r="BD9" i="36"/>
  <c r="BI9" i="36"/>
  <c r="J12" i="36"/>
  <c r="M17" i="36"/>
  <c r="BC8" i="36"/>
  <c r="BE8" i="36" s="1"/>
  <c r="BM8" i="36"/>
  <c r="BG8" i="36"/>
  <c r="BI8" i="36"/>
  <c r="BD8" i="36"/>
  <c r="BH8" i="36"/>
  <c r="T24" i="36"/>
  <c r="BF5" i="36" s="1"/>
  <c r="BD31" i="32"/>
  <c r="BJ34" i="32" s="1"/>
  <c r="BM13" i="36"/>
  <c r="BC13" i="36"/>
  <c r="BE13" i="36" s="1"/>
  <c r="BH13" i="36"/>
  <c r="BG13" i="36"/>
  <c r="BD13" i="36"/>
  <c r="BI13" i="36"/>
  <c r="BM11" i="36"/>
  <c r="BH11" i="36"/>
  <c r="BG11" i="36"/>
  <c r="BD11" i="36"/>
  <c r="BC11" i="36"/>
  <c r="BE11" i="36" s="1"/>
  <c r="BI11" i="36"/>
  <c r="R24" i="8"/>
  <c r="BM5" i="8"/>
  <c r="BD5" i="8"/>
  <c r="BH5" i="8"/>
  <c r="BI5" i="8"/>
  <c r="BC5" i="8"/>
  <c r="BW15" i="36"/>
  <c r="BW16" i="36" s="1"/>
  <c r="BM10" i="36"/>
  <c r="BC10" i="36"/>
  <c r="BE10" i="36" s="1"/>
  <c r="BI10" i="36"/>
  <c r="BG10" i="36"/>
  <c r="BH10" i="36"/>
  <c r="BD10" i="36"/>
  <c r="AB21" i="1"/>
  <c r="AC21" i="1" s="1"/>
  <c r="AE21" i="1" s="1"/>
  <c r="AG21" i="1" s="1"/>
  <c r="AB15" i="1"/>
  <c r="AC15" i="1" s="1"/>
  <c r="AE15" i="1" s="1"/>
  <c r="AG15" i="1" s="1"/>
  <c r="AB11" i="1"/>
  <c r="AC11" i="1" s="1"/>
  <c r="AB26" i="1"/>
  <c r="AC26" i="1" s="1"/>
  <c r="AE26" i="1" s="1"/>
  <c r="AG26" i="1" s="1"/>
  <c r="AB24" i="1"/>
  <c r="AC24" i="1" s="1"/>
  <c r="AE24" i="1" s="1"/>
  <c r="AG24" i="1" s="1"/>
  <c r="AB23" i="1"/>
  <c r="AC23" i="1" s="1"/>
  <c r="AE23" i="1" s="1"/>
  <c r="AG23" i="1" s="1"/>
  <c r="AB25" i="1"/>
  <c r="AC25" i="1" s="1"/>
  <c r="AE25" i="1" s="1"/>
  <c r="AG25" i="1" s="1"/>
  <c r="AB22" i="1"/>
  <c r="AC22" i="1" s="1"/>
  <c r="AE22" i="1" s="1"/>
  <c r="AG22" i="1" s="1"/>
  <c r="AB12" i="1"/>
  <c r="AC12" i="1" s="1"/>
  <c r="AE12" i="1" s="1"/>
  <c r="AG12" i="1" s="1"/>
  <c r="AB16" i="1"/>
  <c r="AC16" i="1" s="1"/>
  <c r="AE16" i="1" s="1"/>
  <c r="AG16" i="1" s="1"/>
  <c r="AB27" i="1"/>
  <c r="AC27" i="1" s="1"/>
  <c r="AE27" i="1" s="1"/>
  <c r="AG27" i="1" s="1"/>
  <c r="AB28" i="1"/>
  <c r="AC28" i="1" s="1"/>
  <c r="AE28" i="1" s="1"/>
  <c r="AG28" i="1" s="1"/>
  <c r="BE7" i="36" l="1"/>
  <c r="BF8" i="36"/>
  <c r="BJ8" i="36" s="1"/>
  <c r="BF13" i="36"/>
  <c r="BL13" i="36" s="1"/>
  <c r="BF11" i="36"/>
  <c r="BJ11" i="36" s="1"/>
  <c r="BF10" i="36"/>
  <c r="BL10" i="36" s="1"/>
  <c r="BL5" i="36"/>
  <c r="BJ5" i="36"/>
  <c r="BF12" i="36"/>
  <c r="BL12" i="36" s="1"/>
  <c r="BE4" i="36"/>
  <c r="BW8" i="36"/>
  <c r="R26" i="36"/>
  <c r="BF6" i="36"/>
  <c r="BE4" i="8"/>
  <c r="BJ4" i="8" s="1"/>
  <c r="BX8" i="8"/>
  <c r="BD33" i="32"/>
  <c r="BF9" i="36"/>
  <c r="BL9" i="36" s="1"/>
  <c r="BL4" i="8"/>
  <c r="BK4" i="8" s="1"/>
  <c r="BJ46" i="32"/>
  <c r="BD5" i="32"/>
  <c r="T26" i="36"/>
  <c r="BF4" i="36"/>
  <c r="BF7" i="36"/>
  <c r="BJ7" i="36" s="1"/>
  <c r="AE11" i="1"/>
  <c r="AG11" i="1" s="1"/>
  <c r="AB29" i="1"/>
  <c r="AC29" i="1" s="1"/>
  <c r="AE29" i="1" s="1"/>
  <c r="AG29" i="1" s="1"/>
  <c r="BJ13" i="36" l="1"/>
  <c r="BL8" i="36"/>
  <c r="BL11" i="36"/>
  <c r="BK11" i="36" s="1"/>
  <c r="BD34" i="32"/>
  <c r="BJ47" i="32" s="1"/>
  <c r="BJ48" i="32" s="1"/>
  <c r="BK5" i="36"/>
  <c r="BJ10" i="36"/>
  <c r="BK10" i="36" s="1"/>
  <c r="BQ2" i="36"/>
  <c r="BL7" i="36"/>
  <c r="BK7" i="36" s="1"/>
  <c r="BJ4" i="36"/>
  <c r="BL4" i="36"/>
  <c r="BD6" i="32"/>
  <c r="BJ3" i="32" s="1"/>
  <c r="BJ9" i="36"/>
  <c r="BK13" i="36"/>
  <c r="BJ12" i="36"/>
  <c r="BK12" i="36" s="1"/>
  <c r="BJ6" i="36"/>
  <c r="BL6" i="36"/>
  <c r="BW13" i="36"/>
  <c r="BW19" i="36" s="1"/>
  <c r="BW21" i="36" s="1"/>
  <c r="BX19" i="36" s="1"/>
  <c r="M19" i="36"/>
  <c r="BK8" i="36"/>
  <c r="AB30" i="1"/>
  <c r="AC30" i="1" s="1"/>
  <c r="AE30" i="1" s="1"/>
  <c r="AG30" i="1" s="1"/>
  <c r="BJ31" i="32" l="1"/>
  <c r="BJ33" i="32" s="1"/>
  <c r="BJ5" i="32"/>
  <c r="BP2" i="36"/>
  <c r="BP3" i="36" s="1"/>
  <c r="BT4" i="36" s="1"/>
  <c r="BK9" i="36"/>
  <c r="BK6" i="36"/>
  <c r="BK4" i="36"/>
  <c r="AB31" i="1"/>
  <c r="AC31" i="1" s="1"/>
  <c r="AE31" i="1" s="1"/>
  <c r="AG31" i="1" s="1"/>
  <c r="BT6" i="36" l="1"/>
  <c r="BT7" i="36" s="1"/>
  <c r="BT8" i="36" s="1"/>
  <c r="BW23" i="36"/>
  <c r="BX25" i="36" s="1"/>
  <c r="AB32" i="1"/>
  <c r="AC32" i="1" s="1"/>
  <c r="AE32" i="1" s="1"/>
  <c r="AG32" i="1" s="1"/>
  <c r="AB33" i="1" l="1"/>
  <c r="AC33" i="1" s="1"/>
  <c r="AE33" i="1" s="1"/>
  <c r="AG33" i="1" s="1"/>
  <c r="AB34" i="1" l="1"/>
  <c r="AC34" i="1" s="1"/>
  <c r="AE34" i="1" s="1"/>
  <c r="AG34" i="1" s="1"/>
  <c r="AB35" i="1" l="1"/>
  <c r="AC35" i="1" s="1"/>
  <c r="AE35" i="1" s="1"/>
  <c r="AG35" i="1" s="1"/>
  <c r="AB36" i="1" l="1"/>
  <c r="AC36" i="1" s="1"/>
  <c r="AE36" i="1" s="1"/>
  <c r="AG36" i="1" s="1"/>
  <c r="AB37" i="1" l="1"/>
  <c r="AC37" i="1" s="1"/>
  <c r="AE37" i="1" s="1"/>
  <c r="AG37" i="1" s="1"/>
  <c r="AB38" i="1" l="1"/>
  <c r="AC38" i="1" s="1"/>
  <c r="AE38" i="1" s="1"/>
  <c r="AG38" i="1" s="1"/>
  <c r="AB39" i="1" l="1"/>
  <c r="AC39" i="1" s="1"/>
  <c r="AE39" i="1" s="1"/>
  <c r="AG39" i="1" s="1"/>
  <c r="AB40" i="1" l="1"/>
  <c r="AC40" i="1" s="1"/>
  <c r="AE40" i="1" s="1"/>
  <c r="AG40" i="1" s="1"/>
  <c r="AB41" i="1" l="1"/>
  <c r="AC41" i="1" s="1"/>
  <c r="AE41" i="1" s="1"/>
  <c r="AG41" i="1" s="1"/>
  <c r="AB42" i="1" l="1"/>
  <c r="AC42" i="1" s="1"/>
  <c r="AE42" i="1" s="1"/>
  <c r="AG42" i="1" s="1"/>
  <c r="AB43" i="1" l="1"/>
  <c r="AC43" i="1" s="1"/>
  <c r="AE43" i="1" s="1"/>
  <c r="AG43" i="1" s="1"/>
  <c r="AB44" i="1" l="1"/>
  <c r="AC44" i="1" s="1"/>
  <c r="AE44" i="1" s="1"/>
  <c r="AG44" i="1" s="1"/>
  <c r="AB46" i="1" l="1"/>
  <c r="AC46" i="1" s="1"/>
  <c r="AE46" i="1" s="1"/>
  <c r="AG46" i="1" s="1"/>
  <c r="AB45" i="1"/>
  <c r="AC45" i="1" s="1"/>
  <c r="AE45" i="1" s="1"/>
  <c r="AG45" i="1" s="1"/>
  <c r="BB7" i="8" l="1"/>
  <c r="BM7" i="8" s="1"/>
  <c r="J12" i="8"/>
  <c r="BX12" i="8"/>
  <c r="BB8" i="8"/>
  <c r="BM8" i="8" s="1"/>
  <c r="I5" i="8"/>
  <c r="J5" i="8" s="1"/>
  <c r="BB6" i="8"/>
  <c r="BM6" i="8" s="1"/>
  <c r="BB10" i="8"/>
  <c r="BM10" i="8" s="1"/>
  <c r="BB11" i="8"/>
  <c r="BM11" i="8" s="1"/>
  <c r="BB12" i="8"/>
  <c r="BM12" i="8" s="1"/>
  <c r="BB13" i="8"/>
  <c r="BM13" i="8" s="1"/>
  <c r="T26" i="8"/>
  <c r="BT3" i="8"/>
  <c r="BX10" i="8"/>
  <c r="BX15" i="8" s="1"/>
  <c r="BX16" i="8" s="1"/>
  <c r="BB9" i="8"/>
  <c r="BM9" i="8" s="1"/>
  <c r="BI9" i="8" l="1"/>
  <c r="BH9" i="8"/>
  <c r="BH6" i="8"/>
  <c r="BI6" i="8"/>
  <c r="BH12" i="8"/>
  <c r="BI12" i="8"/>
  <c r="BI11" i="8"/>
  <c r="BH11" i="8"/>
  <c r="BI8" i="8"/>
  <c r="BH8" i="8"/>
  <c r="BI10" i="8"/>
  <c r="BH10" i="8"/>
  <c r="BI13" i="8"/>
  <c r="BH13" i="8"/>
  <c r="BI7" i="8"/>
  <c r="BH7" i="8"/>
  <c r="BD9" i="8"/>
  <c r="BF9" i="8" s="1"/>
  <c r="BC9" i="8"/>
  <c r="BE9" i="8" s="1"/>
  <c r="BG6" i="8"/>
  <c r="BD6" i="8"/>
  <c r="BF6" i="8" s="1"/>
  <c r="BC6" i="8"/>
  <c r="BE6" i="8" s="1"/>
  <c r="BC12" i="8"/>
  <c r="BE12" i="8" s="1"/>
  <c r="BD12" i="8"/>
  <c r="BF12" i="8" s="1"/>
  <c r="BO3" i="8"/>
  <c r="BD8" i="8"/>
  <c r="BF8" i="8" s="1"/>
  <c r="BC8" i="8"/>
  <c r="BE8" i="8" s="1"/>
  <c r="BD10" i="8"/>
  <c r="BF10" i="8" s="1"/>
  <c r="BC10" i="8"/>
  <c r="BE10" i="8" s="1"/>
  <c r="BC11" i="8"/>
  <c r="BE11" i="8" s="1"/>
  <c r="BD11" i="8"/>
  <c r="BF11" i="8" s="1"/>
  <c r="BC13" i="8"/>
  <c r="BE13" i="8" s="1"/>
  <c r="BD13" i="8"/>
  <c r="BF13" i="8" s="1"/>
  <c r="BC7" i="8"/>
  <c r="BE7" i="8" s="1"/>
  <c r="BD7" i="8"/>
  <c r="BF7" i="8" s="1"/>
  <c r="R26" i="8"/>
  <c r="BG7" i="8"/>
  <c r="BG5" i="8"/>
  <c r="BE5" i="8"/>
  <c r="BF5" i="8"/>
  <c r="BG8" i="8"/>
  <c r="BG10" i="8"/>
  <c r="BG11" i="8"/>
  <c r="BG12" i="8"/>
  <c r="BG13" i="8"/>
  <c r="BO2" i="8"/>
  <c r="BG9" i="8"/>
  <c r="BX13" i="8" l="1"/>
  <c r="BX19" i="8" s="1"/>
  <c r="BX21" i="8" s="1"/>
  <c r="BY19" i="8" s="1"/>
  <c r="M19" i="8"/>
  <c r="BL7" i="8"/>
  <c r="BJ7" i="8"/>
  <c r="BL11" i="8"/>
  <c r="BJ11" i="8"/>
  <c r="BJ10" i="8"/>
  <c r="BL10" i="8"/>
  <c r="BL5" i="8"/>
  <c r="BJ5" i="8"/>
  <c r="BL8" i="8"/>
  <c r="BJ8" i="8"/>
  <c r="BL6" i="8"/>
  <c r="BJ6" i="8"/>
  <c r="BL12" i="8"/>
  <c r="BJ12" i="8"/>
  <c r="BJ13" i="8"/>
  <c r="BL13" i="8"/>
  <c r="BL9" i="8"/>
  <c r="BJ9" i="8"/>
  <c r="BK7" i="8" l="1"/>
  <c r="BK10" i="8"/>
  <c r="BK5" i="8"/>
  <c r="BK8" i="8"/>
  <c r="BK11" i="8"/>
  <c r="BP2" i="8"/>
  <c r="BP3" i="8" s="1"/>
  <c r="BK12" i="8"/>
  <c r="BK13" i="8"/>
  <c r="BK6" i="8"/>
  <c r="BK9" i="8"/>
  <c r="BQ2" i="8"/>
  <c r="BT4" i="8" l="1"/>
  <c r="BX23" i="8" s="1"/>
  <c r="BY25" i="8" s="1"/>
  <c r="BT6" i="8" l="1"/>
  <c r="BT7" i="8" s="1"/>
  <c r="BT8" i="8" s="1"/>
  <c r="M4" i="51" l="1"/>
  <c r="R4" i="51" s="1"/>
  <c r="AU5" i="50" l="1"/>
  <c r="AW5" i="50" s="1"/>
  <c r="AU6" i="50"/>
  <c r="AW6" i="50" s="1"/>
  <c r="AU9" i="50"/>
  <c r="AW9" i="50" s="1"/>
  <c r="AU10" i="50"/>
  <c r="AW10" i="50" s="1"/>
  <c r="I14" i="50"/>
  <c r="I15" i="50"/>
  <c r="H4" i="41" l="1"/>
  <c r="I4" i="41"/>
  <c r="M4" i="41"/>
  <c r="N4" i="41"/>
  <c r="O4" i="41"/>
  <c r="R4" i="41"/>
  <c r="T4" i="41"/>
  <c r="V4" i="41"/>
  <c r="W4" i="41"/>
  <c r="X4" i="41"/>
  <c r="Y4" i="41"/>
  <c r="AF4" i="41"/>
  <c r="H5" i="41"/>
  <c r="I5" i="41"/>
  <c r="M5" i="41"/>
  <c r="N5" i="41"/>
  <c r="O5" i="41"/>
  <c r="R5" i="41"/>
  <c r="T5" i="41"/>
  <c r="V5" i="41"/>
  <c r="W5" i="41"/>
  <c r="X5" i="41"/>
  <c r="Y5" i="41"/>
  <c r="AF5" i="41"/>
  <c r="H6" i="41"/>
  <c r="I6" i="41"/>
  <c r="M6" i="41"/>
  <c r="N6" i="41"/>
  <c r="O6" i="41"/>
  <c r="R6" i="41"/>
  <c r="T6" i="41"/>
  <c r="V6" i="41"/>
  <c r="W6" i="41"/>
  <c r="X6" i="41"/>
  <c r="Y6" i="41"/>
  <c r="H7" i="41"/>
  <c r="I7" i="41"/>
  <c r="M7" i="41"/>
  <c r="N7" i="41"/>
  <c r="O7" i="41"/>
  <c r="R7" i="41"/>
  <c r="T7" i="41"/>
  <c r="V7" i="41"/>
  <c r="W7" i="41"/>
  <c r="X7" i="41"/>
  <c r="Y7" i="41"/>
  <c r="H8" i="41"/>
  <c r="I8" i="41"/>
  <c r="M8" i="41"/>
  <c r="N8" i="41"/>
  <c r="O8" i="41"/>
  <c r="R8" i="41"/>
  <c r="T8" i="41"/>
  <c r="V8" i="41"/>
  <c r="W8" i="41"/>
  <c r="X8" i="41"/>
  <c r="Y8" i="41"/>
  <c r="H9" i="41"/>
  <c r="I9" i="41"/>
  <c r="M9" i="41"/>
  <c r="N9" i="41"/>
  <c r="O9" i="41"/>
  <c r="R9" i="41"/>
  <c r="T9" i="41"/>
  <c r="V9" i="41"/>
  <c r="W9" i="41"/>
  <c r="X9" i="41"/>
  <c r="Y9" i="41"/>
  <c r="H10" i="41"/>
  <c r="I10" i="41"/>
  <c r="M10" i="41"/>
  <c r="N10" i="41"/>
  <c r="O10" i="41"/>
  <c r="R10" i="41"/>
  <c r="T10" i="41"/>
  <c r="V10" i="41"/>
  <c r="W10" i="41"/>
  <c r="X10" i="41"/>
  <c r="Y10" i="41"/>
  <c r="H11" i="41"/>
  <c r="I11" i="41"/>
  <c r="M11" i="41"/>
  <c r="N11" i="41"/>
  <c r="O11" i="41"/>
  <c r="R11" i="41"/>
  <c r="T11" i="41"/>
  <c r="V11" i="41"/>
  <c r="W11" i="41"/>
  <c r="X11" i="41"/>
  <c r="Y11" i="41"/>
  <c r="H12" i="41"/>
  <c r="I12" i="41"/>
  <c r="M12" i="41"/>
  <c r="N12" i="41"/>
  <c r="O12" i="41"/>
  <c r="R12" i="41"/>
  <c r="T12" i="41"/>
  <c r="V12" i="41"/>
  <c r="W12" i="41"/>
  <c r="X12" i="41"/>
  <c r="Y12" i="41"/>
  <c r="H13" i="41"/>
  <c r="I13" i="41"/>
  <c r="M13" i="41"/>
  <c r="N13" i="41"/>
  <c r="O13" i="41"/>
  <c r="R13" i="41"/>
  <c r="T13" i="41"/>
  <c r="V13" i="41"/>
  <c r="W13" i="41"/>
  <c r="X13" i="41"/>
  <c r="Y13" i="41"/>
  <c r="H14" i="41"/>
  <c r="I14" i="41"/>
  <c r="M14" i="41"/>
  <c r="N14" i="41"/>
  <c r="O14" i="41"/>
  <c r="R14" i="41"/>
  <c r="T14" i="41"/>
  <c r="V14" i="41"/>
  <c r="W14" i="41"/>
  <c r="X14" i="41"/>
  <c r="Y14" i="41"/>
  <c r="S4" i="51"/>
  <c r="T4" i="51"/>
  <c r="U4" i="51"/>
  <c r="G5" i="51"/>
  <c r="S5" i="51"/>
  <c r="T5" i="51"/>
  <c r="U5" i="51"/>
  <c r="AC5" i="51"/>
  <c r="AD5" i="51"/>
  <c r="AH5" i="51"/>
  <c r="AJ5" i="51"/>
  <c r="AM5" i="51"/>
  <c r="AO5" i="51"/>
  <c r="AP5" i="51"/>
  <c r="AQ5" i="51"/>
  <c r="AT5" i="51"/>
  <c r="G6" i="51"/>
  <c r="S6" i="51"/>
  <c r="T6" i="51"/>
  <c r="U6" i="51"/>
  <c r="AC6" i="51"/>
  <c r="AD6" i="51"/>
  <c r="AH6" i="51"/>
  <c r="AJ6" i="51"/>
  <c r="AL6" i="51"/>
  <c r="AM6" i="51"/>
  <c r="AO6" i="51"/>
  <c r="AP6" i="51"/>
  <c r="AQ6" i="51"/>
  <c r="AT6" i="51"/>
  <c r="G7" i="51"/>
  <c r="S7" i="51"/>
  <c r="T7" i="51"/>
  <c r="U7" i="51"/>
  <c r="AC7" i="51"/>
  <c r="AD7" i="51"/>
  <c r="AH7" i="51"/>
  <c r="AJ7" i="51"/>
  <c r="AM7" i="51"/>
  <c r="AO7" i="51"/>
  <c r="AP7" i="51"/>
  <c r="AQ7" i="51"/>
  <c r="AT7" i="51"/>
  <c r="G8" i="51"/>
  <c r="H8" i="51"/>
  <c r="I8" i="51"/>
  <c r="M8" i="51"/>
  <c r="R8" i="51"/>
  <c r="S8" i="51"/>
  <c r="T8" i="51"/>
  <c r="U8" i="51"/>
  <c r="AC8" i="51"/>
  <c r="AD8" i="51"/>
  <c r="AH8" i="51"/>
  <c r="AJ8" i="51"/>
  <c r="AM8" i="51"/>
  <c r="AO8" i="51"/>
  <c r="AP8" i="51"/>
  <c r="AQ8" i="51"/>
  <c r="AT8" i="51"/>
  <c r="G9" i="51"/>
  <c r="H9" i="51"/>
  <c r="I9" i="51"/>
  <c r="M9" i="51"/>
  <c r="R9" i="51"/>
  <c r="T9" i="51"/>
  <c r="U9" i="51"/>
  <c r="AC9" i="51"/>
  <c r="AD9" i="51"/>
  <c r="AH9" i="51"/>
  <c r="AJ9" i="51"/>
  <c r="AM9" i="51"/>
  <c r="AO9" i="51"/>
  <c r="AP9" i="51"/>
  <c r="AQ9" i="51"/>
  <c r="AT9" i="51"/>
  <c r="G10" i="51"/>
  <c r="H10" i="51"/>
  <c r="I10" i="51"/>
  <c r="M10" i="51"/>
  <c r="R10" i="51"/>
  <c r="T10" i="51"/>
  <c r="U10" i="51"/>
  <c r="AC10" i="51"/>
  <c r="AD10" i="51"/>
  <c r="AH10" i="51"/>
  <c r="AJ10" i="51"/>
  <c r="AL10" i="51"/>
  <c r="AM10" i="51"/>
  <c r="AO10" i="51"/>
  <c r="AP10" i="51"/>
  <c r="AQ10" i="51"/>
  <c r="AT10" i="51"/>
  <c r="G11" i="51"/>
  <c r="H11" i="51"/>
  <c r="I11" i="51"/>
  <c r="M11" i="51"/>
  <c r="R11" i="51"/>
  <c r="T11" i="51"/>
  <c r="U11" i="51"/>
  <c r="AC11" i="51"/>
  <c r="AD11" i="51"/>
  <c r="AH11" i="51"/>
  <c r="AJ11" i="51"/>
  <c r="AM11" i="51"/>
  <c r="AO11" i="51"/>
  <c r="AP11" i="51"/>
  <c r="AQ11" i="51"/>
  <c r="AT11" i="51"/>
  <c r="AT12" i="51"/>
  <c r="AT13" i="51"/>
  <c r="AT14" i="51"/>
  <c r="AT15" i="51"/>
  <c r="AT16" i="51"/>
  <c r="AT17" i="51"/>
  <c r="I4" i="48"/>
  <c r="M4" i="48"/>
  <c r="R4" i="48"/>
  <c r="S4" i="48"/>
  <c r="T4" i="48"/>
  <c r="U4" i="48"/>
  <c r="AC5" i="48"/>
  <c r="AD5" i="48"/>
  <c r="AH5" i="48"/>
  <c r="AJ5" i="48"/>
  <c r="AL5" i="48"/>
  <c r="AM5" i="48"/>
  <c r="AO5" i="48"/>
  <c r="AP5" i="48"/>
  <c r="AQ5" i="48"/>
  <c r="AT5" i="48"/>
  <c r="AC6" i="48"/>
  <c r="AD6" i="48"/>
  <c r="AH6" i="48"/>
  <c r="AJ6" i="48"/>
  <c r="AL6" i="48"/>
  <c r="AM6" i="48"/>
  <c r="AO6" i="48"/>
  <c r="AP6" i="48"/>
  <c r="AQ6" i="48"/>
  <c r="AT6" i="48"/>
  <c r="AC7" i="48"/>
  <c r="AD7" i="48"/>
  <c r="AH7" i="48"/>
  <c r="AJ7" i="48"/>
  <c r="AL7" i="48"/>
  <c r="AM7" i="48"/>
  <c r="AO7" i="48"/>
  <c r="AP7" i="48"/>
  <c r="AQ7" i="48"/>
  <c r="AT7" i="48"/>
  <c r="AC8" i="48"/>
  <c r="AD8" i="48"/>
  <c r="AH8" i="48"/>
  <c r="AJ8" i="48"/>
  <c r="AL8" i="48"/>
  <c r="AM8" i="48"/>
  <c r="AO8" i="48"/>
  <c r="AP8" i="48"/>
  <c r="AQ8" i="48"/>
  <c r="AT8" i="48"/>
  <c r="AC9" i="48"/>
  <c r="AD9" i="48"/>
  <c r="AH9" i="48"/>
  <c r="AJ9" i="48"/>
  <c r="AL9" i="48"/>
  <c r="AM9" i="48"/>
  <c r="AO9" i="48"/>
  <c r="AP9" i="48"/>
  <c r="AQ9" i="48"/>
  <c r="AT9" i="48"/>
  <c r="AC10" i="48"/>
  <c r="AD10" i="48"/>
  <c r="AH10" i="48"/>
  <c r="AJ10" i="48"/>
  <c r="AL10" i="48"/>
  <c r="AM10" i="48"/>
  <c r="AO10" i="48"/>
  <c r="AP10" i="48"/>
  <c r="AQ10" i="48"/>
  <c r="AT10" i="48"/>
  <c r="AC11" i="48"/>
  <c r="AD11" i="48"/>
  <c r="AH11" i="48"/>
  <c r="AJ11" i="48"/>
  <c r="AL11" i="48"/>
  <c r="AM11" i="48"/>
  <c r="AO11" i="48"/>
  <c r="AP11" i="48"/>
  <c r="AQ11" i="48"/>
  <c r="AT11" i="48"/>
  <c r="AC12" i="48"/>
  <c r="AD12" i="48"/>
  <c r="AH12" i="48"/>
  <c r="AJ12" i="48"/>
  <c r="AL12" i="48"/>
  <c r="AM12" i="48"/>
  <c r="AO12" i="48"/>
  <c r="AP12" i="48"/>
  <c r="AQ12" i="48"/>
  <c r="AT12" i="48"/>
  <c r="AC13" i="48"/>
  <c r="AD13" i="48"/>
  <c r="AH13" i="48"/>
  <c r="AJ13" i="48"/>
  <c r="AL13" i="48"/>
  <c r="AM13" i="48"/>
  <c r="AO13" i="48"/>
  <c r="AP13" i="48"/>
  <c r="AQ13" i="48"/>
  <c r="AT13" i="48"/>
  <c r="AC14" i="48"/>
  <c r="AD14" i="48"/>
  <c r="AH14" i="48"/>
  <c r="AJ14" i="48"/>
  <c r="AL14" i="48"/>
  <c r="AM14" i="48"/>
  <c r="AO14" i="48"/>
  <c r="AP14" i="48"/>
  <c r="AQ14" i="48"/>
  <c r="AT14" i="48"/>
  <c r="AC15" i="48"/>
  <c r="AD15" i="48"/>
  <c r="AH15" i="48"/>
  <c r="AJ15" i="48"/>
  <c r="AM15" i="48"/>
  <c r="AO15" i="48"/>
  <c r="AP15" i="48"/>
  <c r="AQ15" i="48"/>
  <c r="AT15" i="48"/>
  <c r="AC16" i="48"/>
  <c r="AD16" i="48"/>
  <c r="AH16" i="48"/>
  <c r="AJ16" i="48"/>
  <c r="AL16" i="48"/>
  <c r="AM16" i="48"/>
  <c r="AO16" i="48"/>
  <c r="AP16" i="48"/>
  <c r="AQ16" i="48"/>
  <c r="AT16" i="48"/>
  <c r="AC17" i="48"/>
  <c r="AD17" i="48"/>
  <c r="AH17" i="48"/>
  <c r="AJ17" i="48"/>
  <c r="AL17" i="48"/>
  <c r="AM17" i="48"/>
  <c r="AO17" i="48"/>
  <c r="AP17" i="48"/>
  <c r="AQ17" i="48"/>
  <c r="AC18" i="48"/>
  <c r="AD18" i="48"/>
  <c r="AH18" i="48"/>
  <c r="AJ18" i="48"/>
  <c r="AL18" i="48"/>
  <c r="AM18" i="48"/>
  <c r="AO18" i="48"/>
  <c r="AP18" i="48"/>
  <c r="AQ18" i="48"/>
  <c r="AC19" i="48"/>
  <c r="AD19" i="48"/>
  <c r="AH19" i="48"/>
  <c r="AJ19" i="48"/>
  <c r="AL19" i="48"/>
  <c r="AM19" i="48"/>
  <c r="AO19" i="48"/>
  <c r="AP19" i="48"/>
  <c r="AQ19" i="48"/>
  <c r="AQ4" i="50"/>
  <c r="AR4" i="50"/>
  <c r="AU4" i="50"/>
  <c r="AV4" i="50"/>
  <c r="AW4" i="50"/>
  <c r="AX4" i="50"/>
  <c r="AY4" i="50"/>
  <c r="BC5" i="50"/>
  <c r="BD5" i="50"/>
  <c r="BE5" i="50"/>
  <c r="BF5" i="50"/>
  <c r="BC6" i="50"/>
  <c r="BD6" i="50"/>
  <c r="BE6" i="50"/>
  <c r="BF6" i="50"/>
  <c r="AQ7" i="50"/>
  <c r="AR7" i="50"/>
  <c r="AU7" i="50"/>
  <c r="AW7" i="50"/>
  <c r="BC7" i="50"/>
  <c r="BD7" i="50"/>
  <c r="BE7" i="50"/>
  <c r="BF7" i="50"/>
  <c r="AL8" i="50"/>
  <c r="AN8" i="50"/>
  <c r="AO8" i="50"/>
  <c r="AP8" i="50"/>
  <c r="AR8" i="50"/>
  <c r="AU8" i="50"/>
  <c r="AV8" i="50"/>
  <c r="AW8" i="50"/>
  <c r="AX8" i="50"/>
  <c r="AY8" i="50"/>
  <c r="BC8" i="50"/>
  <c r="BD8" i="50"/>
  <c r="BE8" i="50"/>
  <c r="BF8" i="50"/>
  <c r="BC9" i="50"/>
  <c r="BD9" i="50"/>
  <c r="BE9" i="50"/>
  <c r="BF9" i="50"/>
  <c r="BC10" i="50"/>
  <c r="BD10" i="50"/>
  <c r="BE10" i="50"/>
  <c r="BF10" i="50"/>
  <c r="AQ11" i="50"/>
  <c r="AR11" i="50"/>
  <c r="AU11" i="50"/>
  <c r="AW11" i="50"/>
  <c r="BC11" i="50"/>
  <c r="BD11" i="50"/>
  <c r="BE11" i="50"/>
  <c r="BF11" i="50"/>
  <c r="AL15" i="50"/>
  <c r="AN15" i="50"/>
  <c r="AO15" i="50"/>
  <c r="AP15" i="50"/>
  <c r="AR15" i="50"/>
  <c r="AU15" i="50"/>
  <c r="AV15" i="50"/>
  <c r="AW15" i="50"/>
  <c r="AX15" i="50"/>
  <c r="AY15" i="50"/>
  <c r="AL16" i="50"/>
  <c r="AN16" i="50"/>
  <c r="AO16" i="50"/>
  <c r="AP16" i="50"/>
  <c r="AR16" i="50"/>
  <c r="AU16" i="50"/>
  <c r="AW16" i="50"/>
  <c r="AL17" i="50"/>
  <c r="AN17" i="50"/>
  <c r="AO17" i="50"/>
  <c r="AP17" i="50"/>
  <c r="AR17" i="50"/>
  <c r="AU17" i="50"/>
  <c r="AW17" i="50"/>
  <c r="AL18" i="50"/>
  <c r="AN18" i="50"/>
  <c r="AO18" i="50"/>
  <c r="AP18" i="50"/>
  <c r="AQ18" i="50"/>
  <c r="AR18" i="50"/>
  <c r="AU18" i="50"/>
  <c r="AW18" i="50"/>
  <c r="AL19" i="50"/>
  <c r="AN19" i="50"/>
  <c r="AO19" i="50"/>
  <c r="AP19" i="50"/>
  <c r="AR19" i="50"/>
  <c r="AU19" i="50"/>
  <c r="AV19" i="50"/>
  <c r="AW19" i="50"/>
  <c r="AX19" i="50"/>
  <c r="AY19" i="50"/>
  <c r="AL20" i="50"/>
  <c r="AN20" i="50"/>
  <c r="AO20" i="50"/>
  <c r="AP20" i="50"/>
  <c r="AR20" i="50"/>
  <c r="AU20" i="50"/>
  <c r="AW20" i="50"/>
  <c r="AL21" i="50"/>
  <c r="AN21" i="50"/>
  <c r="AO21" i="50"/>
  <c r="AP21" i="50"/>
  <c r="AR21" i="50"/>
  <c r="AU21" i="50"/>
  <c r="AW21" i="50"/>
  <c r="AL22" i="50"/>
  <c r="AN22" i="50"/>
  <c r="AO22" i="50"/>
  <c r="AP22" i="50"/>
  <c r="AQ22" i="50"/>
  <c r="AR22" i="50"/>
  <c r="AU22" i="50"/>
  <c r="AW22" i="50"/>
  <c r="AL26" i="50"/>
  <c r="AN26" i="50"/>
  <c r="AO26" i="50"/>
  <c r="AP26" i="50"/>
  <c r="AR26" i="50"/>
  <c r="AU26" i="50"/>
  <c r="AV26" i="50"/>
  <c r="AW26" i="50"/>
  <c r="AX26" i="50"/>
  <c r="AY26" i="50"/>
  <c r="AL27" i="50"/>
  <c r="AN27" i="50"/>
  <c r="AO27" i="50"/>
  <c r="AP27" i="50"/>
  <c r="AR27" i="50"/>
  <c r="AU27" i="50"/>
  <c r="AW27" i="50"/>
  <c r="AL28" i="50"/>
  <c r="AN28" i="50"/>
  <c r="AO28" i="50"/>
  <c r="AP28" i="50"/>
  <c r="AR28" i="50"/>
  <c r="AU28" i="50"/>
  <c r="AW28" i="50"/>
  <c r="AL29" i="50"/>
  <c r="AN29" i="50"/>
  <c r="AO29" i="50"/>
  <c r="AP29" i="50"/>
  <c r="AQ29" i="50"/>
  <c r="AR29" i="50"/>
  <c r="AU29" i="50"/>
  <c r="AW29" i="50"/>
  <c r="AL30" i="50"/>
  <c r="AN30" i="50"/>
  <c r="AO30" i="50"/>
  <c r="AP30" i="50"/>
  <c r="AR30" i="50"/>
  <c r="AU30" i="50"/>
  <c r="AV30" i="50"/>
  <c r="AW30" i="50"/>
  <c r="AX30" i="50"/>
  <c r="AY30" i="50"/>
  <c r="AL31" i="50"/>
  <c r="AN31" i="50"/>
  <c r="AO31" i="50"/>
  <c r="AP31" i="50"/>
  <c r="AR31" i="50"/>
  <c r="AU31" i="50"/>
  <c r="AW31" i="50"/>
  <c r="AL32" i="50"/>
  <c r="AN32" i="50"/>
  <c r="AO32" i="50"/>
  <c r="AP32" i="50"/>
  <c r="AR32" i="50"/>
  <c r="AU32" i="50"/>
  <c r="AW32" i="50"/>
  <c r="AL33" i="50"/>
  <c r="AN33" i="50"/>
  <c r="AO33" i="50"/>
  <c r="AP33" i="50"/>
  <c r="AQ33" i="50"/>
  <c r="AR33" i="50"/>
  <c r="AU33" i="50"/>
  <c r="AW33" i="50"/>
  <c r="AL37" i="50"/>
  <c r="AN37" i="50"/>
  <c r="AO37" i="50"/>
  <c r="AP37" i="50"/>
  <c r="AR37" i="50"/>
  <c r="AU37" i="50"/>
  <c r="AV37" i="50"/>
  <c r="AW37" i="50"/>
  <c r="AX37" i="50"/>
  <c r="AY37" i="50"/>
  <c r="AL38" i="50"/>
  <c r="AN38" i="50"/>
  <c r="AO38" i="50"/>
  <c r="AP38" i="50"/>
  <c r="AR38" i="50"/>
  <c r="AU38" i="50"/>
  <c r="AW38" i="50"/>
  <c r="AL39" i="50"/>
  <c r="AN39" i="50"/>
  <c r="AO39" i="50"/>
  <c r="AP39" i="50"/>
  <c r="AR39" i="50"/>
  <c r="AU39" i="50"/>
  <c r="AW39" i="50"/>
  <c r="AL40" i="50"/>
  <c r="AN40" i="50"/>
  <c r="AO40" i="50"/>
  <c r="AP40" i="50"/>
  <c r="AQ40" i="50"/>
  <c r="AR40" i="50"/>
  <c r="AU40" i="50"/>
  <c r="AW40" i="50"/>
  <c r="AL41" i="50"/>
  <c r="AN41" i="50"/>
  <c r="AO41" i="50"/>
  <c r="AP41" i="50"/>
  <c r="AR41" i="50"/>
  <c r="AU41" i="50"/>
  <c r="AV41" i="50"/>
  <c r="AW41" i="50"/>
  <c r="AX41" i="50"/>
  <c r="AY41" i="50"/>
  <c r="AL42" i="50"/>
  <c r="AN42" i="50"/>
  <c r="AO42" i="50"/>
  <c r="AP42" i="50"/>
  <c r="AR42" i="50"/>
  <c r="AU42" i="50"/>
  <c r="AW42" i="50"/>
  <c r="AL43" i="50"/>
  <c r="AN43" i="50"/>
  <c r="AO43" i="50"/>
  <c r="AP43" i="50"/>
  <c r="AR43" i="50"/>
  <c r="AU43" i="50"/>
  <c r="AW43" i="50"/>
  <c r="AL44" i="50"/>
  <c r="AN44" i="50"/>
  <c r="AO44" i="50"/>
  <c r="AP44" i="50"/>
  <c r="AQ44" i="50"/>
  <c r="AR44" i="50"/>
  <c r="AU44" i="50"/>
  <c r="AW44" i="50"/>
  <c r="AL48" i="50"/>
  <c r="AN48" i="50"/>
  <c r="AO48" i="50"/>
  <c r="AP48" i="50"/>
  <c r="AR48" i="50"/>
  <c r="AU48" i="50"/>
  <c r="AV48" i="50"/>
  <c r="AW48" i="50"/>
  <c r="AX48" i="50"/>
  <c r="AY48" i="50"/>
  <c r="AL49" i="50"/>
  <c r="AN49" i="50"/>
  <c r="AO49" i="50"/>
  <c r="AP49" i="50"/>
  <c r="AR49" i="50"/>
  <c r="AU49" i="50"/>
  <c r="AW49" i="50"/>
  <c r="AL50" i="50"/>
  <c r="AN50" i="50"/>
  <c r="AO50" i="50"/>
  <c r="AP50" i="50"/>
  <c r="AR50" i="50"/>
  <c r="AU50" i="50"/>
  <c r="AW50" i="50"/>
  <c r="AL51" i="50"/>
  <c r="AN51" i="50"/>
  <c r="AO51" i="50"/>
  <c r="AP51" i="50"/>
  <c r="AQ51" i="50"/>
  <c r="AR51" i="50"/>
  <c r="AU51" i="50"/>
  <c r="AW51" i="50"/>
  <c r="AL52" i="50"/>
  <c r="AN52" i="50"/>
  <c r="AO52" i="50"/>
  <c r="AP52" i="50"/>
  <c r="AR52" i="50"/>
  <c r="AU52" i="50"/>
  <c r="AV52" i="50"/>
  <c r="AW52" i="50"/>
  <c r="AX52" i="50"/>
  <c r="AY52" i="50"/>
  <c r="AL53" i="50"/>
  <c r="AN53" i="50"/>
  <c r="AO53" i="50"/>
  <c r="AP53" i="50"/>
  <c r="AR53" i="50"/>
  <c r="AU53" i="50"/>
  <c r="AW53" i="50"/>
  <c r="AL54" i="50"/>
  <c r="AN54" i="50"/>
  <c r="AO54" i="50"/>
  <c r="AP54" i="50"/>
  <c r="AR54" i="50"/>
  <c r="AU54" i="50"/>
  <c r="AW54" i="50"/>
  <c r="AL55" i="50"/>
  <c r="AN55" i="50"/>
  <c r="AO55" i="50"/>
  <c r="AP55" i="50"/>
  <c r="AQ55" i="50"/>
  <c r="AR55" i="50"/>
  <c r="AU55" i="50"/>
  <c r="AW55" i="50"/>
  <c r="AL59" i="50"/>
  <c r="AN59" i="50"/>
  <c r="AO59" i="50"/>
  <c r="AP59" i="50"/>
  <c r="AR59" i="50"/>
  <c r="AU59" i="50"/>
  <c r="AV59" i="50"/>
  <c r="AW59" i="50"/>
  <c r="AX59" i="50"/>
  <c r="AY59" i="50"/>
  <c r="AL60" i="50"/>
  <c r="AN60" i="50"/>
  <c r="AO60" i="50"/>
  <c r="AP60" i="50"/>
  <c r="AR60" i="50"/>
  <c r="AU60" i="50"/>
  <c r="AW60" i="50"/>
  <c r="AL61" i="50"/>
  <c r="AN61" i="50"/>
  <c r="AO61" i="50"/>
  <c r="AP61" i="50"/>
  <c r="AR61" i="50"/>
  <c r="AU61" i="50"/>
  <c r="AW61" i="50"/>
  <c r="AL62" i="50"/>
  <c r="AN62" i="50"/>
  <c r="AO62" i="50"/>
  <c r="AP62" i="50"/>
  <c r="AQ62" i="50"/>
  <c r="AR62" i="50"/>
  <c r="AU62" i="50"/>
  <c r="AW62" i="50"/>
  <c r="AL63" i="50"/>
  <c r="AN63" i="50"/>
  <c r="AO63" i="50"/>
  <c r="AP63" i="50"/>
  <c r="AR63" i="50"/>
  <c r="AU63" i="50"/>
  <c r="AV63" i="50"/>
  <c r="AW63" i="50"/>
  <c r="AX63" i="50"/>
  <c r="AY63" i="50"/>
  <c r="AL64" i="50"/>
  <c r="AN64" i="50"/>
  <c r="AO64" i="50"/>
  <c r="AP64" i="50"/>
  <c r="AR64" i="50"/>
  <c r="AU64" i="50"/>
  <c r="AW64" i="50"/>
  <c r="AL65" i="50"/>
  <c r="AN65" i="50"/>
  <c r="AO65" i="50"/>
  <c r="AP65" i="50"/>
  <c r="AR65" i="50"/>
  <c r="AU65" i="50"/>
  <c r="AW65" i="50"/>
  <c r="AL66" i="50"/>
  <c r="AN66" i="50"/>
  <c r="AO66" i="50"/>
  <c r="AP66" i="50"/>
  <c r="AQ66" i="50"/>
  <c r="AR66" i="50"/>
  <c r="AU66" i="50"/>
  <c r="AW66" i="50"/>
  <c r="AL70" i="50"/>
  <c r="AN70" i="50"/>
  <c r="AO70" i="50"/>
  <c r="AP70" i="50"/>
  <c r="AR70" i="50"/>
  <c r="AU70" i="50"/>
  <c r="AV70" i="50"/>
  <c r="AW70" i="50"/>
  <c r="AX70" i="50"/>
  <c r="AY70" i="50"/>
  <c r="AL71" i="50"/>
  <c r="AN71" i="50"/>
  <c r="AO71" i="50"/>
  <c r="AP71" i="50"/>
  <c r="AR71" i="50"/>
  <c r="AU71" i="50"/>
  <c r="AW71" i="50"/>
  <c r="AL72" i="50"/>
  <c r="AN72" i="50"/>
  <c r="AO72" i="50"/>
  <c r="AP72" i="50"/>
  <c r="AR72" i="50"/>
  <c r="AU72" i="50"/>
  <c r="AW72" i="50"/>
  <c r="I73" i="50"/>
  <c r="AL73" i="50"/>
  <c r="AN73" i="50"/>
  <c r="AO73" i="50"/>
  <c r="AP73" i="50"/>
  <c r="AQ73" i="50"/>
  <c r="AR73" i="50"/>
  <c r="AU73" i="50"/>
  <c r="AW73" i="50"/>
  <c r="I74" i="50"/>
  <c r="AL74" i="50"/>
  <c r="AN74" i="50"/>
  <c r="AO74" i="50"/>
  <c r="AP74" i="50"/>
  <c r="AR74" i="50"/>
  <c r="AU74" i="50"/>
  <c r="AV74" i="50"/>
  <c r="AW74" i="50"/>
  <c r="AX74" i="50"/>
  <c r="AY74" i="50"/>
  <c r="I75" i="50"/>
  <c r="AL75" i="50"/>
  <c r="AN75" i="50"/>
  <c r="AO75" i="50"/>
  <c r="AP75" i="50"/>
  <c r="AR75" i="50"/>
  <c r="AU75" i="50"/>
  <c r="AW75" i="50"/>
  <c r="AL76" i="50"/>
  <c r="AN76" i="50"/>
  <c r="AO76" i="50"/>
  <c r="AP76" i="50"/>
  <c r="AR76" i="50"/>
  <c r="AU76" i="50"/>
  <c r="AW76" i="50"/>
  <c r="AL77" i="50"/>
  <c r="AN77" i="50"/>
  <c r="AO77" i="50"/>
  <c r="AP77" i="50"/>
  <c r="AQ77" i="50"/>
  <c r="AR77" i="50"/>
  <c r="AU77" i="50"/>
  <c r="AW77" i="50"/>
  <c r="I88" i="50"/>
  <c r="I89" i="50"/>
  <c r="I90" i="50"/>
  <c r="I103" i="50"/>
  <c r="I104" i="50"/>
  <c r="I105" i="50"/>
  <c r="I118" i="50"/>
  <c r="I119" i="50"/>
  <c r="I120" i="50"/>
  <c r="AQ4" i="47"/>
  <c r="AR4" i="47"/>
  <c r="AU4" i="47"/>
  <c r="AV4" i="47"/>
  <c r="AW4" i="47"/>
  <c r="AX4" i="47"/>
  <c r="AY4" i="47"/>
  <c r="AQ5" i="47"/>
  <c r="AR5" i="47"/>
  <c r="AU5" i="47"/>
  <c r="AW5" i="47"/>
  <c r="BC5" i="47"/>
  <c r="BD5" i="47"/>
  <c r="BE5" i="47"/>
  <c r="BF5" i="47"/>
  <c r="AQ6" i="47"/>
  <c r="AR6" i="47"/>
  <c r="AU6" i="47"/>
  <c r="AW6" i="47"/>
  <c r="BC6" i="47"/>
  <c r="BD6" i="47"/>
  <c r="BE6" i="47"/>
  <c r="BF6" i="47"/>
  <c r="AQ7" i="47"/>
  <c r="AR7" i="47"/>
  <c r="AU7" i="47"/>
  <c r="AW7" i="47"/>
  <c r="BC7" i="47"/>
  <c r="BD7" i="47"/>
  <c r="BE7" i="47"/>
  <c r="BF7" i="47"/>
  <c r="AL8" i="47"/>
  <c r="AN8" i="47"/>
  <c r="AO8" i="47"/>
  <c r="AP8" i="47"/>
  <c r="AQ8" i="47"/>
  <c r="AR8" i="47"/>
  <c r="AU8" i="47"/>
  <c r="AV8" i="47"/>
  <c r="AW8" i="47"/>
  <c r="AX8" i="47"/>
  <c r="AY8" i="47"/>
  <c r="BC8" i="47"/>
  <c r="BD8" i="47"/>
  <c r="BE8" i="47"/>
  <c r="BF8" i="47"/>
  <c r="AQ9" i="47"/>
  <c r="AR9" i="47"/>
  <c r="AU9" i="47"/>
  <c r="AW9" i="47"/>
  <c r="BC9" i="47"/>
  <c r="BD9" i="47"/>
  <c r="BE9" i="47"/>
  <c r="BF9" i="47"/>
  <c r="AQ10" i="47"/>
  <c r="AR10" i="47"/>
  <c r="AU10" i="47"/>
  <c r="AW10" i="47"/>
  <c r="BC10" i="47"/>
  <c r="BD10" i="47"/>
  <c r="BE10" i="47"/>
  <c r="BF10" i="47"/>
  <c r="AQ11" i="47"/>
  <c r="AR11" i="47"/>
  <c r="AU11" i="47"/>
  <c r="AW11" i="47"/>
  <c r="BC11" i="47"/>
  <c r="BD11" i="47"/>
  <c r="BE11" i="47"/>
  <c r="BF11" i="47"/>
  <c r="AQ12" i="47"/>
  <c r="AR12" i="47"/>
  <c r="AU12" i="47"/>
  <c r="AW12" i="47"/>
  <c r="BC12" i="47"/>
  <c r="BD12" i="47"/>
  <c r="BE12" i="47"/>
  <c r="BF12" i="47"/>
  <c r="I13" i="47"/>
  <c r="AQ13" i="47"/>
  <c r="AR13" i="47"/>
  <c r="AU13" i="47"/>
  <c r="AV13" i="47"/>
  <c r="AW13" i="47"/>
  <c r="AX13" i="47"/>
  <c r="AY13" i="47"/>
  <c r="BC13" i="47"/>
  <c r="BD13" i="47"/>
  <c r="BE13" i="47"/>
  <c r="BF13" i="47"/>
  <c r="I14" i="47"/>
  <c r="AQ14" i="47"/>
  <c r="AR14" i="47"/>
  <c r="AU14" i="47"/>
  <c r="AW14" i="47"/>
  <c r="BC14" i="47"/>
  <c r="BD14" i="47"/>
  <c r="BE14" i="47"/>
  <c r="BF14" i="47"/>
  <c r="I15" i="47"/>
  <c r="AQ15" i="47"/>
  <c r="AR15" i="47"/>
  <c r="AU15" i="47"/>
  <c r="AW15" i="47"/>
  <c r="BC15" i="47"/>
  <c r="BD15" i="47"/>
  <c r="BE15" i="47"/>
  <c r="BF15" i="47"/>
  <c r="AL16" i="47"/>
  <c r="AN16" i="47"/>
  <c r="AO16" i="47"/>
  <c r="AP16" i="47"/>
  <c r="AQ16" i="47"/>
  <c r="AR16" i="47"/>
  <c r="AU16" i="47"/>
  <c r="AW16" i="47"/>
  <c r="BC16" i="47"/>
  <c r="BD16" i="47"/>
  <c r="BE16" i="47"/>
  <c r="BF16" i="47"/>
  <c r="AL17" i="47"/>
  <c r="AN17" i="47"/>
  <c r="AO17" i="47"/>
  <c r="AP17" i="47"/>
  <c r="AQ17" i="47"/>
  <c r="AR17" i="47"/>
  <c r="AU17" i="47"/>
  <c r="AV17" i="47"/>
  <c r="AW17" i="47"/>
  <c r="AX17" i="47"/>
  <c r="AY17" i="47"/>
  <c r="BC17" i="47"/>
  <c r="BD17" i="47"/>
  <c r="BE17" i="47"/>
  <c r="BF17" i="47"/>
  <c r="AL18" i="47"/>
  <c r="AN18" i="47"/>
  <c r="AO18" i="47"/>
  <c r="AP18" i="47"/>
  <c r="AQ18" i="47"/>
  <c r="AR18" i="47"/>
  <c r="AU18" i="47"/>
  <c r="AW18" i="47"/>
  <c r="BC18" i="47"/>
  <c r="BD18" i="47"/>
  <c r="BE18" i="47"/>
  <c r="BF18" i="47"/>
  <c r="AQ19" i="47"/>
  <c r="AR19" i="47"/>
  <c r="AU19" i="47"/>
  <c r="AW19" i="47"/>
  <c r="BC19" i="47"/>
  <c r="BD19" i="47"/>
  <c r="BE19" i="47"/>
  <c r="BF19" i="47"/>
  <c r="AQ20" i="47"/>
  <c r="AR20" i="47"/>
  <c r="AU20" i="47"/>
  <c r="AW20" i="47"/>
  <c r="AQ21" i="47"/>
  <c r="AR21" i="47"/>
  <c r="AU21" i="47"/>
  <c r="AW21" i="47"/>
  <c r="AQ22" i="47"/>
  <c r="AR22" i="47"/>
  <c r="AU22" i="47"/>
  <c r="AW22" i="47"/>
  <c r="AL26" i="47"/>
  <c r="AN26" i="47"/>
  <c r="AO26" i="47"/>
  <c r="AP26" i="47"/>
  <c r="AQ26" i="47"/>
  <c r="AR26" i="47"/>
  <c r="AU26" i="47"/>
  <c r="AV26" i="47"/>
  <c r="AW26" i="47"/>
  <c r="AX26" i="47"/>
  <c r="AY26" i="47"/>
  <c r="AL27" i="47"/>
  <c r="AN27" i="47"/>
  <c r="AO27" i="47"/>
  <c r="AP27" i="47"/>
  <c r="AQ27" i="47"/>
  <c r="AR27" i="47"/>
  <c r="AU27" i="47"/>
  <c r="AW27" i="47"/>
  <c r="AL28" i="47"/>
  <c r="AN28" i="47"/>
  <c r="AO28" i="47"/>
  <c r="AP28" i="47"/>
  <c r="AQ28" i="47"/>
  <c r="AR28" i="47"/>
  <c r="AU28" i="47"/>
  <c r="AW28" i="47"/>
  <c r="AL29" i="47"/>
  <c r="AN29" i="47"/>
  <c r="AO29" i="47"/>
  <c r="AP29" i="47"/>
  <c r="AQ29" i="47"/>
  <c r="AR29" i="47"/>
  <c r="AU29" i="47"/>
  <c r="AW29" i="47"/>
  <c r="AL30" i="47"/>
  <c r="AN30" i="47"/>
  <c r="AO30" i="47"/>
  <c r="AP30" i="47"/>
  <c r="AQ30" i="47"/>
  <c r="AR30" i="47"/>
  <c r="AU30" i="47"/>
  <c r="AV30" i="47"/>
  <c r="AW30" i="47"/>
  <c r="AX30" i="47"/>
  <c r="AY30" i="47"/>
  <c r="AL31" i="47"/>
  <c r="AN31" i="47"/>
  <c r="AO31" i="47"/>
  <c r="AP31" i="47"/>
  <c r="AQ31" i="47"/>
  <c r="AR31" i="47"/>
  <c r="AU31" i="47"/>
  <c r="AW31" i="47"/>
  <c r="AL32" i="47"/>
  <c r="AN32" i="47"/>
  <c r="AO32" i="47"/>
  <c r="AP32" i="47"/>
  <c r="AQ32" i="47"/>
  <c r="AR32" i="47"/>
  <c r="AU32" i="47"/>
  <c r="AW32" i="47"/>
  <c r="AL33" i="47"/>
  <c r="AN33" i="47"/>
  <c r="AO33" i="47"/>
  <c r="AP33" i="47"/>
  <c r="AQ33" i="47"/>
  <c r="AR33" i="47"/>
  <c r="AU33" i="47"/>
  <c r="AW33" i="47"/>
  <c r="AL34" i="47"/>
  <c r="AN34" i="47"/>
  <c r="AO34" i="47"/>
  <c r="AP34" i="47"/>
  <c r="AQ34" i="47"/>
  <c r="AR34" i="47"/>
  <c r="AU34" i="47"/>
  <c r="AW34" i="47"/>
  <c r="AL35" i="47"/>
  <c r="AN35" i="47"/>
  <c r="AO35" i="47"/>
  <c r="AP35" i="47"/>
  <c r="AQ35" i="47"/>
  <c r="AR35" i="47"/>
  <c r="AU35" i="47"/>
  <c r="AV35" i="47"/>
  <c r="AW35" i="47"/>
  <c r="AX35" i="47"/>
  <c r="AY35" i="47"/>
  <c r="AL36" i="47"/>
  <c r="AN36" i="47"/>
  <c r="AO36" i="47"/>
  <c r="AP36" i="47"/>
  <c r="AQ36" i="47"/>
  <c r="AR36" i="47"/>
  <c r="AU36" i="47"/>
  <c r="AW36" i="47"/>
  <c r="AL37" i="47"/>
  <c r="AN37" i="47"/>
  <c r="AO37" i="47"/>
  <c r="AP37" i="47"/>
  <c r="AQ37" i="47"/>
  <c r="AR37" i="47"/>
  <c r="AU37" i="47"/>
  <c r="AW37" i="47"/>
  <c r="AL38" i="47"/>
  <c r="AN38" i="47"/>
  <c r="AO38" i="47"/>
  <c r="AP38" i="47"/>
  <c r="AQ38" i="47"/>
  <c r="AR38" i="47"/>
  <c r="AU38" i="47"/>
  <c r="AW38" i="47"/>
  <c r="AL39" i="47"/>
  <c r="AN39" i="47"/>
  <c r="AO39" i="47"/>
  <c r="AP39" i="47"/>
  <c r="AQ39" i="47"/>
  <c r="AR39" i="47"/>
  <c r="AU39" i="47"/>
  <c r="AV39" i="47"/>
  <c r="AW39" i="47"/>
  <c r="AX39" i="47"/>
  <c r="AY39" i="47"/>
  <c r="AL40" i="47"/>
  <c r="AN40" i="47"/>
  <c r="AO40" i="47"/>
  <c r="AP40" i="47"/>
  <c r="AQ40" i="47"/>
  <c r="AR40" i="47"/>
  <c r="AU40" i="47"/>
  <c r="AW40" i="47"/>
  <c r="AL41" i="47"/>
  <c r="AN41" i="47"/>
  <c r="AO41" i="47"/>
  <c r="AP41" i="47"/>
  <c r="AQ41" i="47"/>
  <c r="AR41" i="47"/>
  <c r="AU41" i="47"/>
  <c r="AW41" i="47"/>
  <c r="AL42" i="47"/>
  <c r="AN42" i="47"/>
  <c r="AO42" i="47"/>
  <c r="AP42" i="47"/>
  <c r="AQ42" i="47"/>
  <c r="AR42" i="47"/>
  <c r="AU42" i="47"/>
  <c r="AW42" i="47"/>
  <c r="AL43" i="47"/>
  <c r="AN43" i="47"/>
  <c r="AO43" i="47"/>
  <c r="AP43" i="47"/>
  <c r="AQ43" i="47"/>
  <c r="AR43" i="47"/>
  <c r="AU43" i="47"/>
  <c r="AW43" i="47"/>
  <c r="AL44" i="47"/>
  <c r="AN44" i="47"/>
  <c r="AO44" i="47"/>
  <c r="AP44" i="47"/>
  <c r="AQ44" i="47"/>
  <c r="AR44" i="47"/>
  <c r="AU44" i="47"/>
  <c r="AW44" i="47"/>
  <c r="AL48" i="47"/>
  <c r="AN48" i="47"/>
  <c r="AO48" i="47"/>
  <c r="AP48" i="47"/>
  <c r="AQ48" i="47"/>
  <c r="AR48" i="47"/>
  <c r="AU48" i="47"/>
  <c r="AV48" i="47"/>
  <c r="AW48" i="47"/>
  <c r="AX48" i="47"/>
  <c r="AY48" i="47"/>
  <c r="AL49" i="47"/>
  <c r="AN49" i="47"/>
  <c r="AO49" i="47"/>
  <c r="AP49" i="47"/>
  <c r="AQ49" i="47"/>
  <c r="AR49" i="47"/>
  <c r="AU49" i="47"/>
  <c r="AW49" i="47"/>
  <c r="AL50" i="47"/>
  <c r="AN50" i="47"/>
  <c r="AO50" i="47"/>
  <c r="AP50" i="47"/>
  <c r="AQ50" i="47"/>
  <c r="AR50" i="47"/>
  <c r="AU50" i="47"/>
  <c r="AW50" i="47"/>
  <c r="AL51" i="47"/>
  <c r="AN51" i="47"/>
  <c r="AO51" i="47"/>
  <c r="AP51" i="47"/>
  <c r="AQ51" i="47"/>
  <c r="AR51" i="47"/>
  <c r="AU51" i="47"/>
  <c r="AW51" i="47"/>
  <c r="AL52" i="47"/>
  <c r="AN52" i="47"/>
  <c r="AO52" i="47"/>
  <c r="AP52" i="47"/>
  <c r="AQ52" i="47"/>
  <c r="AR52" i="47"/>
  <c r="AU52" i="47"/>
  <c r="AV52" i="47"/>
  <c r="AW52" i="47"/>
  <c r="AX52" i="47"/>
  <c r="AY52" i="47"/>
  <c r="AL53" i="47"/>
  <c r="AN53" i="47"/>
  <c r="AO53" i="47"/>
  <c r="AP53" i="47"/>
  <c r="AQ53" i="47"/>
  <c r="AR53" i="47"/>
  <c r="AU53" i="47"/>
  <c r="AW53" i="47"/>
  <c r="AL54" i="47"/>
  <c r="AN54" i="47"/>
  <c r="AO54" i="47"/>
  <c r="AP54" i="47"/>
  <c r="AQ54" i="47"/>
  <c r="AR54" i="47"/>
  <c r="AU54" i="47"/>
  <c r="AW54" i="47"/>
  <c r="AL55" i="47"/>
  <c r="AN55" i="47"/>
  <c r="AO55" i="47"/>
  <c r="AP55" i="47"/>
  <c r="AQ55" i="47"/>
  <c r="AR55" i="47"/>
  <c r="AU55" i="47"/>
  <c r="AW55" i="47"/>
  <c r="AL56" i="47"/>
  <c r="AN56" i="47"/>
  <c r="AO56" i="47"/>
  <c r="AP56" i="47"/>
  <c r="AQ56" i="47"/>
  <c r="AR56" i="47"/>
  <c r="AU56" i="47"/>
  <c r="AW56" i="47"/>
  <c r="AL57" i="47"/>
  <c r="AN57" i="47"/>
  <c r="AO57" i="47"/>
  <c r="AP57" i="47"/>
  <c r="AQ57" i="47"/>
  <c r="AR57" i="47"/>
  <c r="AU57" i="47"/>
  <c r="AV57" i="47"/>
  <c r="AW57" i="47"/>
  <c r="AX57" i="47"/>
  <c r="AY57" i="47"/>
  <c r="AL58" i="47"/>
  <c r="AN58" i="47"/>
  <c r="AO58" i="47"/>
  <c r="AP58" i="47"/>
  <c r="AQ58" i="47"/>
  <c r="AR58" i="47"/>
  <c r="AU58" i="47"/>
  <c r="AW58" i="47"/>
  <c r="AL59" i="47"/>
  <c r="AN59" i="47"/>
  <c r="AO59" i="47"/>
  <c r="AP59" i="47"/>
  <c r="AQ59" i="47"/>
  <c r="AR59" i="47"/>
  <c r="AU59" i="47"/>
  <c r="AW59" i="47"/>
  <c r="AL60" i="47"/>
  <c r="AN60" i="47"/>
  <c r="AO60" i="47"/>
  <c r="AP60" i="47"/>
  <c r="AQ60" i="47"/>
  <c r="AR60" i="47"/>
  <c r="AU60" i="47"/>
  <c r="AW60" i="47"/>
  <c r="AL61" i="47"/>
  <c r="AN61" i="47"/>
  <c r="AO61" i="47"/>
  <c r="AP61" i="47"/>
  <c r="AQ61" i="47"/>
  <c r="AR61" i="47"/>
  <c r="AU61" i="47"/>
  <c r="AV61" i="47"/>
  <c r="AW61" i="47"/>
  <c r="AX61" i="47"/>
  <c r="AY61" i="47"/>
  <c r="AL62" i="47"/>
  <c r="AN62" i="47"/>
  <c r="AO62" i="47"/>
  <c r="AP62" i="47"/>
  <c r="AQ62" i="47"/>
  <c r="AR62" i="47"/>
  <c r="AU62" i="47"/>
  <c r="AW62" i="47"/>
  <c r="AL63" i="47"/>
  <c r="AN63" i="47"/>
  <c r="AO63" i="47"/>
  <c r="AP63" i="47"/>
  <c r="AQ63" i="47"/>
  <c r="AR63" i="47"/>
  <c r="AU63" i="47"/>
  <c r="AW63" i="47"/>
  <c r="AL64" i="47"/>
  <c r="AN64" i="47"/>
  <c r="AO64" i="47"/>
  <c r="AP64" i="47"/>
  <c r="AQ64" i="47"/>
  <c r="AR64" i="47"/>
  <c r="AU64" i="47"/>
  <c r="AW64" i="47"/>
  <c r="AL65" i="47"/>
  <c r="AN65" i="47"/>
  <c r="AO65" i="47"/>
  <c r="AP65" i="47"/>
  <c r="AQ65" i="47"/>
  <c r="AR65" i="47"/>
  <c r="AU65" i="47"/>
  <c r="AW65" i="47"/>
  <c r="AL66" i="47"/>
  <c r="AN66" i="47"/>
  <c r="AO66" i="47"/>
  <c r="AP66" i="47"/>
  <c r="AQ66" i="47"/>
  <c r="AR66" i="47"/>
  <c r="AU66" i="47"/>
  <c r="AW66" i="47"/>
  <c r="AL70" i="47"/>
  <c r="AN70" i="47"/>
  <c r="AO70" i="47"/>
  <c r="AP70" i="47"/>
  <c r="AQ70" i="47"/>
  <c r="AR70" i="47"/>
  <c r="AU70" i="47"/>
  <c r="AV70" i="47"/>
  <c r="AW70" i="47"/>
  <c r="AX70" i="47"/>
  <c r="AY70" i="47"/>
  <c r="AL71" i="47"/>
  <c r="AN71" i="47"/>
  <c r="AO71" i="47"/>
  <c r="AP71" i="47"/>
  <c r="AQ71" i="47"/>
  <c r="AR71" i="47"/>
  <c r="AU71" i="47"/>
  <c r="AW71" i="47"/>
  <c r="AL72" i="47"/>
  <c r="AN72" i="47"/>
  <c r="AO72" i="47"/>
  <c r="AP72" i="47"/>
  <c r="AQ72" i="47"/>
  <c r="AR72" i="47"/>
  <c r="AU72" i="47"/>
  <c r="AW72" i="47"/>
  <c r="AL73" i="47"/>
  <c r="AN73" i="47"/>
  <c r="AO73" i="47"/>
  <c r="AP73" i="47"/>
  <c r="AQ73" i="47"/>
  <c r="AR73" i="47"/>
  <c r="AU73" i="47"/>
  <c r="AW73" i="47"/>
  <c r="AL74" i="47"/>
  <c r="AN74" i="47"/>
  <c r="AO74" i="47"/>
  <c r="AP74" i="47"/>
  <c r="AQ74" i="47"/>
  <c r="AR74" i="47"/>
  <c r="AU74" i="47"/>
  <c r="AV74" i="47"/>
  <c r="AW74" i="47"/>
  <c r="AX74" i="47"/>
  <c r="AY74" i="47"/>
  <c r="AL75" i="47"/>
  <c r="AN75" i="47"/>
  <c r="AO75" i="47"/>
  <c r="AP75" i="47"/>
  <c r="AQ75" i="47"/>
  <c r="AR75" i="47"/>
  <c r="AU75" i="47"/>
  <c r="AW75" i="47"/>
  <c r="AL76" i="47"/>
  <c r="AN76" i="47"/>
  <c r="AO76" i="47"/>
  <c r="AP76" i="47"/>
  <c r="AQ76" i="47"/>
  <c r="AR76" i="47"/>
  <c r="AU76" i="47"/>
  <c r="AW76" i="47"/>
  <c r="AL77" i="47"/>
  <c r="AN77" i="47"/>
  <c r="AO77" i="47"/>
  <c r="AP77" i="47"/>
  <c r="AQ77" i="47"/>
  <c r="AR77" i="47"/>
  <c r="AU77" i="47"/>
  <c r="AW77" i="47"/>
  <c r="AL78" i="47"/>
  <c r="AN78" i="47"/>
  <c r="AO78" i="47"/>
  <c r="AP78" i="47"/>
  <c r="AQ78" i="47"/>
  <c r="AR78" i="47"/>
  <c r="AU78" i="47"/>
  <c r="AW78" i="47"/>
  <c r="AL79" i="47"/>
  <c r="AN79" i="47"/>
  <c r="AO79" i="47"/>
  <c r="AP79" i="47"/>
  <c r="AQ79" i="47"/>
  <c r="AR79" i="47"/>
  <c r="AU79" i="47"/>
  <c r="AV79" i="47"/>
  <c r="AW79" i="47"/>
  <c r="AX79" i="47"/>
  <c r="AY79" i="47"/>
  <c r="AL80" i="47"/>
  <c r="AN80" i="47"/>
  <c r="AO80" i="47"/>
  <c r="AP80" i="47"/>
  <c r="AQ80" i="47"/>
  <c r="AR80" i="47"/>
  <c r="AU80" i="47"/>
  <c r="AW80" i="47"/>
  <c r="AL81" i="47"/>
  <c r="AN81" i="47"/>
  <c r="AO81" i="47"/>
  <c r="AP81" i="47"/>
  <c r="AR81" i="47"/>
  <c r="AU81" i="47"/>
  <c r="AW81" i="47"/>
  <c r="AL82" i="47"/>
  <c r="AN82" i="47"/>
  <c r="AO82" i="47"/>
  <c r="AP82" i="47"/>
  <c r="AQ82" i="47"/>
  <c r="AR82" i="47"/>
  <c r="AU82" i="47"/>
  <c r="AW82" i="47"/>
  <c r="AL83" i="47"/>
  <c r="AN83" i="47"/>
  <c r="AO83" i="47"/>
  <c r="AP83" i="47"/>
  <c r="AQ83" i="47"/>
  <c r="AR83" i="47"/>
  <c r="AU83" i="47"/>
  <c r="AV83" i="47"/>
  <c r="AW83" i="47"/>
  <c r="AX83" i="47"/>
  <c r="AY83" i="47"/>
  <c r="AL84" i="47"/>
  <c r="AN84" i="47"/>
  <c r="AO84" i="47"/>
  <c r="AP84" i="47"/>
  <c r="AQ84" i="47"/>
  <c r="AR84" i="47"/>
  <c r="AU84" i="47"/>
  <c r="AW84" i="47"/>
  <c r="AL85" i="47"/>
  <c r="AN85" i="47"/>
  <c r="AO85" i="47"/>
  <c r="AP85" i="47"/>
  <c r="AQ85" i="47"/>
  <c r="AR85" i="47"/>
  <c r="AU85" i="47"/>
  <c r="AW85" i="47"/>
  <c r="AL86" i="47"/>
  <c r="AN86" i="47"/>
  <c r="AO86" i="47"/>
  <c r="AP86" i="47"/>
  <c r="AQ86" i="47"/>
  <c r="AR86" i="47"/>
  <c r="AU86" i="47"/>
  <c r="AW86" i="47"/>
  <c r="AL87" i="47"/>
  <c r="AN87" i="47"/>
  <c r="AO87" i="47"/>
  <c r="AP87" i="47"/>
  <c r="AQ87" i="47"/>
  <c r="AR87" i="47"/>
  <c r="AU87" i="47"/>
  <c r="AW87" i="47"/>
  <c r="AL88" i="47"/>
  <c r="AN88" i="47"/>
  <c r="AO88" i="47"/>
  <c r="AP88" i="47"/>
  <c r="AQ88" i="47"/>
  <c r="AR88" i="47"/>
  <c r="AU88" i="47"/>
  <c r="AW88" i="47"/>
  <c r="AL92" i="47"/>
  <c r="AN92" i="47"/>
  <c r="AO92" i="47"/>
  <c r="AP92" i="47"/>
  <c r="AQ92" i="47"/>
  <c r="AR92" i="47"/>
  <c r="AU92" i="47"/>
  <c r="AV92" i="47"/>
  <c r="AW92" i="47"/>
  <c r="AX92" i="47"/>
  <c r="AY92" i="47"/>
  <c r="AL93" i="47"/>
  <c r="AN93" i="47"/>
  <c r="AO93" i="47"/>
  <c r="AP93" i="47"/>
  <c r="AQ93" i="47"/>
  <c r="AR93" i="47"/>
  <c r="AU93" i="47"/>
  <c r="AW93" i="47"/>
  <c r="AL94" i="47"/>
  <c r="AN94" i="47"/>
  <c r="AO94" i="47"/>
  <c r="AP94" i="47"/>
  <c r="AQ94" i="47"/>
  <c r="AR94" i="47"/>
  <c r="AU94" i="47"/>
  <c r="AW94" i="47"/>
  <c r="AL95" i="47"/>
  <c r="AN95" i="47"/>
  <c r="AO95" i="47"/>
  <c r="AP95" i="47"/>
  <c r="AQ95" i="47"/>
  <c r="AR95" i="47"/>
  <c r="AU95" i="47"/>
  <c r="AW95" i="47"/>
  <c r="AL96" i="47"/>
  <c r="AN96" i="47"/>
  <c r="AO96" i="47"/>
  <c r="AP96" i="47"/>
  <c r="AQ96" i="47"/>
  <c r="AR96" i="47"/>
  <c r="AU96" i="47"/>
  <c r="AV96" i="47"/>
  <c r="AW96" i="47"/>
  <c r="AX96" i="47"/>
  <c r="AY96" i="47"/>
  <c r="AL97" i="47"/>
  <c r="AN97" i="47"/>
  <c r="AO97" i="47"/>
  <c r="AP97" i="47"/>
  <c r="AQ97" i="47"/>
  <c r="AR97" i="47"/>
  <c r="AU97" i="47"/>
  <c r="AW97" i="47"/>
  <c r="AL98" i="47"/>
  <c r="AN98" i="47"/>
  <c r="AO98" i="47"/>
  <c r="AP98" i="47"/>
  <c r="AQ98" i="47"/>
  <c r="AR98" i="47"/>
  <c r="AU98" i="47"/>
  <c r="AW98" i="47"/>
  <c r="AL99" i="47"/>
  <c r="AN99" i="47"/>
  <c r="AO99" i="47"/>
  <c r="AP99" i="47"/>
  <c r="AQ99" i="47"/>
  <c r="AR99" i="47"/>
  <c r="AU99" i="47"/>
  <c r="AW99" i="47"/>
  <c r="AL100" i="47"/>
  <c r="AN100" i="47"/>
  <c r="AO100" i="47"/>
  <c r="AP100" i="47"/>
  <c r="AQ100" i="47"/>
  <c r="AR100" i="47"/>
  <c r="AU100" i="47"/>
  <c r="AW100" i="47"/>
  <c r="AL101" i="47"/>
  <c r="AN101" i="47"/>
  <c r="AO101" i="47"/>
  <c r="AP101" i="47"/>
  <c r="AQ101" i="47"/>
  <c r="AR101" i="47"/>
  <c r="AU101" i="47"/>
  <c r="AV101" i="47"/>
  <c r="AW101" i="47"/>
  <c r="AX101" i="47"/>
  <c r="AY101" i="47"/>
  <c r="AL102" i="47"/>
  <c r="AN102" i="47"/>
  <c r="AO102" i="47"/>
  <c r="AP102" i="47"/>
  <c r="AQ102" i="47"/>
  <c r="AR102" i="47"/>
  <c r="AU102" i="47"/>
  <c r="AW102" i="47"/>
  <c r="AL103" i="47"/>
  <c r="AN103" i="47"/>
  <c r="AO103" i="47"/>
  <c r="AP103" i="47"/>
  <c r="AR103" i="47"/>
  <c r="AU103" i="47"/>
  <c r="AW103" i="47"/>
  <c r="AL104" i="47"/>
  <c r="AN104" i="47"/>
  <c r="AO104" i="47"/>
  <c r="AP104" i="47"/>
  <c r="AQ104" i="47"/>
  <c r="AR104" i="47"/>
  <c r="AU104" i="47"/>
  <c r="AW104" i="47"/>
  <c r="AL105" i="47"/>
  <c r="AN105" i="47"/>
  <c r="AO105" i="47"/>
  <c r="AP105" i="47"/>
  <c r="AQ105" i="47"/>
  <c r="AR105" i="47"/>
  <c r="AU105" i="47"/>
  <c r="AV105" i="47"/>
  <c r="AW105" i="47"/>
  <c r="AX105" i="47"/>
  <c r="AY105" i="47"/>
  <c r="AL106" i="47"/>
  <c r="AN106" i="47"/>
  <c r="AO106" i="47"/>
  <c r="AP106" i="47"/>
  <c r="AQ106" i="47"/>
  <c r="AR106" i="47"/>
  <c r="AU106" i="47"/>
  <c r="AW106" i="47"/>
  <c r="AL107" i="47"/>
  <c r="AN107" i="47"/>
  <c r="AO107" i="47"/>
  <c r="AP107" i="47"/>
  <c r="AQ107" i="47"/>
  <c r="AR107" i="47"/>
  <c r="AU107" i="47"/>
  <c r="AW107" i="47"/>
  <c r="AL108" i="47"/>
  <c r="AN108" i="47"/>
  <c r="AO108" i="47"/>
  <c r="AP108" i="47"/>
  <c r="AQ108" i="47"/>
  <c r="AR108" i="47"/>
  <c r="AU108" i="47"/>
  <c r="AW108" i="47"/>
  <c r="AL109" i="47"/>
  <c r="AN109" i="47"/>
  <c r="AO109" i="47"/>
  <c r="AP109" i="47"/>
  <c r="AQ109" i="47"/>
  <c r="AR109" i="47"/>
  <c r="AU109" i="47"/>
  <c r="AW109" i="47"/>
  <c r="AL110" i="47"/>
  <c r="AN110" i="47"/>
  <c r="AO110" i="47"/>
  <c r="AP110" i="47"/>
  <c r="AQ110" i="47"/>
  <c r="AR110" i="47"/>
  <c r="AU110" i="47"/>
  <c r="AW110" i="47"/>
  <c r="AL114" i="47"/>
  <c r="AN114" i="47"/>
  <c r="AO114" i="47"/>
  <c r="AP114" i="47"/>
  <c r="AQ114" i="47"/>
  <c r="AR114" i="47"/>
  <c r="AU114" i="47"/>
  <c r="AV114" i="47"/>
  <c r="AW114" i="47"/>
  <c r="AX114" i="47"/>
  <c r="AY114" i="47"/>
  <c r="AL115" i="47"/>
  <c r="AN115" i="47"/>
  <c r="AO115" i="47"/>
  <c r="AP115" i="47"/>
  <c r="AQ115" i="47"/>
  <c r="AR115" i="47"/>
  <c r="AU115" i="47"/>
  <c r="AW115" i="47"/>
  <c r="AL116" i="47"/>
  <c r="AN116" i="47"/>
  <c r="AO116" i="47"/>
  <c r="AP116" i="47"/>
  <c r="AQ116" i="47"/>
  <c r="AR116" i="47"/>
  <c r="AU116" i="47"/>
  <c r="AW116" i="47"/>
  <c r="AL117" i="47"/>
  <c r="AN117" i="47"/>
  <c r="AO117" i="47"/>
  <c r="AP117" i="47"/>
  <c r="AQ117" i="47"/>
  <c r="AR117" i="47"/>
  <c r="AU117" i="47"/>
  <c r="AW117" i="47"/>
  <c r="AL118" i="47"/>
  <c r="AN118" i="47"/>
  <c r="AO118" i="47"/>
  <c r="AP118" i="47"/>
  <c r="AQ118" i="47"/>
  <c r="AR118" i="47"/>
  <c r="AU118" i="47"/>
  <c r="AV118" i="47"/>
  <c r="AW118" i="47"/>
  <c r="AX118" i="47"/>
  <c r="AY118" i="47"/>
  <c r="AL119" i="47"/>
  <c r="AN119" i="47"/>
  <c r="AO119" i="47"/>
  <c r="AP119" i="47"/>
  <c r="AQ119" i="47"/>
  <c r="AR119" i="47"/>
  <c r="AU119" i="47"/>
  <c r="AW119" i="47"/>
  <c r="AL120" i="47"/>
  <c r="AN120" i="47"/>
  <c r="AO120" i="47"/>
  <c r="AP120" i="47"/>
  <c r="AQ120" i="47"/>
  <c r="AR120" i="47"/>
  <c r="AU120" i="47"/>
  <c r="AW120" i="47"/>
  <c r="AL121" i="47"/>
  <c r="AN121" i="47"/>
  <c r="AO121" i="47"/>
  <c r="AP121" i="47"/>
  <c r="AQ121" i="47"/>
  <c r="AR121" i="47"/>
  <c r="AU121" i="47"/>
  <c r="AW121" i="47"/>
  <c r="AL122" i="47"/>
  <c r="AN122" i="47"/>
  <c r="AO122" i="47"/>
  <c r="AP122" i="47"/>
  <c r="AQ122" i="47"/>
  <c r="AR122" i="47"/>
  <c r="AU122" i="47"/>
  <c r="AW122" i="47"/>
  <c r="AL123" i="47"/>
  <c r="AN123" i="47"/>
  <c r="AO123" i="47"/>
  <c r="AP123" i="47"/>
  <c r="AQ123" i="47"/>
  <c r="AR123" i="47"/>
  <c r="AU123" i="47"/>
  <c r="AV123" i="47"/>
  <c r="AW123" i="47"/>
  <c r="AX123" i="47"/>
  <c r="AY123" i="47"/>
  <c r="AL124" i="47"/>
  <c r="AN124" i="47"/>
  <c r="AO124" i="47"/>
  <c r="AP124" i="47"/>
  <c r="AQ124" i="47"/>
  <c r="AR124" i="47"/>
  <c r="AU124" i="47"/>
  <c r="AW124" i="47"/>
  <c r="AL125" i="47"/>
  <c r="AN125" i="47"/>
  <c r="AO125" i="47"/>
  <c r="AP125" i="47"/>
  <c r="AR125" i="47"/>
  <c r="AU125" i="47"/>
  <c r="AW125" i="47"/>
  <c r="AL126" i="47"/>
  <c r="AN126" i="47"/>
  <c r="AO126" i="47"/>
  <c r="AP126" i="47"/>
  <c r="AQ126" i="47"/>
  <c r="AR126" i="47"/>
  <c r="AU126" i="47"/>
  <c r="AW126" i="47"/>
  <c r="AL127" i="47"/>
  <c r="AN127" i="47"/>
  <c r="AO127" i="47"/>
  <c r="AP127" i="47"/>
  <c r="AQ127" i="47"/>
  <c r="AR127" i="47"/>
  <c r="AU127" i="47"/>
  <c r="AV127" i="47"/>
  <c r="AW127" i="47"/>
  <c r="AX127" i="47"/>
  <c r="AY127" i="47"/>
  <c r="AL128" i="47"/>
  <c r="AN128" i="47"/>
  <c r="AO128" i="47"/>
  <c r="AP128" i="47"/>
  <c r="AQ128" i="47"/>
  <c r="AR128" i="47"/>
  <c r="AU128" i="47"/>
  <c r="AW128" i="47"/>
  <c r="AL129" i="47"/>
  <c r="AN129" i="47"/>
  <c r="AO129" i="47"/>
  <c r="AP129" i="47"/>
  <c r="AQ129" i="47"/>
  <c r="AR129" i="47"/>
  <c r="AU129" i="47"/>
  <c r="AW129" i="47"/>
  <c r="AL130" i="47"/>
  <c r="AN130" i="47"/>
  <c r="AO130" i="47"/>
  <c r="AP130" i="47"/>
  <c r="AQ130" i="47"/>
  <c r="AR130" i="47"/>
  <c r="AU130" i="47"/>
  <c r="AW130" i="47"/>
  <c r="AL131" i="47"/>
  <c r="AN131" i="47"/>
  <c r="AO131" i="47"/>
  <c r="AP131" i="47"/>
  <c r="AQ131" i="47"/>
  <c r="AR131" i="47"/>
  <c r="AU131" i="47"/>
  <c r="AW131" i="47"/>
  <c r="AL132" i="47"/>
  <c r="AN132" i="47"/>
  <c r="AO132" i="47"/>
  <c r="AP132" i="47"/>
  <c r="AQ132" i="47"/>
  <c r="AR132" i="47"/>
  <c r="AU132" i="47"/>
  <c r="AW132" i="47"/>
  <c r="AL136" i="47"/>
  <c r="AN136" i="47"/>
  <c r="AO136" i="47"/>
  <c r="AP136" i="47"/>
  <c r="AQ136" i="47"/>
  <c r="AR136" i="47"/>
  <c r="AU136" i="47"/>
  <c r="AV136" i="47"/>
  <c r="AW136" i="47"/>
  <c r="AX136" i="47"/>
  <c r="AY136" i="47"/>
  <c r="AL137" i="47"/>
  <c r="AN137" i="47"/>
  <c r="AO137" i="47"/>
  <c r="AP137" i="47"/>
  <c r="AQ137" i="47"/>
  <c r="AR137" i="47"/>
  <c r="AU137" i="47"/>
  <c r="AW137" i="47"/>
  <c r="AL138" i="47"/>
  <c r="AN138" i="47"/>
  <c r="AO138" i="47"/>
  <c r="AP138" i="47"/>
  <c r="AQ138" i="47"/>
  <c r="AR138" i="47"/>
  <c r="AU138" i="47"/>
  <c r="AW138" i="47"/>
  <c r="AL139" i="47"/>
  <c r="AN139" i="47"/>
  <c r="AO139" i="47"/>
  <c r="AP139" i="47"/>
  <c r="AQ139" i="47"/>
  <c r="AR139" i="47"/>
  <c r="AU139" i="47"/>
  <c r="AW139" i="47"/>
  <c r="AL140" i="47"/>
  <c r="AN140" i="47"/>
  <c r="AO140" i="47"/>
  <c r="AP140" i="47"/>
  <c r="AQ140" i="47"/>
  <c r="AR140" i="47"/>
  <c r="AU140" i="47"/>
  <c r="AV140" i="47"/>
  <c r="AW140" i="47"/>
  <c r="AX140" i="47"/>
  <c r="AY140" i="47"/>
  <c r="AL141" i="47"/>
  <c r="AN141" i="47"/>
  <c r="AO141" i="47"/>
  <c r="AP141" i="47"/>
  <c r="AQ141" i="47"/>
  <c r="AR141" i="47"/>
  <c r="AU141" i="47"/>
  <c r="AW141" i="47"/>
  <c r="AL142" i="47"/>
  <c r="AN142" i="47"/>
  <c r="AO142" i="47"/>
  <c r="AP142" i="47"/>
  <c r="AQ142" i="47"/>
  <c r="AR142" i="47"/>
  <c r="AU142" i="47"/>
  <c r="AW142" i="47"/>
  <c r="AL143" i="47"/>
  <c r="AN143" i="47"/>
  <c r="AO143" i="47"/>
  <c r="AP143" i="47"/>
  <c r="AQ143" i="47"/>
  <c r="AR143" i="47"/>
  <c r="AU143" i="47"/>
  <c r="AW143" i="47"/>
  <c r="AL144" i="47"/>
  <c r="AN144" i="47"/>
  <c r="AO144" i="47"/>
  <c r="AP144" i="47"/>
  <c r="AQ144" i="47"/>
  <c r="AR144" i="47"/>
  <c r="AU144" i="47"/>
  <c r="AW144" i="47"/>
  <c r="AL145" i="47"/>
  <c r="AN145" i="47"/>
  <c r="AO145" i="47"/>
  <c r="AP145" i="47"/>
  <c r="AQ145" i="47"/>
  <c r="AR145" i="47"/>
  <c r="AU145" i="47"/>
  <c r="AV145" i="47"/>
  <c r="AW145" i="47"/>
  <c r="AX145" i="47"/>
  <c r="AY145" i="47"/>
  <c r="AL146" i="47"/>
  <c r="AN146" i="47"/>
  <c r="AO146" i="47"/>
  <c r="AP146" i="47"/>
  <c r="AQ146" i="47"/>
  <c r="AR146" i="47"/>
  <c r="AU146" i="47"/>
  <c r="AW146" i="47"/>
  <c r="AL147" i="47"/>
  <c r="AN147" i="47"/>
  <c r="AO147" i="47"/>
  <c r="AP147" i="47"/>
  <c r="AR147" i="47"/>
  <c r="AU147" i="47"/>
  <c r="AW147" i="47"/>
  <c r="AL148" i="47"/>
  <c r="AN148" i="47"/>
  <c r="AO148" i="47"/>
  <c r="AP148" i="47"/>
  <c r="AQ148" i="47"/>
  <c r="AR148" i="47"/>
  <c r="AU148" i="47"/>
  <c r="AW148" i="47"/>
  <c r="AL149" i="47"/>
  <c r="AN149" i="47"/>
  <c r="AO149" i="47"/>
  <c r="AP149" i="47"/>
  <c r="AQ149" i="47"/>
  <c r="AR149" i="47"/>
  <c r="AU149" i="47"/>
  <c r="AV149" i="47"/>
  <c r="AW149" i="47"/>
  <c r="AX149" i="47"/>
  <c r="AY149" i="47"/>
  <c r="AL150" i="47"/>
  <c r="AN150" i="47"/>
  <c r="AO150" i="47"/>
  <c r="AP150" i="47"/>
  <c r="AQ150" i="47"/>
  <c r="AR150" i="47"/>
  <c r="AU150" i="47"/>
  <c r="AW150" i="47"/>
  <c r="AL151" i="47"/>
  <c r="AN151" i="47"/>
  <c r="AO151" i="47"/>
  <c r="AP151" i="47"/>
  <c r="AQ151" i="47"/>
  <c r="AR151" i="47"/>
  <c r="AU151" i="47"/>
  <c r="AW151" i="47"/>
  <c r="AL152" i="47"/>
  <c r="AN152" i="47"/>
  <c r="AO152" i="47"/>
  <c r="AP152" i="47"/>
  <c r="AQ152" i="47"/>
  <c r="AR152" i="47"/>
  <c r="AU152" i="47"/>
  <c r="AW152" i="47"/>
  <c r="AL153" i="47"/>
  <c r="AN153" i="47"/>
  <c r="AO153" i="47"/>
  <c r="AP153" i="47"/>
  <c r="AQ153" i="47"/>
  <c r="AR153" i="47"/>
  <c r="AU153" i="47"/>
  <c r="AW153" i="47"/>
  <c r="AL154" i="47"/>
  <c r="AN154" i="47"/>
  <c r="AO154" i="47"/>
  <c r="AP154" i="47"/>
  <c r="AQ154" i="47"/>
  <c r="AR154" i="47"/>
  <c r="AU154" i="47"/>
  <c r="AW154" i="47"/>
</calcChain>
</file>

<file path=xl/sharedStrings.xml><?xml version="1.0" encoding="utf-8"?>
<sst xmlns="http://schemas.openxmlformats.org/spreadsheetml/2006/main" count="1898" uniqueCount="446">
  <si>
    <t>Método Usado</t>
  </si>
  <si>
    <t>Exponencial</t>
  </si>
  <si>
    <t>Altitud del Municipio</t>
  </si>
  <si>
    <t>Clima</t>
  </si>
  <si>
    <t>Temperatura Promedio</t>
  </si>
  <si>
    <t>Entre 20°C y 28°C</t>
  </si>
  <si>
    <t>Año</t>
  </si>
  <si>
    <t>Censo</t>
  </si>
  <si>
    <t>Geométrico</t>
  </si>
  <si>
    <t>Wappaus</t>
  </si>
  <si>
    <t>Nivel de Complejidad</t>
  </si>
  <si>
    <t>Perdidas del Sistema (%)</t>
  </si>
  <si>
    <t>Correción de Dotación por Clima %T</t>
  </si>
  <si>
    <t>K1</t>
  </si>
  <si>
    <t>K2</t>
  </si>
  <si>
    <t>∑</t>
  </si>
  <si>
    <t>C</t>
  </si>
  <si>
    <t>H (m)</t>
  </si>
  <si>
    <t>H</t>
  </si>
  <si>
    <t>Datos iniciales</t>
  </si>
  <si>
    <t>Periodo de diseño</t>
  </si>
  <si>
    <t>Numero total de horas al dia</t>
  </si>
  <si>
    <t>Altura sobre el nivel del mar</t>
  </si>
  <si>
    <t>Temperatura del agua</t>
  </si>
  <si>
    <t>QMD (m3/s)</t>
  </si>
  <si>
    <t>Q diseño (m3/s)</t>
  </si>
  <si>
    <t>Caudal de diseño</t>
  </si>
  <si>
    <t xml:space="preserve">Tuberia de impulsion </t>
  </si>
  <si>
    <t>Tuberia de succion</t>
  </si>
  <si>
    <t>J</t>
  </si>
  <si>
    <t>Aritmetico</t>
  </si>
  <si>
    <t>Aritmético</t>
  </si>
  <si>
    <t>Geometrico</t>
  </si>
  <si>
    <t>Bomba</t>
  </si>
  <si>
    <t>Altura estatica total (m)</t>
  </si>
  <si>
    <t>Le</t>
  </si>
  <si>
    <t>Cantidad</t>
  </si>
  <si>
    <t>Salida de tubería</t>
  </si>
  <si>
    <t>Codo radio largo 90°</t>
  </si>
  <si>
    <t>Codo radio medio 90°</t>
  </si>
  <si>
    <t>Codo radio corto 90°</t>
  </si>
  <si>
    <t>Entrada normal</t>
  </si>
  <si>
    <t>Entrada de borde</t>
  </si>
  <si>
    <t>Válvula de compuerta abierta</t>
  </si>
  <si>
    <t>Válvula de globo abierta</t>
  </si>
  <si>
    <t>Válvula de ángulo abierta</t>
  </si>
  <si>
    <t>Tee de paso directo</t>
  </si>
  <si>
    <t>Tee con salida de lado</t>
  </si>
  <si>
    <t>Tee con salida a ambos lados</t>
  </si>
  <si>
    <t>Válvula de pie con rejilla</t>
  </si>
  <si>
    <t>Válvula de retención tipo liviano</t>
  </si>
  <si>
    <t>Reducción gradual</t>
  </si>
  <si>
    <t>Ampliación gradual</t>
  </si>
  <si>
    <t>Longitud de tuberia recta</t>
  </si>
  <si>
    <t>Potencia (hp)</t>
  </si>
  <si>
    <t>D. succion</t>
  </si>
  <si>
    <t>D. impulsion</t>
  </si>
  <si>
    <t>Pulgadas</t>
  </si>
  <si>
    <t>metros</t>
  </si>
  <si>
    <t>rpm</t>
  </si>
  <si>
    <t>Curva caracteristica de la bomba</t>
  </si>
  <si>
    <t>Q (m3/s)</t>
  </si>
  <si>
    <t>H (ft)</t>
  </si>
  <si>
    <t>Diametro</t>
  </si>
  <si>
    <t>Perdidas</t>
  </si>
  <si>
    <t>Succion</t>
  </si>
  <si>
    <t>Impulsion</t>
  </si>
  <si>
    <t>Q (m^3/s)</t>
  </si>
  <si>
    <t>Perdidas (m)</t>
  </si>
  <si>
    <t>Minima</t>
  </si>
  <si>
    <t>Maxima</t>
  </si>
  <si>
    <t>Altura estatica</t>
  </si>
  <si>
    <t>Altura diamica</t>
  </si>
  <si>
    <t>Cantidad de datos de cuadal para la curva del sistema</t>
  </si>
  <si>
    <t>Accesorios</t>
  </si>
  <si>
    <t>Promedio</t>
  </si>
  <si>
    <t>Bomba 1</t>
  </si>
  <si>
    <t>Bombas (ecuacion de tendencia)</t>
  </si>
  <si>
    <t>r (Kn/m^3)</t>
  </si>
  <si>
    <t>Ht</t>
  </si>
  <si>
    <t>eficiencia</t>
  </si>
  <si>
    <t>Potencia de la bomba (Pb) [kW]</t>
  </si>
  <si>
    <t>Potencia de la bomba (Pb) [hp]</t>
  </si>
  <si>
    <t>Potencia del motor (Pm) [hp]</t>
  </si>
  <si>
    <t>Q (gpm)</t>
  </si>
  <si>
    <t>Cavitacion</t>
  </si>
  <si>
    <t>Presion</t>
  </si>
  <si>
    <t>CNPSd</t>
  </si>
  <si>
    <t>Altura estatica de succion maxima (Hs) [m]</t>
  </si>
  <si>
    <t>Perdidas en la succion</t>
  </si>
  <si>
    <t>Altura barometrica (mca)</t>
  </si>
  <si>
    <t>Presio de vapor (mca)</t>
  </si>
  <si>
    <t>Temperatura</t>
  </si>
  <si>
    <t>Presion de vapor (kPa)</t>
  </si>
  <si>
    <t>Longitud equivalente (Le) [m]</t>
  </si>
  <si>
    <t>Ds [m]</t>
  </si>
  <si>
    <t>Caudal (Q) [m^3/s]</t>
  </si>
  <si>
    <t>Perdidas por succion (hs) [m]</t>
  </si>
  <si>
    <t>Altura de velocidad</t>
  </si>
  <si>
    <t>Vs</t>
  </si>
  <si>
    <t>Vs^2/2g</t>
  </si>
  <si>
    <t>CNPSr</t>
  </si>
  <si>
    <t>Diferencia</t>
  </si>
  <si>
    <t>Velocidad</t>
  </si>
  <si>
    <t>Altura Barometrica</t>
  </si>
  <si>
    <t>Numero especifico de revoluciones (ns)</t>
  </si>
  <si>
    <t>m</t>
  </si>
  <si>
    <t>gpm</t>
  </si>
  <si>
    <t>Numero especifico de revoluciones maximo (nsmax)</t>
  </si>
  <si>
    <t>ns &lt; nsmax</t>
  </si>
  <si>
    <t>Km</t>
  </si>
  <si>
    <t>-</t>
  </si>
  <si>
    <t>Qmax</t>
  </si>
  <si>
    <t>mca</t>
  </si>
  <si>
    <t>ft</t>
  </si>
  <si>
    <t>Hmax</t>
  </si>
  <si>
    <t>m^3/s</t>
  </si>
  <si>
    <t>k</t>
  </si>
  <si>
    <t>Tuberia</t>
  </si>
  <si>
    <t>ΔQ</t>
  </si>
  <si>
    <t>Ks</t>
  </si>
  <si>
    <t>V (cientos de m^3)</t>
  </si>
  <si>
    <t>Hora</t>
  </si>
  <si>
    <t>Caudal (l/s)</t>
  </si>
  <si>
    <t>Intervalo de hora</t>
  </si>
  <si>
    <t>C (%)</t>
  </si>
  <si>
    <t>∑ C(%)</t>
  </si>
  <si>
    <t>S (%)</t>
  </si>
  <si>
    <t>∑ S(%)</t>
  </si>
  <si>
    <t>∆ (S-C)</t>
  </si>
  <si>
    <r>
      <rPr>
        <b/>
        <sz val="11"/>
        <color theme="1"/>
        <rFont val="Calibri"/>
        <family val="2"/>
      </rPr>
      <t xml:space="preserve"> ∑</t>
    </r>
    <r>
      <rPr>
        <b/>
        <sz val="11"/>
        <color theme="1"/>
        <rFont val="Calibri"/>
        <family val="2"/>
        <scheme val="minor"/>
      </rPr>
      <t>∆ (S-C)</t>
    </r>
  </si>
  <si>
    <t>V (%)</t>
  </si>
  <si>
    <t>&lt; 3</t>
  </si>
  <si>
    <t>QMD (m^3/d)</t>
  </si>
  <si>
    <t>4 a 6</t>
  </si>
  <si>
    <t>7 a 9</t>
  </si>
  <si>
    <t>10 a 13</t>
  </si>
  <si>
    <t>Volumen del tanque (m^3)</t>
  </si>
  <si>
    <t>14 a 16</t>
  </si>
  <si>
    <t>&gt;17</t>
  </si>
  <si>
    <t>Datos organizados</t>
  </si>
  <si>
    <t>Tanque elevado, suministro por bombeo</t>
  </si>
  <si>
    <t>Ka</t>
  </si>
  <si>
    <t>i</t>
  </si>
  <si>
    <t>Pf</t>
  </si>
  <si>
    <t>r</t>
  </si>
  <si>
    <t>Kg1</t>
  </si>
  <si>
    <t>Kg2</t>
  </si>
  <si>
    <t>Población de la Urbanización</t>
  </si>
  <si>
    <t>Cálido</t>
  </si>
  <si>
    <t>Templado</t>
  </si>
  <si>
    <t>Frío</t>
  </si>
  <si>
    <t>Entre 0°C y 19°C</t>
  </si>
  <si>
    <t>Mayor a 28°C</t>
  </si>
  <si>
    <t>Porcentaje poblacional de la urbanización</t>
  </si>
  <si>
    <t>Periodo de Diseño (años)</t>
  </si>
  <si>
    <t>Población flotante</t>
  </si>
  <si>
    <t>Semana santa</t>
  </si>
  <si>
    <t>Medio Año</t>
  </si>
  <si>
    <t>Fin de año</t>
  </si>
  <si>
    <t>Relación</t>
  </si>
  <si>
    <t>Cudal de incendio (m3/s)</t>
  </si>
  <si>
    <t>Bajo</t>
  </si>
  <si>
    <t>Medio</t>
  </si>
  <si>
    <t>Medio alto</t>
  </si>
  <si>
    <t>Alto</t>
  </si>
  <si>
    <t>Coeficiente de Hazen-Williams ( C )</t>
  </si>
  <si>
    <r>
      <rPr>
        <b/>
        <sz val="11"/>
        <color theme="1"/>
        <rFont val="Calibri"/>
        <family val="2"/>
      </rPr>
      <t>Coeficiente de rugosidad (ɛ</t>
    </r>
    <r>
      <rPr>
        <b/>
        <sz val="9.9"/>
        <color theme="1"/>
        <rFont val="Calibri"/>
        <family val="2"/>
      </rPr>
      <t>) (</t>
    </r>
    <r>
      <rPr>
        <b/>
        <sz val="11"/>
        <color theme="1"/>
        <rFont val="Calibri"/>
        <family val="2"/>
        <scheme val="minor"/>
      </rPr>
      <t>ks) (mm)</t>
    </r>
  </si>
  <si>
    <t>Dotación Neta Minima (L/Hab*Día)</t>
  </si>
  <si>
    <t>Dotación Neta Maxima (L/Hab*Día)</t>
  </si>
  <si>
    <t>Correción de Dotación Neta (L/Hab*Día)</t>
  </si>
  <si>
    <t>Dotación Bruta (L/Hab*Día)</t>
  </si>
  <si>
    <t>Qmd (Caudal Medio Diario) (L/S)</t>
  </si>
  <si>
    <t>QMD (Caudal Máximo Diario). (L/S)</t>
  </si>
  <si>
    <t>QMH (Caudal Máximo Horario). (L/S)</t>
  </si>
  <si>
    <t>1 a.m</t>
  </si>
  <si>
    <t>2 a.m</t>
  </si>
  <si>
    <t>3 a.m</t>
  </si>
  <si>
    <t>4 a.m</t>
  </si>
  <si>
    <t>5 a.m</t>
  </si>
  <si>
    <t>6 a.m</t>
  </si>
  <si>
    <t>7 a.m</t>
  </si>
  <si>
    <t>8 a.m</t>
  </si>
  <si>
    <t>9 a.m</t>
  </si>
  <si>
    <t>10 a.m</t>
  </si>
  <si>
    <t>11 a.m</t>
  </si>
  <si>
    <t>12 a.m</t>
  </si>
  <si>
    <t>13 p.m</t>
  </si>
  <si>
    <t>14 p.m</t>
  </si>
  <si>
    <t>15 p.m</t>
  </si>
  <si>
    <t>16 p.m</t>
  </si>
  <si>
    <t>17 p.m</t>
  </si>
  <si>
    <t>18 p.m</t>
  </si>
  <si>
    <t>19 p.m</t>
  </si>
  <si>
    <t>20 p.m</t>
  </si>
  <si>
    <t>21 p.m</t>
  </si>
  <si>
    <t>22 p.m</t>
  </si>
  <si>
    <t>23 p.m</t>
  </si>
  <si>
    <t>24 p.m</t>
  </si>
  <si>
    <t>Consumo horario en %</t>
  </si>
  <si>
    <t>M3/H</t>
  </si>
  <si>
    <t>L/S</t>
  </si>
  <si>
    <t>Datos de Consumo del Asentamiento humano "El Potrero", Alavarado, Tolima. Con una poblacion de 21813 habitantes</t>
  </si>
  <si>
    <t>Relacion poblacional</t>
  </si>
  <si>
    <t>Caudal (m3/s)</t>
  </si>
  <si>
    <t>Urbanización Rincon de las Margaritas</t>
  </si>
  <si>
    <t>Max. Consumo-Max. Suministro</t>
  </si>
  <si>
    <t>Factor de seguridad</t>
  </si>
  <si>
    <t>1. Volumen para regulación de la demanda domestica</t>
  </si>
  <si>
    <t>2. Volumen para incendio</t>
  </si>
  <si>
    <t>Caudal de incendio (Qin) (m3/s)</t>
  </si>
  <si>
    <t xml:space="preserve">Hora estimada de un incendio (H) </t>
  </si>
  <si>
    <t>Volumen de agua para protección contra incendio (Vin) (m3)</t>
  </si>
  <si>
    <t>3. Volumen de emergencia</t>
  </si>
  <si>
    <t>4. Volumen total del tanque</t>
  </si>
  <si>
    <t>Ve adicional (m3)</t>
  </si>
  <si>
    <t>Volumen total del tanque (m3)</t>
  </si>
  <si>
    <t>Predimensionamiento del tanque superficial</t>
  </si>
  <si>
    <t>Volumen del tanque en cientos de m3</t>
  </si>
  <si>
    <t>Profundidad o altura del tanque (h) (m)</t>
  </si>
  <si>
    <t>Como nuestro tanque es para 1 dia servicio entonces se deja</t>
  </si>
  <si>
    <t>Ancho (m)</t>
  </si>
  <si>
    <t>Largo (m)</t>
  </si>
  <si>
    <t>Tanque de Succión</t>
  </si>
  <si>
    <t>Tanque Elevado</t>
  </si>
  <si>
    <t>Bomba 5.0</t>
  </si>
  <si>
    <t>m3/s</t>
  </si>
  <si>
    <t>Tanque de succion, por bombeo</t>
  </si>
  <si>
    <t>QMD (m^3/s)</t>
  </si>
  <si>
    <t>Porcentaje de utilizacion de la bomba (%)</t>
  </si>
  <si>
    <t>Cudal de incendio (l/s)</t>
  </si>
  <si>
    <t>Diametro recomendado (in)</t>
  </si>
  <si>
    <t>Diametro recomendado (m)</t>
  </si>
  <si>
    <t>Diamentro seleccionado (in)</t>
  </si>
  <si>
    <t>Diametro seleccionado (m)</t>
  </si>
  <si>
    <t>Velocidad en la tuberia (m/s)</t>
  </si>
  <si>
    <t>Sumergencia (m)</t>
  </si>
  <si>
    <t>(m/s)</t>
  </si>
  <si>
    <t>Velocidad máxima (m/s)</t>
  </si>
  <si>
    <t>Diámetro de la tubería de succión (mm)</t>
  </si>
  <si>
    <t>Velocidad maxima en la tubera de succion</t>
  </si>
  <si>
    <t>Velocidad minima en la tubera de succion</t>
  </si>
  <si>
    <t>Calculo altura dinamina de elevación</t>
  </si>
  <si>
    <t>Cota del eje de succión (m.s.n.m)</t>
  </si>
  <si>
    <t>Cotas y niveles en el tanque</t>
  </si>
  <si>
    <t>Cota del eje de impulsión (m.s.n.m)</t>
  </si>
  <si>
    <t>Altura estatica de succión (m)</t>
  </si>
  <si>
    <t>Altura estatica de impulsión (m)</t>
  </si>
  <si>
    <t>1. Altura estatica total</t>
  </si>
  <si>
    <t>l/s</t>
  </si>
  <si>
    <t>Tiempo de bombeo</t>
  </si>
  <si>
    <t>GPM</t>
  </si>
  <si>
    <t>Tanque de succión - Tanque elevado</t>
  </si>
  <si>
    <t>Pozo - Tanque de succión</t>
  </si>
  <si>
    <t>Inicio - Fin</t>
  </si>
  <si>
    <t>Bomba 2.0</t>
  </si>
  <si>
    <t>Tiempo de bombeo (h)</t>
  </si>
  <si>
    <t>Teniendo en cuenta que el tanque de succion va a tener una reserva del caudal consumido para 3 dias se tomara el primer bombeo con las siguientes horas adicionales, pero estas horas no se incluiran en el calculo del volumen del tanque de succion ya que a la final este volumen sera sumado al volumen arrojado en dichos calculos</t>
  </si>
  <si>
    <t>m3/hora</t>
  </si>
  <si>
    <t>Volumen (l)</t>
  </si>
  <si>
    <t>Volumen (m3)</t>
  </si>
  <si>
    <t>Σ del volumen de agua consumido en un dia</t>
  </si>
  <si>
    <t>Volumen de agua consumido en un dia</t>
  </si>
  <si>
    <t>Volumen de agua para incendios en un dia</t>
  </si>
  <si>
    <t>litros</t>
  </si>
  <si>
    <t>m3</t>
  </si>
  <si>
    <t>Cota menor de la lamina de agua del pozo (m.s.n.m)</t>
  </si>
  <si>
    <t>Cota de tuberia de entrada al tanque de succión (m.s.n.m)</t>
  </si>
  <si>
    <t>2. Perdidas en la succión</t>
  </si>
  <si>
    <t>K</t>
  </si>
  <si>
    <t>Le = 0.00774*K*(Ch^1.85)*(d^4.85)*(Q^0.15)</t>
  </si>
  <si>
    <t>Codo radio corto de 45°</t>
  </si>
  <si>
    <t>Codo radio largo de 45°</t>
  </si>
  <si>
    <t>Velocidad minima en la tubera de impulsión</t>
  </si>
  <si>
    <t>Velocidad maxima en la tubera de impulsión</t>
  </si>
  <si>
    <t>HE 1.5 20-1</t>
  </si>
  <si>
    <t>Las perdidas se realizaran con la ecuacion de arriba y se calcularan en la siguiente tabla a la derecha</t>
  </si>
  <si>
    <t>3. Altura de velocidad en la descarga (Vi) (m)</t>
  </si>
  <si>
    <t>(Vi) (m)</t>
  </si>
  <si>
    <t>4. Altura dinamica total de elevación</t>
  </si>
  <si>
    <t>Altura dinamica total de elevación</t>
  </si>
  <si>
    <t>Cota mayor de la lamina de agua del pozo (m.s.n.m)</t>
  </si>
  <si>
    <t>si</t>
  </si>
  <si>
    <t>Altura de velocidad en la descarga (m)</t>
  </si>
  <si>
    <t>Cota del nivel maximo de aguan en el tanque elevado (m.s.n.m)</t>
  </si>
  <si>
    <t>Hreg (m)</t>
  </si>
  <si>
    <t>Cota del nivel de agua minimo en el tanque (m.s.n.m)</t>
  </si>
  <si>
    <t>Cota del fondo del tanque (m.s.n.m)</t>
  </si>
  <si>
    <t>Cota de la corona del tanque (m.s.n.m)</t>
  </si>
  <si>
    <t>Tuberia de desagüe</t>
  </si>
  <si>
    <t>Cota de entrega del desagüe (m.s.n.m)</t>
  </si>
  <si>
    <t>Diametro tuberia a utilizar (in)</t>
  </si>
  <si>
    <t>Diametro tuberia a utilizar (m)</t>
  </si>
  <si>
    <t>Carga hidraulica disponible (m)</t>
  </si>
  <si>
    <t>Longitud de la tuberia de desagüe (m)</t>
  </si>
  <si>
    <t>Tiempo de vaciado del tanque de succión</t>
  </si>
  <si>
    <t>Coeficiente de descarga (Cd)</t>
  </si>
  <si>
    <t>Perdidas en la conduccion del desagüe</t>
  </si>
  <si>
    <t>J (m/m)</t>
  </si>
  <si>
    <t>Qinicial (m3/s)</t>
  </si>
  <si>
    <t>Tiempo de descarga (s)</t>
  </si>
  <si>
    <t>Tiempo de descarga (h)</t>
  </si>
  <si>
    <t>Cota del nivel maximo de aguan en el tanque de succión (m.s.n.m)</t>
  </si>
  <si>
    <t>Cota de tuberia de entrada al tanque elevado (m.s.n.m)</t>
  </si>
  <si>
    <t>QE 2 50-1 CE</t>
  </si>
  <si>
    <t>Nodo</t>
  </si>
  <si>
    <t>A</t>
  </si>
  <si>
    <t>B</t>
  </si>
  <si>
    <t>D</t>
  </si>
  <si>
    <t>E</t>
  </si>
  <si>
    <t>F</t>
  </si>
  <si>
    <t>G</t>
  </si>
  <si>
    <t>I</t>
  </si>
  <si>
    <t>Habitantes</t>
  </si>
  <si>
    <t>L/Hab/Dia</t>
  </si>
  <si>
    <t>L/Dia</t>
  </si>
  <si>
    <t>Cota curva de nivel (m.s.n.m)</t>
  </si>
  <si>
    <t>Cota profundida (m.s.n.m)</t>
  </si>
  <si>
    <t>Profundidad (m)</t>
  </si>
  <si>
    <t>Ubicación</t>
  </si>
  <si>
    <t>Calle</t>
  </si>
  <si>
    <t>Anden</t>
  </si>
  <si>
    <t>L</t>
  </si>
  <si>
    <t>L/s</t>
  </si>
  <si>
    <t>Tanque - A</t>
  </si>
  <si>
    <t>A - B</t>
  </si>
  <si>
    <t>B - C</t>
  </si>
  <si>
    <t>B - J</t>
  </si>
  <si>
    <t>J - K</t>
  </si>
  <si>
    <t>C - D</t>
  </si>
  <si>
    <t>C - F</t>
  </si>
  <si>
    <t>D - E</t>
  </si>
  <si>
    <t>E - H</t>
  </si>
  <si>
    <t>F - G</t>
  </si>
  <si>
    <t>G - H</t>
  </si>
  <si>
    <t>H - I</t>
  </si>
  <si>
    <t>I - L</t>
  </si>
  <si>
    <t>Longitud (m)</t>
  </si>
  <si>
    <t>(mm)</t>
  </si>
  <si>
    <t>A1</t>
  </si>
  <si>
    <t>Verde</t>
  </si>
  <si>
    <t>Hidr.</t>
  </si>
  <si>
    <t>(m)</t>
  </si>
  <si>
    <t>Presión</t>
  </si>
  <si>
    <t>Minimo</t>
  </si>
  <si>
    <t>Valvula de bola abierta</t>
  </si>
  <si>
    <t>A - A1</t>
  </si>
  <si>
    <t>A1 - Hidr.</t>
  </si>
  <si>
    <t>C - Hidr.</t>
  </si>
  <si>
    <t>B - Hidr.</t>
  </si>
  <si>
    <t>J - I</t>
  </si>
  <si>
    <t>I - H</t>
  </si>
  <si>
    <t>K - H</t>
  </si>
  <si>
    <t>G - F</t>
  </si>
  <si>
    <t>A - G</t>
  </si>
  <si>
    <t>F - B</t>
  </si>
  <si>
    <t>F - E</t>
  </si>
  <si>
    <t>G - K</t>
  </si>
  <si>
    <t>K - J</t>
  </si>
  <si>
    <t>H - E</t>
  </si>
  <si>
    <t>E - D</t>
  </si>
  <si>
    <t>D - C</t>
  </si>
  <si>
    <t>Total</t>
  </si>
  <si>
    <t>Union</t>
  </si>
  <si>
    <t>Caudal</t>
  </si>
  <si>
    <t>Re</t>
  </si>
  <si>
    <t>f</t>
  </si>
  <si>
    <t>Accesorio</t>
  </si>
  <si>
    <t>Sentido</t>
  </si>
  <si>
    <t>Radianes</t>
  </si>
  <si>
    <t>P/Y (m)</t>
  </si>
  <si>
    <t>Empuje estatico (kg)</t>
  </si>
  <si>
    <t>Empuje dinamico (kg)</t>
  </si>
  <si>
    <t>Empuje total (kg)</t>
  </si>
  <si>
    <t>Tg ɸ máx.</t>
  </si>
  <si>
    <t>B (cm)</t>
  </si>
  <si>
    <t>L (cm)</t>
  </si>
  <si>
    <t>H (cm)</t>
  </si>
  <si>
    <t>Horizontal</t>
  </si>
  <si>
    <t>Viscocidad cinematica (m2/s)</t>
  </si>
  <si>
    <t>Velocidad (m/s)</t>
  </si>
  <si>
    <t>Tee lateral</t>
  </si>
  <si>
    <t>Tee directo</t>
  </si>
  <si>
    <t>Codo 90°</t>
  </si>
  <si>
    <t>Numero de Reynolds</t>
  </si>
  <si>
    <t>Tipo</t>
  </si>
  <si>
    <t>Angulo (°)</t>
  </si>
  <si>
    <t>(°)</t>
  </si>
  <si>
    <t>Peso especifico (kg/m3)</t>
  </si>
  <si>
    <t>V (m/s)</t>
  </si>
  <si>
    <t>Diametro (m)</t>
  </si>
  <si>
    <t>Area (m2)</t>
  </si>
  <si>
    <t>Esfuerzo admisible (kg/cm2)</t>
  </si>
  <si>
    <t>Area resistente (cm2)</t>
  </si>
  <si>
    <t>Dimensión anclajes</t>
  </si>
  <si>
    <t>Peso del anclaje (kg)</t>
  </si>
  <si>
    <t>Empuje</t>
  </si>
  <si>
    <t>Empuje max</t>
  </si>
  <si>
    <t>Condición E &lt; Emax</t>
  </si>
  <si>
    <t>Caudal supuesto</t>
  </si>
  <si>
    <t>Pulg.</t>
  </si>
  <si>
    <t>Logitud (m)</t>
  </si>
  <si>
    <t>Area tuberia (m2)</t>
  </si>
  <si>
    <t>Demanda</t>
  </si>
  <si>
    <t>Circuito 1</t>
  </si>
  <si>
    <t>Circuito 2</t>
  </si>
  <si>
    <t>Circuito 3</t>
  </si>
  <si>
    <t>Circuito 4</t>
  </si>
  <si>
    <t>+</t>
  </si>
  <si>
    <t>Longitud</t>
  </si>
  <si>
    <t>hf+hm</t>
  </si>
  <si>
    <t>Σhf+hm</t>
  </si>
  <si>
    <t>(Σhf+hm)/Q</t>
  </si>
  <si>
    <t>Σ(Σhf+hm)/Q</t>
  </si>
  <si>
    <t>(hf+hm)/Q</t>
  </si>
  <si>
    <t>Σ(hf+hm)/Q</t>
  </si>
  <si>
    <t>Primera Iteración</t>
  </si>
  <si>
    <t>Segunda Iteración</t>
  </si>
  <si>
    <t>Tercera Iteración</t>
  </si>
  <si>
    <t>Cuarta Iteración</t>
  </si>
  <si>
    <t>Quinta Iteración</t>
  </si>
  <si>
    <t>Sexta Iteración</t>
  </si>
  <si>
    <t>Septima Iteración</t>
  </si>
  <si>
    <t>SI</t>
  </si>
  <si>
    <t>Resultado final</t>
  </si>
  <si>
    <t>Caudal final</t>
  </si>
  <si>
    <t>ΔH</t>
  </si>
  <si>
    <t>Presión nodo inicial (m.s.n.m)</t>
  </si>
  <si>
    <t>Presión nodo final (m.s.n.m)</t>
  </si>
  <si>
    <t>Viscocidad cinematica</t>
  </si>
  <si>
    <t>Cota inicial (m.s.n.m)</t>
  </si>
  <si>
    <t>Cota final (m.s.n.m)</t>
  </si>
  <si>
    <t>Velocidad final (m/s)</t>
  </si>
  <si>
    <t>Nodo inicial</t>
  </si>
  <si>
    <t>Nodo final</t>
  </si>
  <si>
    <t>Z1 (m.s.n.m)</t>
  </si>
  <si>
    <t>Z2 (m.s.n.m)</t>
  </si>
  <si>
    <t>Tanque</t>
  </si>
  <si>
    <t>Reynolds</t>
  </si>
  <si>
    <t>Presión (mH2O)</t>
  </si>
  <si>
    <t>Tuberia Actual resultados EPANET</t>
  </si>
  <si>
    <t>Tuberia Actual Resultados de EPANET</t>
  </si>
  <si>
    <t>Vertical</t>
  </si>
  <si>
    <t>Anclajes igual</t>
  </si>
  <si>
    <t>Bajante del tanque elevado</t>
  </si>
  <si>
    <t>ESPESOR(cm)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</si>
</sst>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0"/>
    <numFmt numFmtId="165" formatCode="0.000"/>
    <numFmt numFmtId="166" formatCode="0.0"/>
    <numFmt numFmtId="167" formatCode="0.00000"/>
    <numFmt numFmtId="168" formatCode="0.00000000"/>
    <numFmt numFmtId="169" formatCode="0.000000000"/>
    <numFmt numFmtId="170" formatCode="0.000000"/>
    <numFmt numFmtId="171" formatCode="0.0000000"/>
  </numFmts>
  <fonts count="11" x14ac:knownFonts="1">
    <font>
      <sz val="11"/>
      <color theme="1"/>
      <name val="Calibri"/>
      <family val="2"/>
      <scheme val="minor"/>
    </font>
    <font>
      <sz val="11"/>
      <color rgb="FF9C0006"/>
      <name val="Calibri"/>
      <family val="2"/>
      <scheme val="minor"/>
    </font>
    <font>
      <b/>
      <sz val="11"/>
      <color theme="1"/>
      <name val="Calibri"/>
      <family val="2"/>
      <scheme val="minor"/>
    </font>
    <font>
      <sz val="12"/>
      <color theme="1"/>
      <name val="Calibri"/>
      <family val="2"/>
      <scheme val="minor"/>
    </font>
    <font>
      <sz val="11"/>
      <color theme="1"/>
      <name val="Calibri"/>
      <family val="2"/>
    </font>
    <font>
      <b/>
      <sz val="11"/>
      <color theme="1"/>
      <name val="Calibri"/>
      <family val="2"/>
    </font>
    <font>
      <b/>
      <sz val="11"/>
      <color rgb="FFFF0000"/>
      <name val="Calibri"/>
      <family val="2"/>
      <scheme val="minor"/>
    </font>
    <font>
      <b/>
      <sz val="9.9"/>
      <color theme="1"/>
      <name val="Calibri"/>
      <family val="2"/>
    </font>
    <font>
      <sz val="11"/>
      <name val="Calibri"/>
      <family val="2"/>
      <scheme val="minor"/>
    </font>
    <font>
      <sz val="10"/>
      <color theme="1"/>
      <name val="Calibri"/>
      <family val="2"/>
      <scheme val="minor"/>
    </font>
    <font>
      <sz val="11"/>
      <color theme="1"/>
      <name val="Calibri"/>
      <family val="2"/>
      <scheme val="minor"/>
    </font>
  </fonts>
  <fills count="11">
    <fill>
      <patternFill patternType="none"/>
    </fill>
    <fill>
      <patternFill patternType="gray125"/>
    </fill>
    <fill>
      <patternFill patternType="solid">
        <fgColor rgb="FFFFC7CE"/>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1"/>
        <bgColor indexed="64"/>
      </patternFill>
    </fill>
    <fill>
      <patternFill patternType="solid">
        <fgColor rgb="FF00B050"/>
        <bgColor indexed="64"/>
      </patternFill>
    </fill>
    <fill>
      <patternFill patternType="solid">
        <fgColor rgb="FFCCF4CE"/>
        <bgColor indexed="64"/>
      </patternFill>
    </fill>
    <fill>
      <patternFill patternType="solid">
        <fgColor rgb="FFFACEDC"/>
        <bgColor indexed="64"/>
      </patternFill>
    </fill>
    <fill>
      <patternFill patternType="solid">
        <fgColor rgb="FF99CCFF"/>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s>
  <cellStyleXfs count="3">
    <xf numFmtId="0" fontId="0" fillId="0" borderId="0"/>
    <xf numFmtId="0" fontId="1" fillId="2" borderId="0" applyNumberFormat="0" applyBorder="0" applyAlignment="0" applyProtection="0"/>
    <xf numFmtId="0" fontId="10" fillId="0" borderId="0"/>
  </cellStyleXfs>
  <cellXfs count="319">
    <xf numFmtId="0" fontId="0" fillId="0" borderId="0" xfId="0"/>
    <xf numFmtId="0" fontId="3" fillId="0" borderId="0" xfId="0" applyFont="1" applyAlignment="1">
      <alignment horizontal="center" vertical="center"/>
    </xf>
    <xf numFmtId="164" fontId="3" fillId="0" borderId="0" xfId="0" applyNumberFormat="1" applyFont="1" applyAlignment="1">
      <alignment horizontal="center" vertical="center"/>
    </xf>
    <xf numFmtId="0" fontId="3" fillId="0" borderId="0" xfId="0" applyFont="1" applyFill="1" applyBorder="1" applyAlignment="1">
      <alignment horizontal="center" vertical="center"/>
    </xf>
    <xf numFmtId="164" fontId="3" fillId="0" borderId="0" xfId="0" applyNumberFormat="1" applyFont="1" applyAlignment="1">
      <alignment horizontal="center"/>
    </xf>
    <xf numFmtId="1" fontId="0" fillId="0" borderId="1" xfId="0" applyNumberFormat="1" applyBorder="1" applyAlignment="1">
      <alignment horizontal="center" vertical="center"/>
    </xf>
    <xf numFmtId="0" fontId="0" fillId="0" borderId="0" xfId="0" applyAlignment="1">
      <alignment horizontal="center" vertical="center"/>
    </xf>
    <xf numFmtId="0" fontId="0" fillId="0" borderId="1" xfId="0" applyFill="1" applyBorder="1" applyAlignment="1">
      <alignment horizontal="center" vertical="center"/>
    </xf>
    <xf numFmtId="0" fontId="0" fillId="0" borderId="1" xfId="0" applyBorder="1"/>
    <xf numFmtId="0" fontId="0" fillId="0" borderId="0" xfId="0" applyBorder="1" applyAlignment="1">
      <alignment horizontal="center" vertical="center"/>
    </xf>
    <xf numFmtId="0" fontId="0" fillId="4" borderId="1" xfId="0" applyFill="1" applyBorder="1" applyAlignment="1">
      <alignment horizontal="center" vertical="center"/>
    </xf>
    <xf numFmtId="1" fontId="0" fillId="0" borderId="1" xfId="0" applyNumberFormat="1" applyFont="1" applyBorder="1" applyAlignment="1">
      <alignment horizontal="center" vertical="center"/>
    </xf>
    <xf numFmtId="164" fontId="0" fillId="0" borderId="1" xfId="0" applyNumberFormat="1" applyFont="1" applyBorder="1" applyAlignment="1">
      <alignment horizontal="center" vertical="center"/>
    </xf>
    <xf numFmtId="164" fontId="0" fillId="0" borderId="1" xfId="0" applyNumberFormat="1" applyFont="1" applyBorder="1" applyAlignment="1">
      <alignment horizontal="center"/>
    </xf>
    <xf numFmtId="165" fontId="0" fillId="0" borderId="1" xfId="0" applyNumberFormat="1" applyFont="1" applyBorder="1" applyAlignment="1">
      <alignment horizontal="center" vertical="center"/>
    </xf>
    <xf numFmtId="165" fontId="0" fillId="0" borderId="1" xfId="0" applyNumberFormat="1" applyFont="1" applyBorder="1" applyAlignment="1">
      <alignment horizontal="center"/>
    </xf>
    <xf numFmtId="0" fontId="2" fillId="0" borderId="0" xfId="0" applyFont="1" applyBorder="1" applyAlignment="1">
      <alignment horizontal="center" vertical="center"/>
    </xf>
    <xf numFmtId="0" fontId="2" fillId="0" borderId="0" xfId="0" applyFont="1" applyFill="1" applyBorder="1" applyAlignment="1">
      <alignment horizontal="center" vertical="center"/>
    </xf>
    <xf numFmtId="165" fontId="0" fillId="0" borderId="0" xfId="0" applyNumberFormat="1" applyBorder="1" applyAlignment="1">
      <alignment horizontal="center" vertical="center"/>
    </xf>
    <xf numFmtId="0" fontId="0" fillId="6" borderId="1" xfId="0" applyFill="1" applyBorder="1" applyAlignment="1">
      <alignment horizontal="center" vertical="center"/>
    </xf>
    <xf numFmtId="0" fontId="0" fillId="0" borderId="1" xfId="0" applyBorder="1" applyAlignment="1">
      <alignment horizontal="center" vertical="center"/>
    </xf>
    <xf numFmtId="0" fontId="0" fillId="0" borderId="15" xfId="0" applyBorder="1" applyAlignment="1">
      <alignment horizontal="center" vertical="center"/>
    </xf>
    <xf numFmtId="164" fontId="0" fillId="0" borderId="13" xfId="0" applyNumberFormat="1" applyBorder="1" applyAlignment="1">
      <alignment horizontal="center" vertical="center"/>
    </xf>
    <xf numFmtId="167" fontId="0" fillId="0" borderId="1" xfId="0" applyNumberFormat="1" applyBorder="1" applyAlignment="1">
      <alignment horizontal="center" vertical="center"/>
    </xf>
    <xf numFmtId="164" fontId="0" fillId="0" borderId="16" xfId="0" applyNumberFormat="1" applyBorder="1" applyAlignment="1">
      <alignment horizontal="center" vertical="center"/>
    </xf>
    <xf numFmtId="165" fontId="0" fillId="0" borderId="0" xfId="0" applyNumberFormat="1" applyAlignment="1">
      <alignment horizontal="center" vertical="center"/>
    </xf>
    <xf numFmtId="164" fontId="0" fillId="0" borderId="0" xfId="0" applyNumberFormat="1" applyBorder="1" applyAlignment="1">
      <alignment horizontal="center" vertical="center"/>
    </xf>
    <xf numFmtId="167" fontId="0" fillId="0" borderId="0" xfId="0" applyNumberFormat="1" applyBorder="1" applyAlignment="1">
      <alignment horizontal="center" vertical="center"/>
    </xf>
    <xf numFmtId="0" fontId="6" fillId="0" borderId="0" xfId="0" applyFont="1" applyBorder="1" applyAlignment="1">
      <alignment vertical="center" wrapText="1"/>
    </xf>
    <xf numFmtId="164" fontId="0" fillId="0" borderId="6" xfId="0" applyNumberFormat="1" applyBorder="1" applyAlignment="1">
      <alignment horizontal="center" vertical="center"/>
    </xf>
    <xf numFmtId="165" fontId="0" fillId="4" borderId="1" xfId="0" applyNumberFormat="1" applyFill="1" applyBorder="1" applyAlignment="1">
      <alignment horizontal="center" vertical="center"/>
    </xf>
    <xf numFmtId="0" fontId="0" fillId="0" borderId="12" xfId="0" applyBorder="1" applyAlignment="1">
      <alignment horizontal="center" vertical="center"/>
    </xf>
    <xf numFmtId="0" fontId="0" fillId="0" borderId="14" xfId="0" applyFont="1" applyBorder="1" applyAlignment="1">
      <alignment horizontal="center" vertical="center"/>
    </xf>
    <xf numFmtId="0" fontId="0" fillId="0" borderId="9" xfId="0" applyFont="1" applyBorder="1" applyAlignment="1">
      <alignment horizontal="center" vertical="center"/>
    </xf>
    <xf numFmtId="0" fontId="0" fillId="3" borderId="11" xfId="0" applyFont="1" applyFill="1" applyBorder="1" applyAlignment="1">
      <alignment horizontal="center" vertical="center"/>
    </xf>
    <xf numFmtId="1" fontId="0" fillId="0" borderId="12" xfId="0" applyNumberFormat="1" applyFont="1" applyBorder="1" applyAlignment="1">
      <alignment horizontal="center" vertical="center"/>
    </xf>
    <xf numFmtId="0" fontId="1" fillId="2" borderId="16" xfId="1" applyFont="1" applyBorder="1" applyAlignment="1">
      <alignment horizontal="center" vertical="center"/>
    </xf>
    <xf numFmtId="0" fontId="0" fillId="0" borderId="14" xfId="0" applyBorder="1" applyAlignment="1">
      <alignment horizontal="center" vertical="center"/>
    </xf>
    <xf numFmtId="164" fontId="0" fillId="0" borderId="1" xfId="0" applyNumberFormat="1" applyBorder="1" applyAlignment="1">
      <alignment horizontal="center" vertical="center"/>
    </xf>
    <xf numFmtId="164" fontId="0" fillId="0" borderId="15" xfId="0" applyNumberFormat="1" applyBorder="1" applyAlignment="1">
      <alignment horizontal="center" vertical="center"/>
    </xf>
    <xf numFmtId="0" fontId="0" fillId="6" borderId="13" xfId="0" applyFill="1" applyBorder="1" applyAlignment="1">
      <alignment horizontal="center" vertical="center"/>
    </xf>
    <xf numFmtId="0" fontId="0" fillId="0" borderId="0" xfId="0" applyFill="1" applyBorder="1" applyAlignment="1">
      <alignment horizontal="center" vertical="center"/>
    </xf>
    <xf numFmtId="164" fontId="0" fillId="0" borderId="0" xfId="0" applyNumberFormat="1" applyFill="1" applyBorder="1" applyAlignment="1">
      <alignment horizontal="center" vertical="center"/>
    </xf>
    <xf numFmtId="169" fontId="0" fillId="0" borderId="1" xfId="0" applyNumberFormat="1" applyBorder="1" applyAlignment="1">
      <alignment horizontal="center" vertical="center"/>
    </xf>
    <xf numFmtId="0" fontId="5" fillId="0" borderId="1" xfId="0" applyFont="1" applyBorder="1" applyAlignment="1">
      <alignment horizontal="center" vertical="center"/>
    </xf>
    <xf numFmtId="0" fontId="5" fillId="0" borderId="1" xfId="0" applyFont="1" applyFill="1" applyBorder="1" applyAlignment="1">
      <alignment horizontal="center" vertical="center"/>
    </xf>
    <xf numFmtId="0" fontId="2" fillId="0" borderId="1" xfId="0" applyFont="1" applyBorder="1" applyAlignment="1">
      <alignment horizontal="center" vertical="center"/>
    </xf>
    <xf numFmtId="1" fontId="2" fillId="0" borderId="1" xfId="0" applyNumberFormat="1" applyFont="1"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horizontal="center" vertical="center"/>
    </xf>
    <xf numFmtId="1" fontId="8" fillId="0" borderId="1" xfId="0" applyNumberFormat="1" applyFont="1" applyBorder="1" applyAlignment="1">
      <alignment horizontal="center" vertical="center"/>
    </xf>
    <xf numFmtId="0" fontId="0" fillId="0" borderId="1" xfId="0" applyFont="1" applyFill="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0" fillId="0" borderId="1" xfId="0" applyFont="1" applyBorder="1" applyAlignment="1">
      <alignment horizontal="center" vertical="center"/>
    </xf>
    <xf numFmtId="0" fontId="0" fillId="0" borderId="0" xfId="0" applyFill="1"/>
    <xf numFmtId="164" fontId="3" fillId="0" borderId="0" xfId="0" applyNumberFormat="1" applyFont="1" applyFill="1" applyAlignment="1">
      <alignment horizontal="center" vertical="center"/>
    </xf>
    <xf numFmtId="0" fontId="0" fillId="3" borderId="13" xfId="0" applyFont="1" applyFill="1" applyBorder="1" applyAlignment="1">
      <alignment horizontal="center" vertical="center"/>
    </xf>
    <xf numFmtId="0" fontId="2" fillId="0" borderId="1" xfId="0" applyFont="1" applyBorder="1" applyAlignment="1">
      <alignment horizontal="center" vertical="center"/>
    </xf>
    <xf numFmtId="165" fontId="0" fillId="0" borderId="1" xfId="0" applyNumberFormat="1" applyBorder="1" applyAlignment="1">
      <alignment horizontal="center" vertical="center"/>
    </xf>
    <xf numFmtId="0" fontId="2" fillId="0" borderId="1" xfId="0" applyFont="1" applyFill="1" applyBorder="1" applyAlignment="1">
      <alignment horizontal="center" vertical="center"/>
    </xf>
    <xf numFmtId="2" fontId="0" fillId="0" borderId="1" xfId="0" applyNumberFormat="1" applyBorder="1" applyAlignment="1">
      <alignment horizontal="center" vertical="center"/>
    </xf>
    <xf numFmtId="0" fontId="0" fillId="4" borderId="13" xfId="0" applyFont="1" applyFill="1" applyBorder="1" applyAlignment="1">
      <alignment horizontal="center" vertical="center"/>
    </xf>
    <xf numFmtId="0" fontId="0" fillId="0" borderId="0" xfId="0" applyFont="1" applyBorder="1" applyAlignment="1">
      <alignment horizontal="center" vertical="center"/>
    </xf>
    <xf numFmtId="0" fontId="1" fillId="0" borderId="0" xfId="1" applyFont="1" applyFill="1" applyBorder="1" applyAlignment="1">
      <alignment horizontal="center" vertical="center"/>
    </xf>
    <xf numFmtId="2" fontId="0" fillId="0" borderId="1" xfId="0" applyNumberFormat="1" applyFont="1" applyBorder="1" applyAlignment="1">
      <alignment horizontal="center" vertical="center"/>
    </xf>
    <xf numFmtId="166" fontId="0" fillId="0" borderId="1" xfId="0" applyNumberFormat="1" applyFont="1" applyBorder="1" applyAlignment="1">
      <alignment horizontal="center" vertical="center"/>
    </xf>
    <xf numFmtId="167" fontId="8" fillId="4" borderId="1" xfId="0" applyNumberFormat="1" applyFont="1" applyFill="1" applyBorder="1" applyAlignment="1">
      <alignment horizontal="center" vertical="center"/>
    </xf>
    <xf numFmtId="20" fontId="0" fillId="0" borderId="1" xfId="0" applyNumberFormat="1" applyBorder="1" applyAlignment="1">
      <alignment horizontal="center" vertical="center"/>
    </xf>
    <xf numFmtId="20" fontId="0" fillId="0" borderId="0" xfId="0" applyNumberFormat="1" applyBorder="1" applyAlignment="1">
      <alignment horizontal="center" vertical="center"/>
    </xf>
    <xf numFmtId="164" fontId="0" fillId="0" borderId="0" xfId="0" applyNumberFormat="1" applyAlignment="1">
      <alignment horizontal="center" vertical="center"/>
    </xf>
    <xf numFmtId="169" fontId="0" fillId="0" borderId="0" xfId="0" applyNumberFormat="1" applyAlignment="1">
      <alignment horizontal="center" vertical="center"/>
    </xf>
    <xf numFmtId="1" fontId="0" fillId="0" borderId="0" xfId="0" applyNumberFormat="1" applyAlignment="1">
      <alignment horizontal="center" vertical="center"/>
    </xf>
    <xf numFmtId="167" fontId="0" fillId="0" borderId="0" xfId="0" applyNumberFormat="1" applyAlignment="1">
      <alignment horizontal="center" vertical="center"/>
    </xf>
    <xf numFmtId="164" fontId="0" fillId="0" borderId="0" xfId="0"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Fill="1" applyBorder="1" applyAlignment="1">
      <alignment horizontal="center" vertical="center" wrapText="1"/>
    </xf>
    <xf numFmtId="165" fontId="0" fillId="0" borderId="1" xfId="0" applyNumberFormat="1" applyBorder="1" applyAlignment="1">
      <alignment horizontal="center" vertical="center"/>
    </xf>
    <xf numFmtId="0" fontId="0" fillId="0" borderId="1" xfId="0" applyBorder="1" applyAlignment="1">
      <alignment horizontal="center" vertical="center" wrapText="1"/>
    </xf>
    <xf numFmtId="164" fontId="0" fillId="0" borderId="2" xfId="0" applyNumberFormat="1" applyBorder="1" applyAlignment="1">
      <alignment horizontal="center" vertical="center"/>
    </xf>
    <xf numFmtId="0" fontId="0" fillId="0" borderId="1" xfId="0" applyFont="1" applyBorder="1" applyAlignment="1">
      <alignment horizontal="center" vertical="center"/>
    </xf>
    <xf numFmtId="0" fontId="6" fillId="0" borderId="0" xfId="0" applyFont="1" applyBorder="1" applyAlignment="1">
      <alignment horizontal="center" vertical="center" wrapText="1"/>
    </xf>
    <xf numFmtId="0" fontId="2" fillId="0" borderId="1" xfId="0" applyFont="1" applyFill="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0" fillId="0" borderId="1" xfId="0" applyBorder="1" applyAlignment="1">
      <alignment horizontal="center" vertical="center"/>
    </xf>
    <xf numFmtId="0" fontId="6" fillId="0" borderId="0" xfId="0" applyFont="1" applyBorder="1" applyAlignment="1">
      <alignment horizontal="center" vertical="center" wrapText="1"/>
    </xf>
    <xf numFmtId="0" fontId="0" fillId="0" borderId="1" xfId="0" applyFont="1" applyBorder="1" applyAlignment="1">
      <alignment horizontal="center" vertical="center"/>
    </xf>
    <xf numFmtId="165" fontId="0" fillId="0" borderId="1" xfId="0" applyNumberFormat="1" applyBorder="1" applyAlignment="1">
      <alignment horizontal="center" vertical="center"/>
    </xf>
    <xf numFmtId="2" fontId="0" fillId="0" borderId="1" xfId="0" applyNumberFormat="1" applyBorder="1" applyAlignment="1">
      <alignment horizontal="center" vertical="center"/>
    </xf>
    <xf numFmtId="0" fontId="0" fillId="0" borderId="0" xfId="0" applyAlignment="1">
      <alignment horizontal="center" vertical="center"/>
    </xf>
    <xf numFmtId="0" fontId="2" fillId="0" borderId="1" xfId="0" applyFont="1" applyFill="1" applyBorder="1" applyAlignment="1">
      <alignment horizontal="center" vertical="center"/>
    </xf>
    <xf numFmtId="0" fontId="2" fillId="0" borderId="6" xfId="0" applyFont="1" applyBorder="1" applyAlignment="1">
      <alignment horizontal="center" vertical="center"/>
    </xf>
    <xf numFmtId="0" fontId="2" fillId="0" borderId="0" xfId="0" applyFont="1" applyBorder="1" applyAlignment="1">
      <alignment horizontal="center" vertical="center" wrapText="1"/>
    </xf>
    <xf numFmtId="0" fontId="0" fillId="0" borderId="8" xfId="0" applyBorder="1" applyAlignment="1">
      <alignment horizontal="center" vertical="center"/>
    </xf>
    <xf numFmtId="0" fontId="0" fillId="0" borderId="0" xfId="0" applyFont="1" applyFill="1" applyBorder="1" applyAlignment="1">
      <alignment horizontal="center" vertical="center" wrapText="1"/>
    </xf>
    <xf numFmtId="0" fontId="0" fillId="4" borderId="1" xfId="0"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Border="1" applyAlignment="1">
      <alignment horizontal="center" vertical="center" wrapText="1"/>
    </xf>
    <xf numFmtId="0" fontId="0" fillId="0" borderId="0" xfId="0" applyFont="1" applyAlignment="1">
      <alignment horizontal="center" vertical="center"/>
    </xf>
    <xf numFmtId="164" fontId="0" fillId="4" borderId="1" xfId="0" applyNumberFormat="1" applyFill="1" applyBorder="1" applyAlignment="1">
      <alignment horizontal="center" vertical="center"/>
    </xf>
    <xf numFmtId="0" fontId="9" fillId="6" borderId="1" xfId="0" applyFont="1" applyFill="1" applyBorder="1" applyAlignment="1">
      <alignment horizontal="center" vertical="center" wrapText="1"/>
    </xf>
    <xf numFmtId="0" fontId="0" fillId="0" borderId="0" xfId="0" applyFill="1" applyAlignment="1">
      <alignment horizontal="center" vertical="center"/>
    </xf>
    <xf numFmtId="0" fontId="0" fillId="3" borderId="1" xfId="0" applyFill="1" applyBorder="1" applyAlignment="1">
      <alignment horizontal="center" vertical="center"/>
    </xf>
    <xf numFmtId="0" fontId="2" fillId="5" borderId="1" xfId="0" applyFont="1" applyFill="1" applyBorder="1" applyAlignment="1">
      <alignment horizontal="center" vertical="center"/>
    </xf>
    <xf numFmtId="12" fontId="0" fillId="0" borderId="0" xfId="0" applyNumberFormat="1" applyAlignment="1">
      <alignment horizontal="center" vertical="center"/>
    </xf>
    <xf numFmtId="164" fontId="0" fillId="0" borderId="1" xfId="0" applyNumberFormat="1" applyFont="1" applyFill="1" applyBorder="1" applyAlignment="1">
      <alignment horizontal="center" vertical="center" wrapText="1"/>
    </xf>
    <xf numFmtId="164" fontId="0" fillId="4" borderId="1" xfId="0" applyNumberFormat="1" applyFont="1" applyFill="1" applyBorder="1" applyAlignment="1">
      <alignment horizontal="center" vertical="center" wrapText="1"/>
    </xf>
    <xf numFmtId="164" fontId="0" fillId="4" borderId="1" xfId="0" applyNumberFormat="1" applyFont="1" applyFill="1" applyBorder="1" applyAlignment="1">
      <alignment horizontal="center" vertical="center"/>
    </xf>
    <xf numFmtId="166" fontId="0" fillId="0" borderId="1" xfId="0" applyNumberForma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Fill="1" applyBorder="1" applyAlignment="1">
      <alignment horizontal="center" vertical="center" wrapText="1"/>
    </xf>
    <xf numFmtId="0" fontId="0" fillId="0" borderId="1" xfId="0" applyBorder="1" applyAlignment="1">
      <alignment horizontal="center" vertical="center"/>
    </xf>
    <xf numFmtId="0" fontId="2" fillId="0" borderId="0" xfId="0" applyFont="1" applyBorder="1" applyAlignment="1">
      <alignment horizontal="center" vertical="center"/>
    </xf>
    <xf numFmtId="165" fontId="0" fillId="0" borderId="1" xfId="0" applyNumberFormat="1" applyBorder="1" applyAlignment="1">
      <alignment horizontal="center" vertical="center"/>
    </xf>
    <xf numFmtId="0" fontId="0" fillId="0" borderId="1" xfId="0" applyBorder="1" applyAlignment="1">
      <alignment horizontal="center" vertical="center" wrapText="1"/>
    </xf>
    <xf numFmtId="0" fontId="2" fillId="0" borderId="1" xfId="0" applyFont="1" applyFill="1" applyBorder="1" applyAlignment="1">
      <alignment horizontal="center" vertical="center"/>
    </xf>
    <xf numFmtId="0" fontId="0" fillId="0" borderId="1" xfId="0" applyFont="1" applyBorder="1" applyAlignment="1">
      <alignment horizontal="center" vertical="center"/>
    </xf>
    <xf numFmtId="0" fontId="0" fillId="0" borderId="0" xfId="0" applyAlignment="1">
      <alignment horizontal="center" vertical="center"/>
    </xf>
    <xf numFmtId="2" fontId="0" fillId="0" borderId="1" xfId="0" applyNumberFormat="1" applyBorder="1" applyAlignment="1">
      <alignment horizontal="center" vertical="center"/>
    </xf>
    <xf numFmtId="0" fontId="2" fillId="0" borderId="6" xfId="0" applyFont="1" applyBorder="1" applyAlignment="1">
      <alignment horizontal="center" vertical="center"/>
    </xf>
    <xf numFmtId="0" fontId="2" fillId="0" borderId="2" xfId="0" applyFont="1" applyFill="1" applyBorder="1" applyAlignment="1">
      <alignment horizontal="center" vertical="center"/>
    </xf>
    <xf numFmtId="0" fontId="4" fillId="0" borderId="1" xfId="0" applyFont="1" applyFill="1" applyBorder="1" applyAlignment="1">
      <alignment horizontal="center" vertical="center"/>
    </xf>
    <xf numFmtId="165" fontId="0" fillId="0" borderId="0" xfId="0" applyNumberFormat="1" applyFont="1" applyBorder="1" applyAlignment="1">
      <alignment horizontal="center" vertical="center"/>
    </xf>
    <xf numFmtId="0" fontId="5" fillId="0" borderId="1" xfId="0" applyFont="1" applyFill="1" applyBorder="1" applyAlignment="1">
      <alignment horizontal="center" vertical="center"/>
    </xf>
    <xf numFmtId="0" fontId="2" fillId="4" borderId="1" xfId="0" applyFont="1" applyFill="1" applyBorder="1" applyAlignment="1">
      <alignment horizontal="center" vertical="center"/>
    </xf>
    <xf numFmtId="166" fontId="0" fillId="4" borderId="1" xfId="0" applyNumberFormat="1" applyFill="1" applyBorder="1" applyAlignment="1">
      <alignment horizontal="center" vertical="center"/>
    </xf>
    <xf numFmtId="0" fontId="0" fillId="4" borderId="1" xfId="0" applyFont="1" applyFill="1" applyBorder="1" applyAlignment="1">
      <alignment horizontal="center" vertical="center"/>
    </xf>
    <xf numFmtId="2" fontId="0" fillId="4" borderId="1" xfId="0" applyNumberFormat="1" applyFill="1" applyBorder="1" applyAlignment="1">
      <alignment horizontal="center" vertical="center"/>
    </xf>
    <xf numFmtId="0" fontId="2" fillId="5" borderId="17" xfId="0" applyFont="1" applyFill="1" applyBorder="1" applyAlignment="1">
      <alignment horizontal="center" vertical="center"/>
    </xf>
    <xf numFmtId="0" fontId="0" fillId="5" borderId="18" xfId="0" applyFill="1" applyBorder="1" applyAlignment="1">
      <alignment horizontal="center" vertical="center"/>
    </xf>
    <xf numFmtId="0" fontId="0" fillId="6" borderId="16" xfId="0" applyFill="1" applyBorder="1" applyAlignment="1">
      <alignment horizontal="center" vertical="center"/>
    </xf>
    <xf numFmtId="0" fontId="0" fillId="6" borderId="16" xfId="0" applyFill="1" applyBorder="1" applyAlignment="1">
      <alignment horizontal="center" vertical="center" wrapText="1"/>
    </xf>
    <xf numFmtId="165" fontId="0" fillId="0" borderId="1" xfId="0" applyNumberFormat="1" applyBorder="1" applyAlignment="1">
      <alignment horizontal="center" vertical="center"/>
    </xf>
    <xf numFmtId="20" fontId="0" fillId="4" borderId="1" xfId="0" applyNumberFormat="1" applyFill="1" applyBorder="1" applyAlignment="1">
      <alignment horizontal="center" vertical="center"/>
    </xf>
    <xf numFmtId="20" fontId="0" fillId="0" borderId="1" xfId="0" applyNumberFormat="1" applyFill="1" applyBorder="1" applyAlignment="1">
      <alignment horizontal="center" vertical="center"/>
    </xf>
    <xf numFmtId="16" fontId="0" fillId="0" borderId="1" xfId="0" applyNumberFormat="1" applyBorder="1" applyAlignment="1">
      <alignment horizontal="center" vertical="center"/>
    </xf>
    <xf numFmtId="166" fontId="0" fillId="4" borderId="1" xfId="0" applyNumberFormat="1" applyFont="1" applyFill="1" applyBorder="1" applyAlignment="1">
      <alignment horizontal="center" vertical="center"/>
    </xf>
    <xf numFmtId="1" fontId="0" fillId="4" borderId="1" xfId="0" applyNumberFormat="1" applyFont="1" applyFill="1" applyBorder="1" applyAlignment="1">
      <alignment horizontal="center" vertical="center"/>
    </xf>
    <xf numFmtId="12" fontId="0" fillId="3" borderId="1" xfId="0" applyNumberFormat="1" applyFill="1"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0" xfId="0" applyFont="1" applyBorder="1" applyAlignment="1">
      <alignment horizontal="center" vertical="center"/>
    </xf>
    <xf numFmtId="164" fontId="0" fillId="0" borderId="1" xfId="0" applyNumberFormat="1" applyFill="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164" fontId="0" fillId="0" borderId="1" xfId="0" applyNumberFormat="1" applyFill="1" applyBorder="1" applyAlignment="1">
      <alignment horizontal="center" vertical="center"/>
    </xf>
    <xf numFmtId="0" fontId="0" fillId="0" borderId="0" xfId="0" applyAlignment="1">
      <alignment horizontal="center" vertical="center"/>
    </xf>
    <xf numFmtId="1" fontId="0" fillId="0" borderId="0" xfId="0" applyNumberFormat="1" applyFill="1" applyBorder="1" applyAlignment="1">
      <alignment horizontal="center" vertical="center"/>
    </xf>
    <xf numFmtId="2" fontId="0" fillId="0" borderId="0" xfId="0" applyNumberFormat="1" applyFill="1" applyBorder="1" applyAlignment="1">
      <alignment horizontal="center" vertical="center"/>
    </xf>
    <xf numFmtId="0" fontId="2" fillId="0" borderId="0" xfId="0" applyFont="1" applyFill="1" applyBorder="1" applyAlignment="1">
      <alignment vertical="center"/>
    </xf>
    <xf numFmtId="164" fontId="0" fillId="0" borderId="1" xfId="0" applyNumberFormat="1" applyBorder="1" applyAlignment="1">
      <alignment horizontal="center" vertical="center"/>
    </xf>
    <xf numFmtId="0" fontId="0" fillId="6" borderId="1" xfId="0" applyFill="1" applyBorder="1" applyAlignment="1">
      <alignment horizontal="center" vertical="center" wrapText="1"/>
    </xf>
    <xf numFmtId="0" fontId="0" fillId="5" borderId="1" xfId="0" applyFill="1"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165" fontId="0" fillId="0" borderId="1" xfId="0" applyNumberFormat="1" applyBorder="1" applyAlignment="1">
      <alignment horizontal="center" vertical="center"/>
    </xf>
    <xf numFmtId="2" fontId="0" fillId="0" borderId="1" xfId="0" applyNumberFormat="1" applyBorder="1" applyAlignment="1">
      <alignment horizontal="center" vertical="center"/>
    </xf>
    <xf numFmtId="0" fontId="0" fillId="0" borderId="0" xfId="0" applyAlignment="1">
      <alignment horizontal="center" vertical="center"/>
    </xf>
    <xf numFmtId="0" fontId="2" fillId="0" borderId="1" xfId="0" applyFont="1" applyBorder="1" applyAlignment="1">
      <alignment horizontal="center" vertical="center"/>
    </xf>
    <xf numFmtId="0" fontId="2" fillId="0" borderId="2" xfId="0" applyFon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165" fontId="0" fillId="0" borderId="1" xfId="0" applyNumberFormat="1" applyBorder="1" applyAlignment="1">
      <alignment horizontal="center" vertical="center"/>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Fill="1" applyBorder="1" applyAlignment="1">
      <alignment horizontal="center" vertical="center"/>
    </xf>
    <xf numFmtId="0" fontId="0" fillId="0" borderId="0" xfId="0" applyAlignment="1">
      <alignment horizontal="center" vertical="center"/>
    </xf>
    <xf numFmtId="2" fontId="0" fillId="0" borderId="1" xfId="0" applyNumberFormat="1" applyBorder="1" applyAlignment="1">
      <alignment horizontal="center" vertical="center"/>
    </xf>
    <xf numFmtId="0" fontId="0" fillId="0" borderId="0" xfId="0" applyBorder="1" applyAlignment="1">
      <alignment horizontal="center" vertical="center" wrapText="1"/>
    </xf>
    <xf numFmtId="171" fontId="0" fillId="0" borderId="0" xfId="0" applyNumberFormat="1" applyAlignment="1">
      <alignment horizontal="center" vertical="center"/>
    </xf>
    <xf numFmtId="171" fontId="0" fillId="0" borderId="1" xfId="0" applyNumberFormat="1" applyBorder="1" applyAlignment="1">
      <alignment horizontal="center" vertical="center"/>
    </xf>
    <xf numFmtId="168" fontId="0" fillId="0" borderId="0" xfId="0" applyNumberFormat="1" applyAlignment="1">
      <alignment horizontal="center" vertical="center"/>
    </xf>
    <xf numFmtId="171" fontId="0" fillId="0" borderId="0" xfId="0" applyNumberFormat="1" applyBorder="1" applyAlignment="1">
      <alignment horizontal="center" vertical="center"/>
    </xf>
    <xf numFmtId="167" fontId="0" fillId="9" borderId="1" xfId="0" applyNumberFormat="1" applyFill="1" applyBorder="1" applyAlignment="1">
      <alignment horizontal="center" vertical="center"/>
    </xf>
    <xf numFmtId="170" fontId="0" fillId="0" borderId="1" xfId="0" applyNumberFormat="1" applyBorder="1" applyAlignment="1">
      <alignment horizontal="center" vertical="center"/>
    </xf>
    <xf numFmtId="165" fontId="0" fillId="0" borderId="1" xfId="0" applyNumberFormat="1" applyFill="1" applyBorder="1" applyAlignment="1">
      <alignment horizontal="center" vertical="center"/>
    </xf>
    <xf numFmtId="170" fontId="0" fillId="0" borderId="0" xfId="0" applyNumberFormat="1" applyAlignment="1">
      <alignment horizontal="center" vertical="center"/>
    </xf>
    <xf numFmtId="169" fontId="0" fillId="4" borderId="1" xfId="0" applyNumberFormat="1" applyFill="1" applyBorder="1" applyAlignment="1">
      <alignment horizontal="center" vertical="center"/>
    </xf>
    <xf numFmtId="2" fontId="0" fillId="0" borderId="1" xfId="0" applyNumberFormat="1" applyFill="1" applyBorder="1" applyAlignment="1">
      <alignment horizontal="center" vertical="center"/>
    </xf>
    <xf numFmtId="2" fontId="8" fillId="0" borderId="1" xfId="0" applyNumberFormat="1" applyFont="1" applyFill="1" applyBorder="1" applyAlignment="1">
      <alignment horizontal="center" vertical="center"/>
    </xf>
    <xf numFmtId="171" fontId="0" fillId="4" borderId="1" xfId="0" applyNumberFormat="1" applyFill="1" applyBorder="1" applyAlignment="1">
      <alignment horizontal="center" vertical="center"/>
    </xf>
    <xf numFmtId="164" fontId="0" fillId="8" borderId="1" xfId="0" applyNumberFormat="1" applyFill="1" applyBorder="1" applyAlignment="1">
      <alignment horizontal="center" vertical="center"/>
    </xf>
    <xf numFmtId="164" fontId="0" fillId="10" borderId="1" xfId="0" applyNumberFormat="1" applyFill="1" applyBorder="1" applyAlignment="1">
      <alignment horizontal="center" vertical="center"/>
    </xf>
    <xf numFmtId="167" fontId="0" fillId="4" borderId="1" xfId="0" applyNumberFormat="1" applyFill="1" applyBorder="1" applyAlignment="1">
      <alignment horizontal="center" vertical="center"/>
    </xf>
    <xf numFmtId="167" fontId="0" fillId="0" borderId="1" xfId="0" applyNumberFormat="1" applyFill="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center"/>
    </xf>
    <xf numFmtId="165" fontId="0" fillId="0" borderId="1" xfId="0" applyNumberFormat="1" applyBorder="1" applyAlignment="1">
      <alignment horizontal="center" vertical="center"/>
    </xf>
    <xf numFmtId="0" fontId="0" fillId="0" borderId="0" xfId="0" applyAlignment="1">
      <alignment horizontal="center" vertical="center"/>
    </xf>
    <xf numFmtId="2" fontId="0" fillId="0" borderId="1" xfId="0" applyNumberFormat="1" applyBorder="1" applyAlignment="1">
      <alignment horizontal="center" vertical="center"/>
    </xf>
    <xf numFmtId="0" fontId="0" fillId="4" borderId="1" xfId="0" applyFill="1" applyBorder="1" applyAlignment="1">
      <alignment horizontal="center" vertical="center"/>
    </xf>
    <xf numFmtId="166" fontId="0" fillId="0" borderId="1" xfId="0" applyNumberFormat="1" applyFill="1" applyBorder="1" applyAlignment="1">
      <alignment horizontal="center" vertical="center"/>
    </xf>
    <xf numFmtId="16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Fill="1" applyBorder="1" applyAlignment="1">
      <alignment horizontal="center" vertical="center" wrapText="1"/>
    </xf>
    <xf numFmtId="1" fontId="2" fillId="0" borderId="1" xfId="0" applyNumberFormat="1" applyFont="1" applyBorder="1" applyAlignment="1">
      <alignment horizontal="center" vertical="center" wrapText="1"/>
    </xf>
    <xf numFmtId="1" fontId="2" fillId="0" borderId="37" xfId="0" applyNumberFormat="1" applyFont="1" applyBorder="1" applyAlignment="1">
      <alignment horizontal="center" vertical="center"/>
    </xf>
    <xf numFmtId="1" fontId="2" fillId="0" borderId="3" xfId="0" applyNumberFormat="1" applyFont="1" applyBorder="1" applyAlignment="1">
      <alignment horizontal="center" vertical="center"/>
    </xf>
    <xf numFmtId="1" fontId="2" fillId="0" borderId="36" xfId="0" applyNumberFormat="1" applyFont="1" applyBorder="1" applyAlignment="1">
      <alignment horizontal="center" vertical="center"/>
    </xf>
    <xf numFmtId="1" fontId="2" fillId="0" borderId="4" xfId="0" applyNumberFormat="1" applyFont="1" applyBorder="1" applyAlignment="1">
      <alignment horizontal="center" vertical="center"/>
    </xf>
    <xf numFmtId="0" fontId="2" fillId="0" borderId="37" xfId="0" applyFont="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center" vertical="center"/>
    </xf>
    <xf numFmtId="0" fontId="2" fillId="0" borderId="36" xfId="0" applyFont="1" applyBorder="1" applyAlignment="1">
      <alignment horizontal="center" vertical="center"/>
    </xf>
    <xf numFmtId="0" fontId="2" fillId="0" borderId="38" xfId="0" applyFont="1" applyBorder="1" applyAlignment="1">
      <alignment horizontal="center" vertical="center"/>
    </xf>
    <xf numFmtId="0" fontId="2" fillId="0" borderId="4" xfId="0" applyFont="1" applyBorder="1" applyAlignment="1">
      <alignment horizontal="center" vertical="center"/>
    </xf>
    <xf numFmtId="0" fontId="2" fillId="0" borderId="3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2" xfId="0" applyFont="1" applyBorder="1" applyAlignment="1">
      <alignment horizontal="center" vertical="center"/>
    </xf>
    <xf numFmtId="0" fontId="2" fillId="0" borderId="24" xfId="0" applyFont="1" applyBorder="1" applyAlignment="1">
      <alignment horizontal="center" vertical="center"/>
    </xf>
    <xf numFmtId="0" fontId="2" fillId="0" borderId="23" xfId="0" applyFont="1" applyBorder="1" applyAlignment="1">
      <alignment horizontal="center" vertical="center"/>
    </xf>
    <xf numFmtId="0" fontId="0" fillId="0" borderId="1" xfId="0" applyBorder="1" applyAlignment="1">
      <alignment horizontal="center" vertical="center"/>
    </xf>
    <xf numFmtId="0" fontId="2" fillId="0" borderId="0" xfId="0" applyFont="1" applyBorder="1" applyAlignment="1">
      <alignment horizontal="center" vertical="center"/>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2" fillId="0" borderId="34" xfId="0" applyFont="1" applyBorder="1" applyAlignment="1">
      <alignment horizontal="center" vertical="center"/>
    </xf>
    <xf numFmtId="0" fontId="2" fillId="0" borderId="26" xfId="0" applyFont="1" applyBorder="1" applyAlignment="1">
      <alignment horizontal="center" vertical="center"/>
    </xf>
    <xf numFmtId="0" fontId="2" fillId="0" borderId="32" xfId="0" applyFont="1" applyBorder="1" applyAlignment="1">
      <alignment horizontal="center" vertical="center"/>
    </xf>
    <xf numFmtId="0" fontId="2" fillId="0" borderId="31"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9" xfId="0" applyFont="1" applyBorder="1" applyAlignment="1">
      <alignment horizontal="center" vertical="center"/>
    </xf>
    <xf numFmtId="0" fontId="2" fillId="0" borderId="28" xfId="0" applyFont="1" applyBorder="1" applyAlignment="1">
      <alignment horizontal="center" vertical="center"/>
    </xf>
    <xf numFmtId="0" fontId="2" fillId="0" borderId="20" xfId="0" applyFont="1" applyBorder="1" applyAlignment="1">
      <alignment horizontal="center" vertical="center"/>
    </xf>
    <xf numFmtId="0" fontId="2" fillId="0" borderId="12" xfId="0" applyFont="1" applyBorder="1" applyAlignment="1">
      <alignment horizontal="center" vertical="center" wrapText="1"/>
    </xf>
    <xf numFmtId="165" fontId="0" fillId="0" borderId="1" xfId="0" applyNumberFormat="1" applyBorder="1" applyAlignment="1">
      <alignment horizontal="center" vertical="center"/>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0" fillId="0" borderId="1" xfId="0" applyBorder="1" applyAlignment="1">
      <alignment horizontal="center" vertical="center" wrapText="1"/>
    </xf>
    <xf numFmtId="0" fontId="2" fillId="0" borderId="12" xfId="0" applyFont="1" applyBorder="1" applyAlignment="1">
      <alignment horizontal="center" vertical="center"/>
    </xf>
    <xf numFmtId="0" fontId="2" fillId="0" borderId="33" xfId="0" applyFont="1" applyBorder="1" applyAlignment="1">
      <alignment horizontal="center" vertical="center"/>
    </xf>
    <xf numFmtId="0" fontId="2" fillId="0" borderId="7" xfId="0" applyFont="1" applyBorder="1" applyAlignment="1">
      <alignment horizontal="center" vertical="center"/>
    </xf>
    <xf numFmtId="0" fontId="2" fillId="0" borderId="17" xfId="0" applyFont="1" applyBorder="1" applyAlignment="1">
      <alignment horizontal="center" vertical="center" wrapText="1"/>
    </xf>
    <xf numFmtId="0" fontId="2" fillId="0" borderId="25" xfId="0" applyFont="1" applyBorder="1" applyAlignment="1">
      <alignment horizontal="center" vertical="center" wrapText="1"/>
    </xf>
    <xf numFmtId="165" fontId="0" fillId="0" borderId="15" xfId="0" applyNumberFormat="1" applyBorder="1" applyAlignment="1">
      <alignment horizontal="center" vertical="center"/>
    </xf>
    <xf numFmtId="0" fontId="2" fillId="0" borderId="21"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9" xfId="0" applyFont="1" applyBorder="1" applyAlignment="1">
      <alignment horizontal="center" vertical="center" wrapText="1"/>
    </xf>
    <xf numFmtId="164" fontId="0" fillId="0" borderId="2" xfId="0" applyNumberFormat="1" applyBorder="1" applyAlignment="1">
      <alignment horizontal="center" vertical="center"/>
    </xf>
    <xf numFmtId="164" fontId="0" fillId="0" borderId="27" xfId="0" applyNumberFormat="1" applyBorder="1" applyAlignment="1">
      <alignment horizontal="center" vertical="center"/>
    </xf>
    <xf numFmtId="0" fontId="0" fillId="7" borderId="1" xfId="0" applyFill="1" applyBorder="1" applyAlignment="1">
      <alignment horizontal="center" vertical="center"/>
    </xf>
    <xf numFmtId="0" fontId="2" fillId="0" borderId="6" xfId="0" applyFont="1" applyBorder="1" applyAlignment="1">
      <alignment horizontal="center" vertical="center"/>
    </xf>
    <xf numFmtId="0" fontId="2" fillId="0" borderId="2" xfId="0" applyFont="1" applyFill="1" applyBorder="1" applyAlignment="1">
      <alignment horizontal="center" vertical="center"/>
    </xf>
    <xf numFmtId="0" fontId="2" fillId="0" borderId="8" xfId="0" applyFont="1" applyFill="1"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164" fontId="0" fillId="0" borderId="1" xfId="0" applyNumberFormat="1" applyBorder="1" applyAlignment="1">
      <alignment horizontal="center" vertical="center"/>
    </xf>
    <xf numFmtId="166" fontId="0" fillId="0" borderId="2" xfId="0" applyNumberFormat="1" applyBorder="1" applyAlignment="1">
      <alignment horizontal="center" vertical="center"/>
    </xf>
    <xf numFmtId="166" fontId="0" fillId="0" borderId="35" xfId="0" applyNumberFormat="1" applyBorder="1" applyAlignment="1">
      <alignment horizontal="center" vertical="center"/>
    </xf>
    <xf numFmtId="166" fontId="0" fillId="0" borderId="8" xfId="0" applyNumberFormat="1" applyBorder="1" applyAlignment="1">
      <alignment horizontal="center" vertical="center"/>
    </xf>
    <xf numFmtId="20" fontId="4" fillId="0" borderId="1" xfId="0" applyNumberFormat="1" applyFont="1" applyBorder="1" applyAlignment="1">
      <alignment horizontal="center" vertical="center"/>
    </xf>
    <xf numFmtId="2" fontId="0" fillId="0" borderId="1" xfId="0" applyNumberFormat="1" applyBorder="1" applyAlignment="1">
      <alignment horizontal="center" vertical="center"/>
    </xf>
    <xf numFmtId="0" fontId="0" fillId="0" borderId="8" xfId="0" applyBorder="1" applyAlignment="1">
      <alignment horizontal="center" vertical="center"/>
    </xf>
    <xf numFmtId="0" fontId="0" fillId="4" borderId="2" xfId="0" applyFill="1" applyBorder="1" applyAlignment="1">
      <alignment horizontal="center" vertical="center"/>
    </xf>
    <xf numFmtId="0" fontId="0" fillId="4" borderId="35" xfId="0" applyFill="1" applyBorder="1" applyAlignment="1">
      <alignment horizontal="center" vertical="center"/>
    </xf>
    <xf numFmtId="0" fontId="0" fillId="4" borderId="8" xfId="0" applyFill="1" applyBorder="1" applyAlignment="1">
      <alignment horizontal="center" vertical="center"/>
    </xf>
    <xf numFmtId="0" fontId="0" fillId="0" borderId="37"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40" xfId="0" applyBorder="1" applyAlignment="1">
      <alignment horizontal="center" vertical="center" wrapText="1"/>
    </xf>
    <xf numFmtId="0" fontId="0" fillId="0" borderId="0" xfId="0" applyBorder="1" applyAlignment="1">
      <alignment horizontal="center" vertical="center" wrapText="1"/>
    </xf>
    <xf numFmtId="0" fontId="0" fillId="0" borderId="39" xfId="0" applyBorder="1" applyAlignment="1">
      <alignment horizontal="center" vertical="center" wrapText="1"/>
    </xf>
    <xf numFmtId="0" fontId="0" fillId="0" borderId="36" xfId="0" applyBorder="1" applyAlignment="1">
      <alignment horizontal="center" vertical="center" wrapText="1"/>
    </xf>
    <xf numFmtId="0" fontId="0" fillId="0" borderId="38" xfId="0" applyBorder="1" applyAlignment="1">
      <alignment horizontal="center" vertical="center" wrapText="1"/>
    </xf>
    <xf numFmtId="0" fontId="0" fillId="0" borderId="4" xfId="0" applyBorder="1" applyAlignment="1">
      <alignment horizontal="center" vertical="center" wrapText="1"/>
    </xf>
    <xf numFmtId="164" fontId="0" fillId="0" borderId="35" xfId="0" applyNumberFormat="1" applyBorder="1" applyAlignment="1">
      <alignment horizontal="center" vertical="center"/>
    </xf>
    <xf numFmtId="164" fontId="0" fillId="0" borderId="8" xfId="0" applyNumberFormat="1" applyBorder="1" applyAlignment="1">
      <alignment horizontal="center" vertical="center"/>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9" xfId="0" applyFont="1" applyBorder="1" applyAlignment="1">
      <alignment horizontal="center" vertical="center" wrapText="1"/>
    </xf>
    <xf numFmtId="164" fontId="0" fillId="0" borderId="1" xfId="0" applyNumberFormat="1" applyFill="1"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4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4" borderId="1" xfId="0" applyFill="1" applyBorder="1" applyAlignment="1">
      <alignment horizontal="center" vertical="center"/>
    </xf>
    <xf numFmtId="0" fontId="0" fillId="0" borderId="6" xfId="0" applyBorder="1" applyAlignment="1">
      <alignment horizontal="center" vertical="center" wrapText="1"/>
    </xf>
    <xf numFmtId="0" fontId="0" fillId="0" borderId="41" xfId="0" applyBorder="1" applyAlignment="1">
      <alignment horizontal="center" vertical="center" wrapText="1"/>
    </xf>
    <xf numFmtId="0" fontId="0" fillId="0" borderId="7" xfId="0" applyBorder="1" applyAlignment="1">
      <alignment horizontal="center" vertical="center" wrapText="1"/>
    </xf>
    <xf numFmtId="167" fontId="0" fillId="0" borderId="1" xfId="0" applyNumberFormat="1" applyBorder="1" applyAlignment="1">
      <alignment horizontal="center" vertical="center"/>
    </xf>
    <xf numFmtId="171" fontId="0" fillId="0" borderId="2" xfId="0" applyNumberFormat="1" applyBorder="1" applyAlignment="1">
      <alignment horizontal="center" vertical="center"/>
    </xf>
    <xf numFmtId="171" fontId="0" fillId="0" borderId="35" xfId="0" applyNumberFormat="1" applyBorder="1" applyAlignment="1">
      <alignment horizontal="center" vertical="center"/>
    </xf>
    <xf numFmtId="171" fontId="0" fillId="0" borderId="8" xfId="0" applyNumberFormat="1" applyBorder="1" applyAlignment="1">
      <alignment horizontal="center" vertical="center"/>
    </xf>
    <xf numFmtId="167" fontId="0" fillId="0" borderId="2" xfId="0" applyNumberFormat="1" applyBorder="1" applyAlignment="1">
      <alignment horizontal="center" vertical="center"/>
    </xf>
    <xf numFmtId="167" fontId="0" fillId="0" borderId="35" xfId="0" applyNumberFormat="1" applyBorder="1" applyAlignment="1">
      <alignment horizontal="center" vertical="center"/>
    </xf>
    <xf numFmtId="167" fontId="0" fillId="0" borderId="8" xfId="0" applyNumberFormat="1" applyBorder="1" applyAlignment="1">
      <alignment horizontal="center" vertical="center"/>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2" xfId="0" applyBorder="1" applyAlignment="1">
      <alignment horizontal="center" vertical="center"/>
    </xf>
    <xf numFmtId="171" fontId="0" fillId="0" borderId="1" xfId="0" applyNumberFormat="1" applyBorder="1" applyAlignment="1">
      <alignment horizontal="center" vertical="center"/>
    </xf>
    <xf numFmtId="0" fontId="0" fillId="0" borderId="7" xfId="0" applyBorder="1" applyAlignment="1">
      <alignment horizontal="center" vertical="center"/>
    </xf>
  </cellXfs>
  <cellStyles count="3">
    <cellStyle name="Incorrecto" xfId="1" builtinId="27"/>
    <cellStyle name="Normal" xfId="0" builtinId="0"/>
    <cellStyle name="Normal 2" xfId="2" xr:uid="{00000000-0005-0000-0000-000002000000}"/>
  </cellStyles>
  <dxfs count="8">
    <dxf>
      <fill>
        <patternFill>
          <bgColor theme="9" tint="0.39994506668294322"/>
        </patternFill>
      </fill>
    </dxf>
    <dxf>
      <font>
        <strike val="0"/>
        <color theme="1"/>
      </font>
      <fill>
        <patternFill>
          <bgColor theme="9"/>
        </patternFill>
      </fill>
    </dxf>
    <dxf>
      <font>
        <color theme="1"/>
      </font>
      <fill>
        <patternFill>
          <bgColor theme="9"/>
        </patternFill>
      </fill>
    </dxf>
    <dxf>
      <font>
        <color auto="1"/>
      </font>
      <fill>
        <patternFill>
          <bgColor theme="9" tint="-0.24994659260841701"/>
        </patternFill>
      </fill>
    </dxf>
    <dxf>
      <font>
        <color rgb="FF9C0006"/>
      </font>
      <fill>
        <patternFill>
          <bgColor rgb="FFFFC7CE"/>
        </patternFill>
      </fill>
    </dxf>
    <dxf>
      <fill>
        <patternFill>
          <bgColor rgb="FFFFC7CE"/>
        </patternFill>
      </fill>
    </dxf>
    <dxf>
      <fill>
        <patternFill>
          <bgColor rgb="FFFF0000"/>
        </patternFill>
      </fill>
    </dxf>
    <dxf>
      <font>
        <color rgb="FF9C0006"/>
      </font>
      <fill>
        <patternFill>
          <bgColor rgb="FFFFC7CE"/>
        </patternFill>
      </fill>
    </dxf>
  </dxfs>
  <tableStyles count="0" defaultTableStyle="TableStyleMedium2" defaultPivotStyle="PivotStyleMedium9"/>
  <colors>
    <mruColors>
      <color rgb="FF99CCFF"/>
      <color rgb="FFCCECFF"/>
      <color rgb="FF66CCFF"/>
      <color rgb="FFCCF4CE"/>
      <color rgb="FFFACEDC"/>
      <color rgb="FFB8F1FE"/>
      <color rgb="FFFFCCFF"/>
      <color rgb="FFFF3399"/>
      <color rgb="FFFB9E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solidFill>
                  <a:srgbClr val="FFFF00"/>
                </a:solidFill>
              </a:rPr>
              <a:t>Curvas</a:t>
            </a:r>
            <a:r>
              <a:rPr lang="es-CO" baseline="0">
                <a:solidFill>
                  <a:srgbClr val="FFFF00"/>
                </a:solidFill>
              </a:rPr>
              <a:t> de censo y proyecciones</a:t>
            </a:r>
            <a:endParaRPr lang="es-CO">
              <a:solidFill>
                <a:srgbClr val="FFFF00"/>
              </a:solidFill>
            </a:endParaRPr>
          </a:p>
        </c:rich>
      </c:tx>
      <c:layout>
        <c:manualLayout>
          <c:xMode val="edge"/>
          <c:yMode val="edge"/>
          <c:x val="0.30036195608537058"/>
          <c:y val="8.3916083916083916E-3"/>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0.10012229452375108"/>
          <c:y val="6.861538461538462E-2"/>
          <c:w val="0.867019790052863"/>
          <c:h val="0.84771154466144993"/>
        </c:manualLayout>
      </c:layout>
      <c:scatterChart>
        <c:scatterStyle val="lineMarker"/>
        <c:varyColors val="0"/>
        <c:ser>
          <c:idx val="0"/>
          <c:order val="0"/>
          <c:tx>
            <c:strRef>
              <c:f>Proyeccion!$E$5</c:f>
              <c:strCache>
                <c:ptCount val="1"/>
                <c:pt idx="0">
                  <c:v>Censo</c:v>
                </c:pt>
              </c:strCache>
            </c:strRef>
          </c:tx>
          <c:spPr>
            <a:ln w="95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xVal>
            <c:numRef>
              <c:f>Proyeccion!$D$8:$D$48</c:f>
              <c:numCache>
                <c:formatCode>General</c:formatCode>
                <c:ptCount val="41"/>
                <c:pt idx="0">
                  <c:v>1985</c:v>
                </c:pt>
                <c:pt idx="1">
                  <c:v>1993</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pt idx="22">
                  <c:v>2025</c:v>
                </c:pt>
                <c:pt idx="23">
                  <c:v>2026</c:v>
                </c:pt>
                <c:pt idx="24">
                  <c:v>2027</c:v>
                </c:pt>
                <c:pt idx="25">
                  <c:v>2028</c:v>
                </c:pt>
                <c:pt idx="26">
                  <c:v>2029</c:v>
                </c:pt>
                <c:pt idx="27">
                  <c:v>2030</c:v>
                </c:pt>
                <c:pt idx="28">
                  <c:v>2031</c:v>
                </c:pt>
                <c:pt idx="29">
                  <c:v>2032</c:v>
                </c:pt>
                <c:pt idx="30">
                  <c:v>2033</c:v>
                </c:pt>
                <c:pt idx="31">
                  <c:v>2034</c:v>
                </c:pt>
                <c:pt idx="32">
                  <c:v>2035</c:v>
                </c:pt>
                <c:pt idx="33">
                  <c:v>2036</c:v>
                </c:pt>
                <c:pt idx="34">
                  <c:v>2037</c:v>
                </c:pt>
                <c:pt idx="35">
                  <c:v>2038</c:v>
                </c:pt>
                <c:pt idx="36">
                  <c:v>2039</c:v>
                </c:pt>
                <c:pt idx="37">
                  <c:v>2040</c:v>
                </c:pt>
                <c:pt idx="38">
                  <c:v>2041</c:v>
                </c:pt>
                <c:pt idx="39">
                  <c:v>2042</c:v>
                </c:pt>
                <c:pt idx="40">
                  <c:v>2043</c:v>
                </c:pt>
              </c:numCache>
            </c:numRef>
          </c:xVal>
          <c:yVal>
            <c:numRef>
              <c:f>Proyeccion!$E$8:$E$48</c:f>
              <c:numCache>
                <c:formatCode>General</c:formatCode>
                <c:ptCount val="41"/>
                <c:pt idx="0">
                  <c:v>170176</c:v>
                </c:pt>
                <c:pt idx="1">
                  <c:v>219976</c:v>
                </c:pt>
                <c:pt idx="2">
                  <c:v>356464</c:v>
                </c:pt>
              </c:numCache>
            </c:numRef>
          </c:yVal>
          <c:smooth val="0"/>
          <c:extLst>
            <c:ext xmlns:c16="http://schemas.microsoft.com/office/drawing/2014/chart" uri="{C3380CC4-5D6E-409C-BE32-E72D297353CC}">
              <c16:uniqueId val="{00000000-BD4A-4B78-9295-0F87DB595DEE}"/>
            </c:ext>
          </c:extLst>
        </c:ser>
        <c:ser>
          <c:idx val="1"/>
          <c:order val="1"/>
          <c:tx>
            <c:v>Aritmetico</c:v>
          </c:tx>
          <c:spPr>
            <a:ln w="95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cap="rnd">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xVal>
            <c:numRef>
              <c:f>Proyeccion!$D$8:$D$48</c:f>
              <c:numCache>
                <c:formatCode>General</c:formatCode>
                <c:ptCount val="41"/>
                <c:pt idx="0">
                  <c:v>1985</c:v>
                </c:pt>
                <c:pt idx="1">
                  <c:v>1993</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pt idx="22">
                  <c:v>2025</c:v>
                </c:pt>
                <c:pt idx="23">
                  <c:v>2026</c:v>
                </c:pt>
                <c:pt idx="24">
                  <c:v>2027</c:v>
                </c:pt>
                <c:pt idx="25">
                  <c:v>2028</c:v>
                </c:pt>
                <c:pt idx="26">
                  <c:v>2029</c:v>
                </c:pt>
                <c:pt idx="27">
                  <c:v>2030</c:v>
                </c:pt>
                <c:pt idx="28">
                  <c:v>2031</c:v>
                </c:pt>
                <c:pt idx="29">
                  <c:v>2032</c:v>
                </c:pt>
                <c:pt idx="30">
                  <c:v>2033</c:v>
                </c:pt>
                <c:pt idx="31">
                  <c:v>2034</c:v>
                </c:pt>
                <c:pt idx="32">
                  <c:v>2035</c:v>
                </c:pt>
                <c:pt idx="33">
                  <c:v>2036</c:v>
                </c:pt>
                <c:pt idx="34">
                  <c:v>2037</c:v>
                </c:pt>
                <c:pt idx="35">
                  <c:v>2038</c:v>
                </c:pt>
                <c:pt idx="36">
                  <c:v>2039</c:v>
                </c:pt>
                <c:pt idx="37">
                  <c:v>2040</c:v>
                </c:pt>
                <c:pt idx="38">
                  <c:v>2041</c:v>
                </c:pt>
                <c:pt idx="39">
                  <c:v>2042</c:v>
                </c:pt>
                <c:pt idx="40">
                  <c:v>2043</c:v>
                </c:pt>
              </c:numCache>
            </c:numRef>
          </c:xVal>
          <c:yVal>
            <c:numRef>
              <c:f>Proyeccion!$G$8:$G$48</c:f>
              <c:numCache>
                <c:formatCode>0</c:formatCode>
                <c:ptCount val="41"/>
                <c:pt idx="3">
                  <c:v>365778.4</c:v>
                </c:pt>
                <c:pt idx="4">
                  <c:v>375092.8</c:v>
                </c:pt>
                <c:pt idx="5">
                  <c:v>384407.2</c:v>
                </c:pt>
                <c:pt idx="6">
                  <c:v>393721.59999999998</c:v>
                </c:pt>
                <c:pt idx="7">
                  <c:v>403036</c:v>
                </c:pt>
                <c:pt idx="8">
                  <c:v>412350.4</c:v>
                </c:pt>
                <c:pt idx="9">
                  <c:v>421664.8</c:v>
                </c:pt>
                <c:pt idx="10">
                  <c:v>430979.2</c:v>
                </c:pt>
                <c:pt idx="11">
                  <c:v>440293.6</c:v>
                </c:pt>
                <c:pt idx="12">
                  <c:v>449608</c:v>
                </c:pt>
                <c:pt idx="13">
                  <c:v>458922.4</c:v>
                </c:pt>
                <c:pt idx="14">
                  <c:v>468236.79999999999</c:v>
                </c:pt>
                <c:pt idx="15">
                  <c:v>477551.2</c:v>
                </c:pt>
                <c:pt idx="16">
                  <c:v>486865.6</c:v>
                </c:pt>
                <c:pt idx="17">
                  <c:v>496180</c:v>
                </c:pt>
                <c:pt idx="18">
                  <c:v>505494.4</c:v>
                </c:pt>
                <c:pt idx="19">
                  <c:v>514808.8</c:v>
                </c:pt>
                <c:pt idx="20">
                  <c:v>524123.19999999995</c:v>
                </c:pt>
                <c:pt idx="21">
                  <c:v>533437.6</c:v>
                </c:pt>
                <c:pt idx="22">
                  <c:v>542752</c:v>
                </c:pt>
                <c:pt idx="23">
                  <c:v>552066.4</c:v>
                </c:pt>
                <c:pt idx="24">
                  <c:v>561380.80000000005</c:v>
                </c:pt>
                <c:pt idx="25">
                  <c:v>570695.19999999995</c:v>
                </c:pt>
                <c:pt idx="26">
                  <c:v>580009.6</c:v>
                </c:pt>
                <c:pt idx="27">
                  <c:v>589324</c:v>
                </c:pt>
                <c:pt idx="28">
                  <c:v>598638.4</c:v>
                </c:pt>
                <c:pt idx="29">
                  <c:v>607952.80000000005</c:v>
                </c:pt>
                <c:pt idx="30">
                  <c:v>617267.19999999995</c:v>
                </c:pt>
                <c:pt idx="31">
                  <c:v>626581.6</c:v>
                </c:pt>
                <c:pt idx="32">
                  <c:v>635896</c:v>
                </c:pt>
                <c:pt idx="33">
                  <c:v>645210.39999999991</c:v>
                </c:pt>
                <c:pt idx="34">
                  <c:v>654524.80000000005</c:v>
                </c:pt>
                <c:pt idx="35">
                  <c:v>663839.19999999995</c:v>
                </c:pt>
                <c:pt idx="36">
                  <c:v>673153.6</c:v>
                </c:pt>
                <c:pt idx="37">
                  <c:v>682468</c:v>
                </c:pt>
                <c:pt idx="38">
                  <c:v>691782.39999999991</c:v>
                </c:pt>
                <c:pt idx="39">
                  <c:v>701096.8</c:v>
                </c:pt>
                <c:pt idx="40">
                  <c:v>710411.2</c:v>
                </c:pt>
              </c:numCache>
            </c:numRef>
          </c:yVal>
          <c:smooth val="0"/>
          <c:extLst>
            <c:ext xmlns:c16="http://schemas.microsoft.com/office/drawing/2014/chart" uri="{C3380CC4-5D6E-409C-BE32-E72D297353CC}">
              <c16:uniqueId val="{00000001-BD4A-4B78-9295-0F87DB595DEE}"/>
            </c:ext>
          </c:extLst>
        </c:ser>
        <c:ser>
          <c:idx val="2"/>
          <c:order val="2"/>
          <c:tx>
            <c:v>Geometrico</c:v>
          </c:tx>
          <c:spPr>
            <a:ln w="9525" cap="rnd">
              <a:solidFill>
                <a:schemeClr val="accent3"/>
              </a:solidFill>
              <a:round/>
            </a:ln>
            <a:effectLst>
              <a:outerShdw blurRad="40000" dist="23000" dir="5400000" rotWithShape="0">
                <a:srgbClr val="000000">
                  <a:alpha val="35000"/>
                </a:srgbClr>
              </a:outerShdw>
            </a:effectLst>
          </c:spPr>
          <c:marker>
            <c:symbol val="circle"/>
            <c:size val="6"/>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w="9525" cap="rnd">
                <a:solidFill>
                  <a:schemeClr val="accent3"/>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xVal>
            <c:numRef>
              <c:f>Proyeccion!$D$8:$D$48</c:f>
              <c:numCache>
                <c:formatCode>General</c:formatCode>
                <c:ptCount val="41"/>
                <c:pt idx="0">
                  <c:v>1985</c:v>
                </c:pt>
                <c:pt idx="1">
                  <c:v>1993</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pt idx="22">
                  <c:v>2025</c:v>
                </c:pt>
                <c:pt idx="23">
                  <c:v>2026</c:v>
                </c:pt>
                <c:pt idx="24">
                  <c:v>2027</c:v>
                </c:pt>
                <c:pt idx="25">
                  <c:v>2028</c:v>
                </c:pt>
                <c:pt idx="26">
                  <c:v>2029</c:v>
                </c:pt>
                <c:pt idx="27">
                  <c:v>2030</c:v>
                </c:pt>
                <c:pt idx="28">
                  <c:v>2031</c:v>
                </c:pt>
                <c:pt idx="29">
                  <c:v>2032</c:v>
                </c:pt>
                <c:pt idx="30">
                  <c:v>2033</c:v>
                </c:pt>
                <c:pt idx="31">
                  <c:v>2034</c:v>
                </c:pt>
                <c:pt idx="32">
                  <c:v>2035</c:v>
                </c:pt>
                <c:pt idx="33">
                  <c:v>2036</c:v>
                </c:pt>
                <c:pt idx="34">
                  <c:v>2037</c:v>
                </c:pt>
                <c:pt idx="35">
                  <c:v>2038</c:v>
                </c:pt>
                <c:pt idx="36">
                  <c:v>2039</c:v>
                </c:pt>
                <c:pt idx="37">
                  <c:v>2040</c:v>
                </c:pt>
                <c:pt idx="38">
                  <c:v>2041</c:v>
                </c:pt>
                <c:pt idx="39">
                  <c:v>2042</c:v>
                </c:pt>
                <c:pt idx="40">
                  <c:v>2043</c:v>
                </c:pt>
              </c:numCache>
            </c:numRef>
          </c:xVal>
          <c:yVal>
            <c:numRef>
              <c:f>Proyeccion!$I$8:$I$48</c:f>
              <c:numCache>
                <c:formatCode>0</c:formatCode>
                <c:ptCount val="41"/>
                <c:pt idx="3">
                  <c:v>369889.1092013396</c:v>
                </c:pt>
                <c:pt idx="4">
                  <c:v>383819.83343552367</c:v>
                </c:pt>
                <c:pt idx="5">
                  <c:v>398275.21512206667</c:v>
                </c:pt>
                <c:pt idx="6">
                  <c:v>413275.01385405858</c:v>
                </c:pt>
                <c:pt idx="7">
                  <c:v>428839.73340827972</c:v>
                </c:pt>
                <c:pt idx="8">
                  <c:v>444990.64977256744</c:v>
                </c:pt>
                <c:pt idx="9">
                  <c:v>461749.84022874752</c:v>
                </c:pt>
                <c:pt idx="10">
                  <c:v>479140.21353088197</c:v>
                </c:pt>
                <c:pt idx="11">
                  <c:v>497185.54122008831</c:v>
                </c:pt>
                <c:pt idx="12">
                  <c:v>515910.4901187339</c:v>
                </c:pt>
                <c:pt idx="13">
                  <c:v>535340.6560484228</c:v>
                </c:pt>
                <c:pt idx="14">
                  <c:v>555502.59881786618</c:v>
                </c:pt>
                <c:pt idx="15">
                  <c:v>576423.87852846179</c:v>
                </c:pt>
                <c:pt idx="16">
                  <c:v>598133.09324721119</c:v>
                </c:pt>
                <c:pt idx="17">
                  <c:v>620659.91809846926</c:v>
                </c:pt>
                <c:pt idx="18">
                  <c:v>644035.14582796348</c:v>
                </c:pt>
                <c:pt idx="19">
                  <c:v>668290.72889453138</c:v>
                </c:pt>
                <c:pt idx="20">
                  <c:v>693459.82314711204</c:v>
                </c:pt>
                <c:pt idx="21">
                  <c:v>719576.83314669575</c:v>
                </c:pt>
                <c:pt idx="22">
                  <c:v>746677.45919518452</c:v>
                </c:pt>
                <c:pt idx="23">
                  <c:v>774798.74613544811</c:v>
                </c:pt>
                <c:pt idx="24">
                  <c:v>803979.13398928277</c:v>
                </c:pt>
                <c:pt idx="25">
                  <c:v>834258.51050249184</c:v>
                </c:pt>
                <c:pt idx="26">
                  <c:v>865678.26566891221</c:v>
                </c:pt>
                <c:pt idx="27">
                  <c:v>898281.34830792039</c:v>
                </c:pt>
                <c:pt idx="28">
                  <c:v>932112.32477275375</c:v>
                </c:pt>
                <c:pt idx="29">
                  <c:v>967217.43986989895</c:v>
                </c:pt>
                <c:pt idx="30">
                  <c:v>1003644.6800728183</c:v>
                </c:pt>
                <c:pt idx="31">
                  <c:v>1041443.8391164275</c:v>
                </c:pt>
                <c:pt idx="32">
                  <c:v>1080666.5860619824</c:v>
                </c:pt>
                <c:pt idx="33">
                  <c:v>1121366.5359254216</c:v>
                </c:pt>
                <c:pt idx="34">
                  <c:v>1163599.3229657025</c:v>
                </c:pt>
                <c:pt idx="35">
                  <c:v>1207422.6767333183</c:v>
                </c:pt>
                <c:pt idx="36">
                  <c:v>1252896.5009829437</c:v>
                </c:pt>
                <c:pt idx="37">
                  <c:v>1300082.9555580826</c:v>
                </c:pt>
                <c:pt idx="38">
                  <c:v>1349046.5413596432</c:v>
                </c:pt>
                <c:pt idx="39">
                  <c:v>1399854.1885145949</c:v>
                </c:pt>
                <c:pt idx="40">
                  <c:v>1452575.3478652192</c:v>
                </c:pt>
              </c:numCache>
            </c:numRef>
          </c:yVal>
          <c:smooth val="0"/>
          <c:extLst>
            <c:ext xmlns:c16="http://schemas.microsoft.com/office/drawing/2014/chart" uri="{C3380CC4-5D6E-409C-BE32-E72D297353CC}">
              <c16:uniqueId val="{00000002-BD4A-4B78-9295-0F87DB595DEE}"/>
            </c:ext>
          </c:extLst>
        </c:ser>
        <c:ser>
          <c:idx val="3"/>
          <c:order val="3"/>
          <c:tx>
            <c:v>Exponencial</c:v>
          </c:tx>
          <c:spPr>
            <a:ln w="9525" cap="rnd">
              <a:solidFill>
                <a:schemeClr val="accent4"/>
              </a:solidFill>
              <a:round/>
            </a:ln>
            <a:effectLst>
              <a:outerShdw blurRad="40000" dist="23000" dir="5400000" rotWithShape="0">
                <a:srgbClr val="000000">
                  <a:alpha val="35000"/>
                </a:srgbClr>
              </a:outerShdw>
            </a:effectLst>
          </c:spPr>
          <c:marker>
            <c:symbol val="circle"/>
            <c:size val="6"/>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w="9525" cap="rnd">
                <a:solidFill>
                  <a:schemeClr val="accent4"/>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xVal>
            <c:numRef>
              <c:f>Proyeccion!$D$8:$D$48</c:f>
              <c:numCache>
                <c:formatCode>General</c:formatCode>
                <c:ptCount val="41"/>
                <c:pt idx="0">
                  <c:v>1985</c:v>
                </c:pt>
                <c:pt idx="1">
                  <c:v>1993</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pt idx="17">
                  <c:v>2020</c:v>
                </c:pt>
                <c:pt idx="18">
                  <c:v>2021</c:v>
                </c:pt>
                <c:pt idx="19">
                  <c:v>2022</c:v>
                </c:pt>
                <c:pt idx="20">
                  <c:v>2023</c:v>
                </c:pt>
                <c:pt idx="21">
                  <c:v>2024</c:v>
                </c:pt>
                <c:pt idx="22">
                  <c:v>2025</c:v>
                </c:pt>
                <c:pt idx="23">
                  <c:v>2026</c:v>
                </c:pt>
                <c:pt idx="24">
                  <c:v>2027</c:v>
                </c:pt>
                <c:pt idx="25">
                  <c:v>2028</c:v>
                </c:pt>
                <c:pt idx="26">
                  <c:v>2029</c:v>
                </c:pt>
                <c:pt idx="27">
                  <c:v>2030</c:v>
                </c:pt>
                <c:pt idx="28">
                  <c:v>2031</c:v>
                </c:pt>
                <c:pt idx="29">
                  <c:v>2032</c:v>
                </c:pt>
                <c:pt idx="30">
                  <c:v>2033</c:v>
                </c:pt>
                <c:pt idx="31">
                  <c:v>2034</c:v>
                </c:pt>
                <c:pt idx="32">
                  <c:v>2035</c:v>
                </c:pt>
                <c:pt idx="33">
                  <c:v>2036</c:v>
                </c:pt>
                <c:pt idx="34">
                  <c:v>2037</c:v>
                </c:pt>
                <c:pt idx="35">
                  <c:v>2038</c:v>
                </c:pt>
                <c:pt idx="36">
                  <c:v>2039</c:v>
                </c:pt>
                <c:pt idx="37">
                  <c:v>2040</c:v>
                </c:pt>
                <c:pt idx="38">
                  <c:v>2041</c:v>
                </c:pt>
                <c:pt idx="39">
                  <c:v>2042</c:v>
                </c:pt>
                <c:pt idx="40">
                  <c:v>2043</c:v>
                </c:pt>
              </c:numCache>
            </c:numRef>
          </c:xVal>
          <c:yVal>
            <c:numRef>
              <c:f>Proyeccion!$L$8:$L$48</c:f>
              <c:numCache>
                <c:formatCode>General</c:formatCode>
                <c:ptCount val="41"/>
                <c:pt idx="3" formatCode="0">
                  <c:v>363619.5193292331</c:v>
                </c:pt>
                <c:pt idx="4" formatCode="0">
                  <c:v>377007.08846492204</c:v>
                </c:pt>
                <c:pt idx="5" formatCode="0">
                  <c:v>390887.55470276182</c:v>
                </c:pt>
                <c:pt idx="6" formatCode="0">
                  <c:v>405279.06529195403</c:v>
                </c:pt>
                <c:pt idx="7" formatCode="0">
                  <c:v>420200.43561842106</c:v>
                </c:pt>
                <c:pt idx="8" formatCode="0">
                  <c:v>435671.17380394397</c:v>
                </c:pt>
                <c:pt idx="9" formatCode="0">
                  <c:v>451711.50621097855</c:v>
                </c:pt>
                <c:pt idx="10" formatCode="0">
                  <c:v>468342.40388649696</c:v>
                </c:pt>
                <c:pt idx="11" formatCode="0">
                  <c:v>485585.60997942463</c:v>
                </c:pt>
                <c:pt idx="12" formatCode="0">
                  <c:v>503463.66816751991</c:v>
                </c:pt>
                <c:pt idx="13" formatCode="0">
                  <c:v>521999.95213086082</c:v>
                </c:pt>
                <c:pt idx="14" formatCode="0">
                  <c:v>541218.69611047325</c:v>
                </c:pt>
                <c:pt idx="15" formatCode="0">
                  <c:v>561145.0265920501</c:v>
                </c:pt>
                <c:pt idx="16" formatCode="0">
                  <c:v>581804.9951561885</c:v>
                </c:pt>
                <c:pt idx="17" formatCode="0">
                  <c:v>603225.61253809067</c:v>
                </c:pt>
                <c:pt idx="18" formatCode="0">
                  <c:v>625434.88394125749</c:v>
                </c:pt>
                <c:pt idx="19" formatCode="0">
                  <c:v>648461.84565134626</c:v>
                </c:pt>
                <c:pt idx="20" formatCode="0">
                  <c:v>672336.60299805936</c:v>
                </c:pt>
                <c:pt idx="21" formatCode="0">
                  <c:v>697090.36971469456</c:v>
                </c:pt>
                <c:pt idx="22" formatCode="0">
                  <c:v>722755.50874681736</c:v>
                </c:pt>
                <c:pt idx="23" formatCode="0">
                  <c:v>749365.57456340827</c:v>
                </c:pt>
                <c:pt idx="24" formatCode="0">
                  <c:v>776955.35702579981</c:v>
                </c:pt>
                <c:pt idx="25" formatCode="0">
                  <c:v>805560.92687175993</c:v>
                </c:pt>
                <c:pt idx="26" formatCode="0">
                  <c:v>835219.68287418631</c:v>
                </c:pt>
                <c:pt idx="27" formatCode="0">
                  <c:v>865970.40073606849</c:v>
                </c:pt>
                <c:pt idx="28" formatCode="0">
                  <c:v>897853.28378563735</c:v>
                </c:pt>
                <c:pt idx="29" formatCode="0">
                  <c:v>930910.01553798921</c:v>
                </c:pt>
                <c:pt idx="30" formatCode="0">
                  <c:v>965183.81419189496</c:v>
                </c:pt>
                <c:pt idx="31" formatCode="0">
                  <c:v>1000719.4891330481</c:v>
                </c:pt>
                <c:pt idx="32" formatCode="0">
                  <c:v>1037563.4995176218</c:v>
                </c:pt>
                <c:pt idx="33" formatCode="0">
                  <c:v>1075764.0150127285</c:v>
                </c:pt>
                <c:pt idx="34" formatCode="0">
                  <c:v>1115370.9787731897</c:v>
                </c:pt>
                <c:pt idx="35" formatCode="0">
                  <c:v>1156436.1727369579</c:v>
                </c:pt>
                <c:pt idx="36" formatCode="0">
                  <c:v>1199013.2853245519</c:v>
                </c:pt>
                <c:pt idx="37" formatCode="0">
                  <c:v>1243157.9816310175</c:v>
                </c:pt>
                <c:pt idx="38" formatCode="0">
                  <c:v>1288927.9762021827</c:v>
                </c:pt>
                <c:pt idx="39" formatCode="0">
                  <c:v>1336383.1084903555</c:v>
                </c:pt>
                <c:pt idx="40" formatCode="0">
                  <c:v>1385585.4210881081</c:v>
                </c:pt>
              </c:numCache>
            </c:numRef>
          </c:yVal>
          <c:smooth val="0"/>
          <c:extLst>
            <c:ext xmlns:c16="http://schemas.microsoft.com/office/drawing/2014/chart" uri="{C3380CC4-5D6E-409C-BE32-E72D297353CC}">
              <c16:uniqueId val="{00000003-BD4A-4B78-9295-0F87DB595DEE}"/>
            </c:ext>
          </c:extLst>
        </c:ser>
        <c:dLbls>
          <c:showLegendKey val="0"/>
          <c:showVal val="0"/>
          <c:showCatName val="0"/>
          <c:showSerName val="0"/>
          <c:showPercent val="0"/>
          <c:showBubbleSize val="0"/>
        </c:dLbls>
        <c:axId val="313766232"/>
        <c:axId val="313767408"/>
      </c:scatterChart>
      <c:valAx>
        <c:axId val="313766232"/>
        <c:scaling>
          <c:orientation val="minMax"/>
          <c:max val="2045"/>
          <c:min val="1985"/>
        </c:scaling>
        <c:delete val="0"/>
        <c:axPos val="b"/>
        <c:majorGridlines>
          <c:spPr>
            <a:ln w="9525" cap="flat" cmpd="sng" algn="ctr">
              <a:solidFill>
                <a:schemeClr val="lt1">
                  <a:lumMod val="95000"/>
                  <a:alpha val="10000"/>
                </a:schemeClr>
              </a:solidFill>
              <a:round/>
            </a:ln>
            <a:effectLst/>
          </c:spPr>
        </c:majorGridlines>
        <c:title>
          <c:tx>
            <c:rich>
              <a:bodyPr rot="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r>
                  <a:rPr lang="es-CO"/>
                  <a:t>año</a:t>
                </a:r>
              </a:p>
            </c:rich>
          </c:tx>
          <c:layout>
            <c:manualLayout>
              <c:xMode val="edge"/>
              <c:yMode val="edge"/>
              <c:x val="0.47892828083717243"/>
              <c:y val="0.95305305736047163"/>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lt1">
                <a:lumMod val="50000"/>
              </a:schemeClr>
            </a:solid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313767408"/>
        <c:crosses val="autoZero"/>
        <c:crossBetween val="midCat"/>
        <c:majorUnit val="5"/>
      </c:valAx>
      <c:valAx>
        <c:axId val="313767408"/>
        <c:scaling>
          <c:orientation val="minMax"/>
          <c:max val="1500000"/>
          <c:min val="170000"/>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r>
                  <a:rPr lang="es-CO"/>
                  <a:t>Poblacion</a:t>
                </a:r>
                <a:r>
                  <a:rPr lang="es-CO" baseline="0"/>
                  <a:t> (hab.)</a:t>
                </a:r>
                <a:endParaRPr lang="es-CO"/>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lt1">
                <a:lumMod val="50000"/>
              </a:schemeClr>
            </a:solid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313766232"/>
        <c:crosses val="autoZero"/>
        <c:crossBetween val="midCat"/>
        <c:majorUnit val="100000"/>
      </c:valAx>
      <c:spPr>
        <a:noFill/>
        <a:ln>
          <a:noFill/>
        </a:ln>
        <a:effectLst/>
      </c:spPr>
    </c:plotArea>
    <c:legend>
      <c:legendPos val="r"/>
      <c:layout>
        <c:manualLayout>
          <c:xMode val="edge"/>
          <c:yMode val="edge"/>
          <c:x val="0.13779779272111814"/>
          <c:y val="8.4656571774682055E-2"/>
          <c:w val="0.1207760324068228"/>
          <c:h val="0.1888125103243213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rgbClr val="FFFF00"/>
                </a:solidFill>
                <a:effectLst>
                  <a:outerShdw blurRad="50800" dist="38100" dir="5400000" algn="t" rotWithShape="0">
                    <a:prstClr val="black">
                      <a:alpha val="40000"/>
                    </a:prstClr>
                  </a:outerShdw>
                </a:effectLst>
                <a:latin typeface="+mn-lt"/>
                <a:ea typeface="+mn-ea"/>
                <a:cs typeface="+mn-cs"/>
              </a:defRPr>
            </a:pPr>
            <a:r>
              <a:rPr lang="es-CO">
                <a:solidFill>
                  <a:srgbClr val="FFFF00"/>
                </a:solidFill>
              </a:rPr>
              <a:t>Curva</a:t>
            </a:r>
            <a:r>
              <a:rPr lang="es-CO" baseline="0">
                <a:solidFill>
                  <a:srgbClr val="FFFF00"/>
                </a:solidFill>
              </a:rPr>
              <a:t> caracteristica de operacion del sistema de bombeo y las curvas de las bombas</a:t>
            </a:r>
            <a:endParaRPr lang="es-CO">
              <a:solidFill>
                <a:srgbClr val="FFFF00"/>
              </a:solidFill>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rgbClr val="FFFF00"/>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5.0301074434283492E-2"/>
          <c:y val="6.7501209770183326E-2"/>
          <c:w val="0.93969676189079698"/>
          <c:h val="0.84018892179929916"/>
        </c:manualLayout>
      </c:layout>
      <c:lineChart>
        <c:grouping val="standard"/>
        <c:varyColors val="0"/>
        <c:ser>
          <c:idx val="0"/>
          <c:order val="0"/>
          <c:tx>
            <c:v>min.</c:v>
          </c:tx>
          <c:spPr>
            <a:ln w="22225" cap="rnd">
              <a:solidFill>
                <a:schemeClr val="accent1"/>
              </a:solidFill>
              <a:round/>
            </a:ln>
            <a:effectLst>
              <a:outerShdw blurRad="40000" dist="23000" dir="5400000" rotWithShape="0">
                <a:srgbClr val="000000">
                  <a:alpha val="35000"/>
                </a:srgbClr>
              </a:outerShdw>
            </a:effectLst>
          </c:spPr>
          <c:marker>
            <c:symbol val="none"/>
          </c:marker>
          <c:cat>
            <c:numRef>
              <c:f>'Pozo-succion bom. 1'!$BB$4:$BB$14</c:f>
              <c:numCache>
                <c:formatCode>0.0000</c:formatCode>
                <c:ptCount val="11"/>
                <c:pt idx="0">
                  <c:v>0</c:v>
                </c:pt>
                <c:pt idx="1">
                  <c:v>1.2798935997400908E-3</c:v>
                </c:pt>
                <c:pt idx="2">
                  <c:v>2.5597871994801815E-3</c:v>
                </c:pt>
                <c:pt idx="3">
                  <c:v>3.8396807992202723E-3</c:v>
                </c:pt>
                <c:pt idx="4">
                  <c:v>5.119574398960363E-3</c:v>
                </c:pt>
                <c:pt idx="5">
                  <c:v>6.3994679987004546E-3</c:v>
                </c:pt>
                <c:pt idx="6">
                  <c:v>7.6793615984405445E-3</c:v>
                </c:pt>
                <c:pt idx="7">
                  <c:v>8.9592551981806361E-3</c:v>
                </c:pt>
                <c:pt idx="8">
                  <c:v>1.0239148797920726E-2</c:v>
                </c:pt>
                <c:pt idx="9">
                  <c:v>1.1519042397660818E-2</c:v>
                </c:pt>
              </c:numCache>
            </c:numRef>
          </c:cat>
          <c:val>
            <c:numRef>
              <c:f>'Pozo-succion bom. 1'!$BJ$4:$BJ$13</c:f>
              <c:numCache>
                <c:formatCode>0.0000</c:formatCode>
                <c:ptCount val="10"/>
                <c:pt idx="0">
                  <c:v>3.504600000000039</c:v>
                </c:pt>
                <c:pt idx="1">
                  <c:v>3.5230103135492752</c:v>
                </c:pt>
                <c:pt idx="2">
                  <c:v>3.5726269923288951</c:v>
                </c:pt>
                <c:pt idx="3">
                  <c:v>3.6508503584613883</c:v>
                </c:pt>
                <c:pt idx="4">
                  <c:v>3.7564404676350009</c:v>
                </c:pt>
                <c:pt idx="5">
                  <c:v>3.8885780136332109</c:v>
                </c:pt>
                <c:pt idx="6">
                  <c:v>4.0466555812158767</c:v>
                </c:pt>
                <c:pt idx="7">
                  <c:v>4.2301932755638951</c:v>
                </c:pt>
                <c:pt idx="8">
                  <c:v>4.4387961304980337</c:v>
                </c:pt>
                <c:pt idx="9">
                  <c:v>4.6721296377157646</c:v>
                </c:pt>
              </c:numCache>
            </c:numRef>
          </c:val>
          <c:smooth val="0"/>
          <c:extLst>
            <c:ext xmlns:c16="http://schemas.microsoft.com/office/drawing/2014/chart" uri="{C3380CC4-5D6E-409C-BE32-E72D297353CC}">
              <c16:uniqueId val="{00000000-43A3-407D-AD8D-269D193DCA43}"/>
            </c:ext>
          </c:extLst>
        </c:ser>
        <c:ser>
          <c:idx val="1"/>
          <c:order val="1"/>
          <c:tx>
            <c:v>prom.</c:v>
          </c:tx>
          <c:spPr>
            <a:ln w="22225" cap="rnd">
              <a:solidFill>
                <a:schemeClr val="accent2"/>
              </a:solidFill>
              <a:round/>
            </a:ln>
            <a:effectLst>
              <a:outerShdw blurRad="40000" dist="23000" dir="5400000" rotWithShape="0">
                <a:srgbClr val="000000">
                  <a:alpha val="35000"/>
                </a:srgbClr>
              </a:outerShdw>
            </a:effectLst>
          </c:spPr>
          <c:marker>
            <c:symbol val="none"/>
          </c:marker>
          <c:cat>
            <c:numRef>
              <c:f>'Pozo-succion bom. 1'!$BB$4:$BB$14</c:f>
              <c:numCache>
                <c:formatCode>0.0000</c:formatCode>
                <c:ptCount val="11"/>
                <c:pt idx="0">
                  <c:v>0</c:v>
                </c:pt>
                <c:pt idx="1">
                  <c:v>1.2798935997400908E-3</c:v>
                </c:pt>
                <c:pt idx="2">
                  <c:v>2.5597871994801815E-3</c:v>
                </c:pt>
                <c:pt idx="3">
                  <c:v>3.8396807992202723E-3</c:v>
                </c:pt>
                <c:pt idx="4">
                  <c:v>5.119574398960363E-3</c:v>
                </c:pt>
                <c:pt idx="5">
                  <c:v>6.3994679987004546E-3</c:v>
                </c:pt>
                <c:pt idx="6">
                  <c:v>7.6793615984405445E-3</c:v>
                </c:pt>
                <c:pt idx="7">
                  <c:v>8.9592551981806361E-3</c:v>
                </c:pt>
                <c:pt idx="8">
                  <c:v>1.0239148797920726E-2</c:v>
                </c:pt>
                <c:pt idx="9">
                  <c:v>1.1519042397660818E-2</c:v>
                </c:pt>
              </c:numCache>
            </c:numRef>
          </c:cat>
          <c:val>
            <c:numRef>
              <c:f>'Pozo-succion bom. 1'!$BK$4:$BK$13</c:f>
              <c:numCache>
                <c:formatCode>0.0000</c:formatCode>
                <c:ptCount val="10"/>
                <c:pt idx="0">
                  <c:v>4.6046000000000333</c:v>
                </c:pt>
                <c:pt idx="1">
                  <c:v>4.6230103135492699</c:v>
                </c:pt>
                <c:pt idx="2">
                  <c:v>4.6726269923288895</c:v>
                </c:pt>
                <c:pt idx="3">
                  <c:v>4.750850358461383</c:v>
                </c:pt>
                <c:pt idx="4">
                  <c:v>4.8564404676349957</c:v>
                </c:pt>
                <c:pt idx="5">
                  <c:v>4.9885780136332052</c:v>
                </c:pt>
                <c:pt idx="6">
                  <c:v>5.146655581215871</c:v>
                </c:pt>
                <c:pt idx="7">
                  <c:v>5.3301932755638894</c:v>
                </c:pt>
                <c:pt idx="8">
                  <c:v>5.538796130498028</c:v>
                </c:pt>
                <c:pt idx="9">
                  <c:v>5.7721296377157589</c:v>
                </c:pt>
              </c:numCache>
            </c:numRef>
          </c:val>
          <c:smooth val="0"/>
          <c:extLst>
            <c:ext xmlns:c16="http://schemas.microsoft.com/office/drawing/2014/chart" uri="{C3380CC4-5D6E-409C-BE32-E72D297353CC}">
              <c16:uniqueId val="{00000001-43A3-407D-AD8D-269D193DCA43}"/>
            </c:ext>
          </c:extLst>
        </c:ser>
        <c:ser>
          <c:idx val="2"/>
          <c:order val="2"/>
          <c:tx>
            <c:v>max.</c:v>
          </c:tx>
          <c:spPr>
            <a:ln w="22225" cap="rnd">
              <a:solidFill>
                <a:schemeClr val="accent3"/>
              </a:solidFill>
              <a:round/>
            </a:ln>
            <a:effectLst>
              <a:outerShdw blurRad="40000" dist="23000" dir="5400000" rotWithShape="0">
                <a:srgbClr val="000000">
                  <a:alpha val="35000"/>
                </a:srgbClr>
              </a:outerShdw>
            </a:effectLst>
          </c:spPr>
          <c:marker>
            <c:symbol val="none"/>
          </c:marker>
          <c:cat>
            <c:numRef>
              <c:f>'Pozo-succion bom. 1'!$BB$4:$BB$14</c:f>
              <c:numCache>
                <c:formatCode>0.0000</c:formatCode>
                <c:ptCount val="11"/>
                <c:pt idx="0">
                  <c:v>0</c:v>
                </c:pt>
                <c:pt idx="1">
                  <c:v>1.2798935997400908E-3</c:v>
                </c:pt>
                <c:pt idx="2">
                  <c:v>2.5597871994801815E-3</c:v>
                </c:pt>
                <c:pt idx="3">
                  <c:v>3.8396807992202723E-3</c:v>
                </c:pt>
                <c:pt idx="4">
                  <c:v>5.119574398960363E-3</c:v>
                </c:pt>
                <c:pt idx="5">
                  <c:v>6.3994679987004546E-3</c:v>
                </c:pt>
                <c:pt idx="6">
                  <c:v>7.6793615984405445E-3</c:v>
                </c:pt>
                <c:pt idx="7">
                  <c:v>8.9592551981806361E-3</c:v>
                </c:pt>
                <c:pt idx="8">
                  <c:v>1.0239148797920726E-2</c:v>
                </c:pt>
                <c:pt idx="9">
                  <c:v>1.1519042397660818E-2</c:v>
                </c:pt>
              </c:numCache>
            </c:numRef>
          </c:cat>
          <c:val>
            <c:numRef>
              <c:f>'Pozo-succion bom. 1'!$BL$4:$BL$13</c:f>
              <c:numCache>
                <c:formatCode>0.0000</c:formatCode>
                <c:ptCount val="10"/>
                <c:pt idx="0">
                  <c:v>5.7046000000000276</c:v>
                </c:pt>
                <c:pt idx="1">
                  <c:v>5.7230103135492643</c:v>
                </c:pt>
                <c:pt idx="2">
                  <c:v>5.7726269923288838</c:v>
                </c:pt>
                <c:pt idx="3">
                  <c:v>5.8508503584613774</c:v>
                </c:pt>
                <c:pt idx="4">
                  <c:v>5.95644046763499</c:v>
                </c:pt>
                <c:pt idx="5">
                  <c:v>6.0885780136331995</c:v>
                </c:pt>
                <c:pt idx="6">
                  <c:v>6.2466555812158653</c:v>
                </c:pt>
                <c:pt idx="7">
                  <c:v>6.4301932755638846</c:v>
                </c:pt>
                <c:pt idx="8">
                  <c:v>6.6387961304980223</c:v>
                </c:pt>
                <c:pt idx="9">
                  <c:v>6.8721296377157532</c:v>
                </c:pt>
              </c:numCache>
            </c:numRef>
          </c:val>
          <c:smooth val="0"/>
          <c:extLst>
            <c:ext xmlns:c16="http://schemas.microsoft.com/office/drawing/2014/chart" uri="{C3380CC4-5D6E-409C-BE32-E72D297353CC}">
              <c16:uniqueId val="{00000002-43A3-407D-AD8D-269D193DCA43}"/>
            </c:ext>
          </c:extLst>
        </c:ser>
        <c:ser>
          <c:idx val="3"/>
          <c:order val="3"/>
          <c:tx>
            <c:v>Bomba 1 + Bomba 2</c:v>
          </c:tx>
          <c:spPr>
            <a:ln w="22225" cap="rnd">
              <a:solidFill>
                <a:schemeClr val="accent4"/>
              </a:solidFill>
              <a:round/>
            </a:ln>
            <a:effectLst>
              <a:outerShdw blurRad="40000" dist="23000" dir="5400000" rotWithShape="0">
                <a:srgbClr val="000000">
                  <a:alpha val="35000"/>
                </a:srgbClr>
              </a:outerShdw>
            </a:effectLst>
          </c:spPr>
          <c:marker>
            <c:symbol val="none"/>
          </c:marker>
          <c:cat>
            <c:numRef>
              <c:f>'Pozo-succion bom. 1'!$BB$4:$BB$14</c:f>
              <c:numCache>
                <c:formatCode>0.0000</c:formatCode>
                <c:ptCount val="11"/>
                <c:pt idx="0">
                  <c:v>0</c:v>
                </c:pt>
                <c:pt idx="1">
                  <c:v>1.2798935997400908E-3</c:v>
                </c:pt>
                <c:pt idx="2">
                  <c:v>2.5597871994801815E-3</c:v>
                </c:pt>
                <c:pt idx="3">
                  <c:v>3.8396807992202723E-3</c:v>
                </c:pt>
                <c:pt idx="4">
                  <c:v>5.119574398960363E-3</c:v>
                </c:pt>
                <c:pt idx="5">
                  <c:v>6.3994679987004546E-3</c:v>
                </c:pt>
                <c:pt idx="6">
                  <c:v>7.6793615984405445E-3</c:v>
                </c:pt>
                <c:pt idx="7">
                  <c:v>8.9592551981806361E-3</c:v>
                </c:pt>
                <c:pt idx="8">
                  <c:v>1.0239148797920726E-2</c:v>
                </c:pt>
                <c:pt idx="9">
                  <c:v>1.1519042397660818E-2</c:v>
                </c:pt>
              </c:numCache>
            </c:numRef>
          </c:cat>
          <c:val>
            <c:numRef>
              <c:f>'Pozo-succion bom. 1'!$BM$4:$BM$13</c:f>
              <c:numCache>
                <c:formatCode>0.0000</c:formatCode>
                <c:ptCount val="10"/>
                <c:pt idx="0">
                  <c:v>42.726430000000001</c:v>
                </c:pt>
                <c:pt idx="1">
                  <c:v>39.645127864832709</c:v>
                </c:pt>
                <c:pt idx="2">
                  <c:v>35.744589456506269</c:v>
                </c:pt>
                <c:pt idx="3">
                  <c:v>30.412658464843279</c:v>
                </c:pt>
                <c:pt idx="4">
                  <c:v>23.037178579666346</c:v>
                </c:pt>
                <c:pt idx="5">
                  <c:v>13.005993490798076</c:v>
                </c:pt>
                <c:pt idx="6">
                  <c:v>-0.29305311193892436</c:v>
                </c:pt>
                <c:pt idx="7">
                  <c:v>-17.472117538722067</c:v>
                </c:pt>
                <c:pt idx="8">
                  <c:v>-39.143356099728713</c:v>
                </c:pt>
                <c:pt idx="9">
                  <c:v>-65.91892510513631</c:v>
                </c:pt>
              </c:numCache>
            </c:numRef>
          </c:val>
          <c:smooth val="0"/>
          <c:extLst>
            <c:ext xmlns:c16="http://schemas.microsoft.com/office/drawing/2014/chart" uri="{C3380CC4-5D6E-409C-BE32-E72D297353CC}">
              <c16:uniqueId val="{00000001-8A43-4BF9-9C31-86E1787E57E2}"/>
            </c:ext>
          </c:extLst>
        </c:ser>
        <c:dLbls>
          <c:showLegendKey val="0"/>
          <c:showVal val="0"/>
          <c:showCatName val="0"/>
          <c:showSerName val="0"/>
          <c:showPercent val="0"/>
          <c:showBubbleSize val="0"/>
        </c:dLbls>
        <c:smooth val="0"/>
        <c:axId val="316335192"/>
        <c:axId val="316340288"/>
      </c:lineChart>
      <c:catAx>
        <c:axId val="316335192"/>
        <c:scaling>
          <c:orientation val="minMax"/>
        </c:scaling>
        <c:delete val="0"/>
        <c:axPos val="b"/>
        <c:majorGridlines>
          <c:spPr>
            <a:ln w="9525" cap="flat" cmpd="sng" algn="ctr">
              <a:solidFill>
                <a:schemeClr val="lt1">
                  <a:lumMod val="95000"/>
                  <a:alpha val="9000"/>
                </a:schemeClr>
              </a:solidFill>
              <a:round/>
            </a:ln>
            <a:effectLst/>
          </c:spPr>
        </c:majorGridlines>
        <c:minorGridlines>
          <c:spPr>
            <a:ln>
              <a:solidFill>
                <a:schemeClr val="lt1">
                  <a:lumMod val="95000"/>
                  <a:alpha val="5000"/>
                </a:schemeClr>
              </a:solidFill>
            </a:ln>
            <a:effectLst/>
          </c:spPr>
        </c:minorGridlines>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Caudal</a:t>
                </a:r>
                <a:r>
                  <a:rPr lang="es-CO" baseline="0"/>
                  <a:t> (m3/s)</a:t>
                </a:r>
                <a:endParaRPr lang="es-CO"/>
              </a:p>
            </c:rich>
          </c:tx>
          <c:layout>
            <c:manualLayout>
              <c:xMode val="edge"/>
              <c:yMode val="edge"/>
              <c:x val="0.49049758652157971"/>
              <c:y val="0.93705779857726457"/>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0.0000" sourceLinked="0"/>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316340288"/>
        <c:crosses val="autoZero"/>
        <c:auto val="1"/>
        <c:lblAlgn val="ctr"/>
        <c:lblOffset val="100"/>
        <c:noMultiLvlLbl val="0"/>
      </c:catAx>
      <c:valAx>
        <c:axId val="316340288"/>
        <c:scaling>
          <c:orientation val="minMax"/>
          <c:max val="45"/>
          <c:min val="0"/>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carga</a:t>
                </a:r>
                <a:r>
                  <a:rPr lang="es-CO" baseline="0"/>
                  <a:t> dinamica (m)</a:t>
                </a:r>
                <a:endParaRPr lang="es-CO"/>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316335192"/>
        <c:crosses val="autoZero"/>
        <c:crossBetween val="between"/>
        <c:majorUnit val="5"/>
      </c:valAx>
      <c:spPr>
        <a:noFill/>
        <a:ln>
          <a:solidFill>
            <a:schemeClr val="tx1">
              <a:lumMod val="65000"/>
              <a:lumOff val="35000"/>
              <a:alpha val="91000"/>
            </a:schemeClr>
          </a:solidFill>
        </a:ln>
        <a:effectLst/>
      </c:spPr>
    </c:plotArea>
    <c:legend>
      <c:legendPos val="b"/>
      <c:layout>
        <c:manualLayout>
          <c:xMode val="edge"/>
          <c:yMode val="edge"/>
          <c:x val="1.734015499783035E-2"/>
          <c:y val="0.96295783033795279"/>
          <c:w val="0.93032549315311475"/>
          <c:h val="2.886280048919453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solidFill>
                  <a:srgbClr val="FFC000"/>
                </a:solidFill>
              </a:rPr>
              <a:t>Curva Caracteristica de la Bomba</a:t>
            </a:r>
          </a:p>
        </c:rich>
      </c:tx>
      <c:layout>
        <c:manualLayout>
          <c:xMode val="edge"/>
          <c:yMode val="edge"/>
          <c:x val="0.29228330641622691"/>
          <c:y val="8.5959865992855638E-3"/>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6.4930945177525581E-2"/>
          <c:y val="6.7421188227063097E-2"/>
          <c:w val="0.8968215548758991"/>
          <c:h val="0.82317107976195669"/>
        </c:manualLayout>
      </c:layout>
      <c:scatterChart>
        <c:scatterStyle val="lineMarker"/>
        <c:varyColors val="0"/>
        <c:ser>
          <c:idx val="0"/>
          <c:order val="0"/>
          <c:tx>
            <c:v>Bomba HE 1.5 20-1</c:v>
          </c:tx>
          <c:spPr>
            <a:ln w="95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trendline>
            <c:spPr>
              <a:ln w="19050" cap="rnd">
                <a:solidFill>
                  <a:schemeClr val="accent1"/>
                </a:solidFill>
                <a:prstDash val="sysDash"/>
              </a:ln>
              <a:effectLst/>
            </c:spPr>
            <c:trendlineType val="poly"/>
            <c:order val="3"/>
            <c:dispRSqr val="0"/>
            <c:dispEq val="1"/>
            <c:trendlineLbl>
              <c:layout>
                <c:manualLayout>
                  <c:x val="-0.38262497259983164"/>
                  <c:y val="-7.7648156115750116E-3"/>
                </c:manualLayout>
              </c:layout>
              <c:numFmt formatCode="#,##0.00000" sourceLinked="0"/>
              <c:spPr>
                <a:noFill/>
                <a:ln>
                  <a:noFill/>
                </a:ln>
                <a:effectLst/>
              </c:spPr>
              <c:txPr>
                <a:bodyPr rot="0" spcFirstLastPara="1" vertOverflow="ellipsis" vert="horz" wrap="square" anchor="ctr" anchorCtr="1"/>
                <a:lstStyle/>
                <a:p>
                  <a:pPr lvl="8" algn="ctr" rtl="0">
                    <a:defRPr sz="900" b="0" i="0" u="none" strike="noStrike" kern="1200" baseline="0">
                      <a:solidFill>
                        <a:sysClr val="window" lastClr="FFFFFF">
                          <a:lumMod val="75000"/>
                        </a:sysClr>
                      </a:solidFill>
                      <a:latin typeface="+mn-lt"/>
                      <a:ea typeface="+mn-ea"/>
                      <a:cs typeface="+mn-cs"/>
                    </a:defRPr>
                  </a:pPr>
                  <a:endParaRPr lang="es-CO"/>
                </a:p>
              </c:txPr>
            </c:trendlineLbl>
          </c:trendline>
          <c:xVal>
            <c:numRef>
              <c:f>'Pozo-succion bom. 1'!$AK$4:$AK$10</c:f>
              <c:numCache>
                <c:formatCode>0.0000</c:formatCode>
                <c:ptCount val="7"/>
                <c:pt idx="0">
                  <c:v>0</c:v>
                </c:pt>
                <c:pt idx="1">
                  <c:v>7.5768321100000012E-4</c:v>
                </c:pt>
                <c:pt idx="2">
                  <c:v>1.5153664220000002E-3</c:v>
                </c:pt>
                <c:pt idx="3">
                  <c:v>2.2730496330000001E-3</c:v>
                </c:pt>
                <c:pt idx="4">
                  <c:v>3.0307328440000005E-3</c:v>
                </c:pt>
                <c:pt idx="5">
                  <c:v>3.7884160550000004E-3</c:v>
                </c:pt>
                <c:pt idx="6">
                  <c:v>4.5460992660000003E-3</c:v>
                </c:pt>
              </c:numCache>
            </c:numRef>
          </c:xVal>
          <c:yVal>
            <c:numRef>
              <c:f>'Pozo-succion bom. 1'!$AL$4:$AL$10</c:f>
              <c:numCache>
                <c:formatCode>0.0000</c:formatCode>
                <c:ptCount val="7"/>
                <c:pt idx="0">
                  <c:v>42.672000000000004</c:v>
                </c:pt>
                <c:pt idx="1">
                  <c:v>41.148000000000003</c:v>
                </c:pt>
                <c:pt idx="2">
                  <c:v>38.862000000000002</c:v>
                </c:pt>
                <c:pt idx="3">
                  <c:v>36.576000000000001</c:v>
                </c:pt>
                <c:pt idx="4">
                  <c:v>34.29</c:v>
                </c:pt>
                <c:pt idx="5">
                  <c:v>30.48</c:v>
                </c:pt>
                <c:pt idx="6">
                  <c:v>26.67</c:v>
                </c:pt>
              </c:numCache>
            </c:numRef>
          </c:yVal>
          <c:smooth val="0"/>
          <c:extLst>
            <c:ext xmlns:c16="http://schemas.microsoft.com/office/drawing/2014/chart" uri="{C3380CC4-5D6E-409C-BE32-E72D297353CC}">
              <c16:uniqueId val="{00000000-C90B-4D50-9342-AA0C62B3132D}"/>
            </c:ext>
          </c:extLst>
        </c:ser>
        <c:dLbls>
          <c:showLegendKey val="0"/>
          <c:showVal val="0"/>
          <c:showCatName val="0"/>
          <c:showSerName val="0"/>
          <c:showPercent val="0"/>
          <c:showBubbleSize val="0"/>
        </c:dLbls>
        <c:axId val="600915032"/>
        <c:axId val="600914048"/>
      </c:scatterChart>
      <c:valAx>
        <c:axId val="600915032"/>
        <c:scaling>
          <c:orientation val="minMax"/>
        </c:scaling>
        <c:delete val="0"/>
        <c:axPos val="b"/>
        <c:majorGridlines>
          <c:spPr>
            <a:ln w="9525" cap="flat" cmpd="sng" algn="ctr">
              <a:solidFill>
                <a:schemeClr val="lt1">
                  <a:lumMod val="95000"/>
                  <a:alpha val="10000"/>
                </a:schemeClr>
              </a:solidFill>
              <a:round/>
            </a:ln>
            <a:effectLst/>
          </c:spPr>
        </c:majorGridlines>
        <c:title>
          <c:tx>
            <c:rich>
              <a:bodyPr rot="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r>
                  <a:rPr lang="es-CO"/>
                  <a:t>CAUDAL</a:t>
                </a:r>
                <a:r>
                  <a:rPr lang="es-CO" baseline="0"/>
                  <a:t> (M3/S)</a:t>
                </a:r>
                <a:endParaRPr lang="es-CO"/>
              </a:p>
            </c:rich>
          </c:tx>
          <c:layout>
            <c:manualLayout>
              <c:xMode val="edge"/>
              <c:yMode val="edge"/>
              <c:x val="0.46522139655954975"/>
              <c:y val="0.9398709609297744"/>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endParaRPr lang="es-CO"/>
            </a:p>
          </c:txPr>
        </c:title>
        <c:numFmt formatCode="0.0000" sourceLinked="1"/>
        <c:majorTickMark val="none"/>
        <c:minorTickMark val="none"/>
        <c:tickLblPos val="nextTo"/>
        <c:spPr>
          <a:noFill/>
          <a:ln w="9525" cap="flat" cmpd="sng" algn="ctr">
            <a:solidFill>
              <a:schemeClr val="lt1">
                <a:lumMod val="50000"/>
              </a:schemeClr>
            </a:solid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600914048"/>
        <c:crosses val="autoZero"/>
        <c:crossBetween val="midCat"/>
      </c:valAx>
      <c:valAx>
        <c:axId val="600914048"/>
        <c:scaling>
          <c:orientation val="minMax"/>
          <c:min val="26"/>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r>
                  <a:rPr lang="es-CO"/>
                  <a:t>CARGA</a:t>
                </a:r>
                <a:r>
                  <a:rPr lang="es-CO" baseline="0"/>
                  <a:t> (M)</a:t>
                </a:r>
                <a:endParaRPr lang="es-CO"/>
              </a:p>
            </c:rich>
          </c:tx>
          <c:layout>
            <c:manualLayout>
              <c:xMode val="edge"/>
              <c:yMode val="edge"/>
              <c:x val="8.1256774863581391E-3"/>
              <c:y val="0.4260195776415004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endParaRPr lang="es-CO"/>
            </a:p>
          </c:txPr>
        </c:title>
        <c:numFmt formatCode="0" sourceLinked="0"/>
        <c:majorTickMark val="none"/>
        <c:minorTickMark val="none"/>
        <c:tickLblPos val="nextTo"/>
        <c:spPr>
          <a:noFill/>
          <a:ln w="9525" cap="flat" cmpd="sng" algn="ctr">
            <a:solidFill>
              <a:schemeClr val="lt1">
                <a:lumMod val="50000"/>
              </a:schemeClr>
            </a:solid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600915032"/>
        <c:crosses val="autoZero"/>
        <c:crossBetween val="midCat"/>
        <c:majorUnit val="2"/>
      </c:valAx>
      <c:spPr>
        <a:noFill/>
        <a:ln>
          <a:noFill/>
        </a:ln>
        <a:effectLst/>
      </c:spPr>
    </c:plotArea>
    <c:legend>
      <c:legendPos val="r"/>
      <c:layout>
        <c:manualLayout>
          <c:xMode val="edge"/>
          <c:yMode val="edge"/>
          <c:x val="0.68735630507145928"/>
          <c:y val="6.9706231593928303E-2"/>
          <c:w val="0.25216507689193257"/>
          <c:h val="9.689059379475049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rgbClr val="FFFF00"/>
                </a:solidFill>
                <a:effectLst>
                  <a:outerShdw blurRad="50800" dist="38100" dir="5400000" algn="t" rotWithShape="0">
                    <a:prstClr val="black">
                      <a:alpha val="40000"/>
                    </a:prstClr>
                  </a:outerShdw>
                </a:effectLst>
                <a:latin typeface="+mn-lt"/>
                <a:ea typeface="+mn-ea"/>
                <a:cs typeface="+mn-cs"/>
              </a:defRPr>
            </a:pPr>
            <a:r>
              <a:rPr lang="es-CO">
                <a:solidFill>
                  <a:srgbClr val="FFFF00"/>
                </a:solidFill>
              </a:rPr>
              <a:t>Curva</a:t>
            </a:r>
            <a:r>
              <a:rPr lang="es-CO" baseline="0">
                <a:solidFill>
                  <a:srgbClr val="FFFF00"/>
                </a:solidFill>
              </a:rPr>
              <a:t> caracteristica de operacion del sistema de bombeo y las curvas de las bombas</a:t>
            </a:r>
            <a:endParaRPr lang="es-CO">
              <a:solidFill>
                <a:srgbClr val="FFFF00"/>
              </a:solidFill>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rgbClr val="FFFF00"/>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5.0301074434283492E-2"/>
          <c:y val="6.7501209770183326E-2"/>
          <c:w val="0.93969676189079698"/>
          <c:h val="0.84018892179929916"/>
        </c:manualLayout>
      </c:layout>
      <c:lineChart>
        <c:grouping val="standard"/>
        <c:varyColors val="0"/>
        <c:ser>
          <c:idx val="0"/>
          <c:order val="0"/>
          <c:tx>
            <c:v>min.</c:v>
          </c:tx>
          <c:spPr>
            <a:ln w="22225" cap="rnd">
              <a:solidFill>
                <a:schemeClr val="accent1"/>
              </a:solidFill>
              <a:round/>
            </a:ln>
            <a:effectLst>
              <a:outerShdw blurRad="40000" dist="23000" dir="5400000" rotWithShape="0">
                <a:srgbClr val="000000">
                  <a:alpha val="35000"/>
                </a:srgbClr>
              </a:outerShdw>
            </a:effectLst>
          </c:spPr>
          <c:marker>
            <c:symbol val="none"/>
          </c:marker>
          <c:cat>
            <c:numRef>
              <c:f>'Succion-elevado bom. 3'!$BB$4:$BB$14</c:f>
              <c:numCache>
                <c:formatCode>0.0000</c:formatCode>
                <c:ptCount val="11"/>
                <c:pt idx="0">
                  <c:v>0</c:v>
                </c:pt>
                <c:pt idx="1">
                  <c:v>1.2798935997400908E-3</c:v>
                </c:pt>
                <c:pt idx="2">
                  <c:v>2.5597871994801815E-3</c:v>
                </c:pt>
                <c:pt idx="3">
                  <c:v>3.8396807992202723E-3</c:v>
                </c:pt>
                <c:pt idx="4">
                  <c:v>5.119574398960363E-3</c:v>
                </c:pt>
                <c:pt idx="5">
                  <c:v>6.3994679987004546E-3</c:v>
                </c:pt>
                <c:pt idx="6">
                  <c:v>7.6793615984405445E-3</c:v>
                </c:pt>
                <c:pt idx="7">
                  <c:v>8.9592551981806361E-3</c:v>
                </c:pt>
                <c:pt idx="8">
                  <c:v>1.0239148797920726E-2</c:v>
                </c:pt>
                <c:pt idx="9">
                  <c:v>1.1519042397660818E-2</c:v>
                </c:pt>
              </c:numCache>
            </c:numRef>
          </c:cat>
          <c:val>
            <c:numRef>
              <c:f>'Succion-elevado bom. 3'!$BJ$4:$BJ$13</c:f>
              <c:numCache>
                <c:formatCode>0.0000</c:formatCode>
                <c:ptCount val="10"/>
                <c:pt idx="0">
                  <c:v>10.455499999999972</c:v>
                </c:pt>
                <c:pt idx="1">
                  <c:v>10.506434537661425</c:v>
                </c:pt>
                <c:pt idx="2">
                  <c:v>10.640939536014534</c:v>
                </c:pt>
                <c:pt idx="3">
                  <c:v>10.850541841372561</c:v>
                </c:pt>
                <c:pt idx="4">
                  <c:v>11.131200091993191</c:v>
                </c:pt>
                <c:pt idx="5">
                  <c:v>11.480243915693341</c:v>
                </c:pt>
                <c:pt idx="6">
                  <c:v>11.895693558471208</c:v>
                </c:pt>
                <c:pt idx="7">
                  <c:v>12.375984894789976</c:v>
                </c:pt>
                <c:pt idx="8">
                  <c:v>12.919830607799087</c:v>
                </c:pt>
                <c:pt idx="9">
                  <c:v>13.526140431553939</c:v>
                </c:pt>
              </c:numCache>
            </c:numRef>
          </c:val>
          <c:smooth val="0"/>
          <c:extLst>
            <c:ext xmlns:c16="http://schemas.microsoft.com/office/drawing/2014/chart" uri="{C3380CC4-5D6E-409C-BE32-E72D297353CC}">
              <c16:uniqueId val="{00000000-A6B5-445A-8825-450079C10308}"/>
            </c:ext>
          </c:extLst>
        </c:ser>
        <c:ser>
          <c:idx val="1"/>
          <c:order val="1"/>
          <c:tx>
            <c:v>prom.</c:v>
          </c:tx>
          <c:spPr>
            <a:ln w="22225" cap="rnd">
              <a:solidFill>
                <a:schemeClr val="accent2"/>
              </a:solidFill>
              <a:round/>
            </a:ln>
            <a:effectLst>
              <a:outerShdw blurRad="40000" dist="23000" dir="5400000" rotWithShape="0">
                <a:srgbClr val="000000">
                  <a:alpha val="35000"/>
                </a:srgbClr>
              </a:outerShdw>
            </a:effectLst>
          </c:spPr>
          <c:marker>
            <c:symbol val="none"/>
          </c:marker>
          <c:cat>
            <c:numRef>
              <c:f>'Succion-elevado bom. 3'!$BB$4:$BB$14</c:f>
              <c:numCache>
                <c:formatCode>0.0000</c:formatCode>
                <c:ptCount val="11"/>
                <c:pt idx="0">
                  <c:v>0</c:v>
                </c:pt>
                <c:pt idx="1">
                  <c:v>1.2798935997400908E-3</c:v>
                </c:pt>
                <c:pt idx="2">
                  <c:v>2.5597871994801815E-3</c:v>
                </c:pt>
                <c:pt idx="3">
                  <c:v>3.8396807992202723E-3</c:v>
                </c:pt>
                <c:pt idx="4">
                  <c:v>5.119574398960363E-3</c:v>
                </c:pt>
                <c:pt idx="5">
                  <c:v>6.3994679987004546E-3</c:v>
                </c:pt>
                <c:pt idx="6">
                  <c:v>7.6793615984405445E-3</c:v>
                </c:pt>
                <c:pt idx="7">
                  <c:v>8.9592551981806361E-3</c:v>
                </c:pt>
                <c:pt idx="8">
                  <c:v>1.0239148797920726E-2</c:v>
                </c:pt>
                <c:pt idx="9">
                  <c:v>1.1519042397660818E-2</c:v>
                </c:pt>
              </c:numCache>
            </c:numRef>
          </c:cat>
          <c:val>
            <c:numRef>
              <c:f>'Succion-elevado bom. 3'!$BK$4:$BK$13</c:f>
              <c:numCache>
                <c:formatCode>0.0000</c:formatCode>
                <c:ptCount val="10"/>
                <c:pt idx="0">
                  <c:v>10.570349999999962</c:v>
                </c:pt>
                <c:pt idx="1">
                  <c:v>10.621284537661415</c:v>
                </c:pt>
                <c:pt idx="2">
                  <c:v>10.755789536014523</c:v>
                </c:pt>
                <c:pt idx="3">
                  <c:v>10.965391841372551</c:v>
                </c:pt>
                <c:pt idx="4">
                  <c:v>11.246050091993181</c:v>
                </c:pt>
                <c:pt idx="5">
                  <c:v>11.595093915693331</c:v>
                </c:pt>
                <c:pt idx="6">
                  <c:v>12.010543558471198</c:v>
                </c:pt>
                <c:pt idx="7">
                  <c:v>12.490834894789966</c:v>
                </c:pt>
                <c:pt idx="8">
                  <c:v>13.034680607799077</c:v>
                </c:pt>
                <c:pt idx="9">
                  <c:v>13.640990431553929</c:v>
                </c:pt>
              </c:numCache>
            </c:numRef>
          </c:val>
          <c:smooth val="0"/>
          <c:extLst>
            <c:ext xmlns:c16="http://schemas.microsoft.com/office/drawing/2014/chart" uri="{C3380CC4-5D6E-409C-BE32-E72D297353CC}">
              <c16:uniqueId val="{00000001-A6B5-445A-8825-450079C10308}"/>
            </c:ext>
          </c:extLst>
        </c:ser>
        <c:ser>
          <c:idx val="2"/>
          <c:order val="2"/>
          <c:tx>
            <c:v>max.</c:v>
          </c:tx>
          <c:spPr>
            <a:ln w="22225" cap="rnd">
              <a:solidFill>
                <a:schemeClr val="accent3"/>
              </a:solidFill>
              <a:round/>
            </a:ln>
            <a:effectLst>
              <a:outerShdw blurRad="40000" dist="23000" dir="5400000" rotWithShape="0">
                <a:srgbClr val="000000">
                  <a:alpha val="35000"/>
                </a:srgbClr>
              </a:outerShdw>
            </a:effectLst>
          </c:spPr>
          <c:marker>
            <c:symbol val="none"/>
          </c:marker>
          <c:cat>
            <c:numRef>
              <c:f>'Succion-elevado bom. 3'!$BB$4:$BB$14</c:f>
              <c:numCache>
                <c:formatCode>0.0000</c:formatCode>
                <c:ptCount val="11"/>
                <c:pt idx="0">
                  <c:v>0</c:v>
                </c:pt>
                <c:pt idx="1">
                  <c:v>1.2798935997400908E-3</c:v>
                </c:pt>
                <c:pt idx="2">
                  <c:v>2.5597871994801815E-3</c:v>
                </c:pt>
                <c:pt idx="3">
                  <c:v>3.8396807992202723E-3</c:v>
                </c:pt>
                <c:pt idx="4">
                  <c:v>5.119574398960363E-3</c:v>
                </c:pt>
                <c:pt idx="5">
                  <c:v>6.3994679987004546E-3</c:v>
                </c:pt>
                <c:pt idx="6">
                  <c:v>7.6793615984405445E-3</c:v>
                </c:pt>
                <c:pt idx="7">
                  <c:v>8.9592551981806361E-3</c:v>
                </c:pt>
                <c:pt idx="8">
                  <c:v>1.0239148797920726E-2</c:v>
                </c:pt>
                <c:pt idx="9">
                  <c:v>1.1519042397660818E-2</c:v>
                </c:pt>
              </c:numCache>
            </c:numRef>
          </c:cat>
          <c:val>
            <c:numRef>
              <c:f>'Succion-elevado bom. 3'!$BL$4:$BL$13</c:f>
              <c:numCache>
                <c:formatCode>0.0000</c:formatCode>
                <c:ptCount val="10"/>
                <c:pt idx="0">
                  <c:v>10.685199999999952</c:v>
                </c:pt>
                <c:pt idx="1">
                  <c:v>10.736134537661405</c:v>
                </c:pt>
                <c:pt idx="2">
                  <c:v>10.870639536014513</c:v>
                </c:pt>
                <c:pt idx="3">
                  <c:v>11.080241841372541</c:v>
                </c:pt>
                <c:pt idx="4">
                  <c:v>11.360900091993171</c:v>
                </c:pt>
                <c:pt idx="5">
                  <c:v>11.709943915693321</c:v>
                </c:pt>
                <c:pt idx="6">
                  <c:v>12.125393558471188</c:v>
                </c:pt>
                <c:pt idx="7">
                  <c:v>12.605684894789956</c:v>
                </c:pt>
                <c:pt idx="8">
                  <c:v>13.149530607799067</c:v>
                </c:pt>
                <c:pt idx="9">
                  <c:v>13.755840431553919</c:v>
                </c:pt>
              </c:numCache>
            </c:numRef>
          </c:val>
          <c:smooth val="0"/>
          <c:extLst>
            <c:ext xmlns:c16="http://schemas.microsoft.com/office/drawing/2014/chart" uri="{C3380CC4-5D6E-409C-BE32-E72D297353CC}">
              <c16:uniqueId val="{00000002-A6B5-445A-8825-450079C10308}"/>
            </c:ext>
          </c:extLst>
        </c:ser>
        <c:ser>
          <c:idx val="3"/>
          <c:order val="3"/>
          <c:tx>
            <c:v>Bomba 1 + Bomba 2</c:v>
          </c:tx>
          <c:spPr>
            <a:ln w="22225" cap="rnd">
              <a:solidFill>
                <a:schemeClr val="accent4"/>
              </a:solidFill>
              <a:round/>
            </a:ln>
            <a:effectLst>
              <a:outerShdw blurRad="40000" dist="23000" dir="5400000" rotWithShape="0">
                <a:srgbClr val="000000">
                  <a:alpha val="35000"/>
                </a:srgbClr>
              </a:outerShdw>
            </a:effectLst>
          </c:spPr>
          <c:marker>
            <c:symbol val="none"/>
          </c:marker>
          <c:cat>
            <c:numRef>
              <c:f>'Succion-elevado bom. 3'!$BB$4:$BB$14</c:f>
              <c:numCache>
                <c:formatCode>0.0000</c:formatCode>
                <c:ptCount val="11"/>
                <c:pt idx="0">
                  <c:v>0</c:v>
                </c:pt>
                <c:pt idx="1">
                  <c:v>1.2798935997400908E-3</c:v>
                </c:pt>
                <c:pt idx="2">
                  <c:v>2.5597871994801815E-3</c:v>
                </c:pt>
                <c:pt idx="3">
                  <c:v>3.8396807992202723E-3</c:v>
                </c:pt>
                <c:pt idx="4">
                  <c:v>5.119574398960363E-3</c:v>
                </c:pt>
                <c:pt idx="5">
                  <c:v>6.3994679987004546E-3</c:v>
                </c:pt>
                <c:pt idx="6">
                  <c:v>7.6793615984405445E-3</c:v>
                </c:pt>
                <c:pt idx="7">
                  <c:v>8.9592551981806361E-3</c:v>
                </c:pt>
                <c:pt idx="8">
                  <c:v>1.0239148797920726E-2</c:v>
                </c:pt>
                <c:pt idx="9">
                  <c:v>1.1519042397660818E-2</c:v>
                </c:pt>
              </c:numCache>
            </c:numRef>
          </c:cat>
          <c:val>
            <c:numRef>
              <c:f>'Succion-elevado bom. 3'!$BM$4:$BM$13</c:f>
              <c:numCache>
                <c:formatCode>0.0000</c:formatCode>
                <c:ptCount val="10"/>
                <c:pt idx="0">
                  <c:v>40.429870000000001</c:v>
                </c:pt>
                <c:pt idx="1">
                  <c:v>39.437857568809768</c:v>
                </c:pt>
                <c:pt idx="2">
                  <c:v>37.983399953765677</c:v>
                </c:pt>
                <c:pt idx="3">
                  <c:v>35.863372561036066</c:v>
                </c:pt>
                <c:pt idx="4">
                  <c:v>32.874650796789254</c:v>
                </c:pt>
                <c:pt idx="5">
                  <c:v>28.814110067193571</c:v>
                </c:pt>
                <c:pt idx="6">
                  <c:v>23.478625778417353</c:v>
                </c:pt>
                <c:pt idx="7">
                  <c:v>16.665073336628929</c:v>
                </c:pt>
                <c:pt idx="8">
                  <c:v>8.1703281479966279</c:v>
                </c:pt>
                <c:pt idx="9">
                  <c:v>-2.2087343813112312</c:v>
                </c:pt>
              </c:numCache>
            </c:numRef>
          </c:val>
          <c:smooth val="0"/>
          <c:extLst>
            <c:ext xmlns:c16="http://schemas.microsoft.com/office/drawing/2014/chart" uri="{C3380CC4-5D6E-409C-BE32-E72D297353CC}">
              <c16:uniqueId val="{00000003-A6B5-445A-8825-450079C10308}"/>
            </c:ext>
          </c:extLst>
        </c:ser>
        <c:dLbls>
          <c:showLegendKey val="0"/>
          <c:showVal val="0"/>
          <c:showCatName val="0"/>
          <c:showSerName val="0"/>
          <c:showPercent val="0"/>
          <c:showBubbleSize val="0"/>
        </c:dLbls>
        <c:smooth val="0"/>
        <c:axId val="316335192"/>
        <c:axId val="316340288"/>
      </c:lineChart>
      <c:catAx>
        <c:axId val="316335192"/>
        <c:scaling>
          <c:orientation val="minMax"/>
        </c:scaling>
        <c:delete val="0"/>
        <c:axPos val="b"/>
        <c:majorGridlines>
          <c:spPr>
            <a:ln w="9525" cap="flat" cmpd="sng" algn="ctr">
              <a:solidFill>
                <a:schemeClr val="lt1">
                  <a:lumMod val="95000"/>
                  <a:alpha val="9000"/>
                </a:schemeClr>
              </a:solidFill>
              <a:round/>
            </a:ln>
            <a:effectLst/>
          </c:spPr>
        </c:majorGridlines>
        <c:minorGridlines>
          <c:spPr>
            <a:ln>
              <a:solidFill>
                <a:schemeClr val="lt1">
                  <a:lumMod val="95000"/>
                  <a:alpha val="5000"/>
                </a:schemeClr>
              </a:solidFill>
            </a:ln>
            <a:effectLst/>
          </c:spPr>
        </c:minorGridlines>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Caudal</a:t>
                </a:r>
                <a:r>
                  <a:rPr lang="es-CO" baseline="0"/>
                  <a:t> (m3/s)</a:t>
                </a:r>
                <a:endParaRPr lang="es-CO"/>
              </a:p>
            </c:rich>
          </c:tx>
          <c:layout>
            <c:manualLayout>
              <c:xMode val="edge"/>
              <c:yMode val="edge"/>
              <c:x val="0.49049758652157971"/>
              <c:y val="0.93705779857726457"/>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0.0000" sourceLinked="0"/>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316340288"/>
        <c:crosses val="autoZero"/>
        <c:auto val="1"/>
        <c:lblAlgn val="ctr"/>
        <c:lblOffset val="100"/>
        <c:noMultiLvlLbl val="0"/>
      </c:catAx>
      <c:valAx>
        <c:axId val="316340288"/>
        <c:scaling>
          <c:orientation val="minMax"/>
          <c:max val="42"/>
          <c:min val="10"/>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carga</a:t>
                </a:r>
                <a:r>
                  <a:rPr lang="es-CO" baseline="0"/>
                  <a:t> dinamica (m)</a:t>
                </a:r>
                <a:endParaRPr lang="es-CO"/>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316335192"/>
        <c:crosses val="autoZero"/>
        <c:crossBetween val="between"/>
        <c:majorUnit val="2"/>
      </c:valAx>
      <c:spPr>
        <a:noFill/>
        <a:ln>
          <a:solidFill>
            <a:schemeClr val="tx1">
              <a:lumMod val="65000"/>
              <a:lumOff val="35000"/>
              <a:alpha val="91000"/>
            </a:schemeClr>
          </a:solidFill>
        </a:ln>
        <a:effectLst/>
      </c:spPr>
    </c:plotArea>
    <c:legend>
      <c:legendPos val="b"/>
      <c:layout>
        <c:manualLayout>
          <c:xMode val="edge"/>
          <c:yMode val="edge"/>
          <c:x val="1.734015499783035E-2"/>
          <c:y val="0.96295783033795279"/>
          <c:w val="0.93032549315311475"/>
          <c:h val="2.886280048919453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solidFill>
                  <a:srgbClr val="FFC000"/>
                </a:solidFill>
              </a:rPr>
              <a:t>Curva Caracteristica de la Bomba</a:t>
            </a:r>
          </a:p>
        </c:rich>
      </c:tx>
      <c:layout>
        <c:manualLayout>
          <c:xMode val="edge"/>
          <c:yMode val="edge"/>
          <c:x val="0.29228330641622691"/>
          <c:y val="8.5959865992855638E-3"/>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6.4930945177525581E-2"/>
          <c:y val="6.7421188227063097E-2"/>
          <c:w val="0.8968215548758991"/>
          <c:h val="0.82317107976195669"/>
        </c:manualLayout>
      </c:layout>
      <c:scatterChart>
        <c:scatterStyle val="lineMarker"/>
        <c:varyColors val="0"/>
        <c:ser>
          <c:idx val="0"/>
          <c:order val="0"/>
          <c:spPr>
            <a:ln w="95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trendline>
            <c:spPr>
              <a:ln w="19050" cap="rnd">
                <a:solidFill>
                  <a:schemeClr val="accent1"/>
                </a:solidFill>
                <a:prstDash val="sysDash"/>
              </a:ln>
              <a:effectLst/>
            </c:spPr>
            <c:trendlineType val="poly"/>
            <c:order val="3"/>
            <c:dispRSqr val="0"/>
            <c:dispEq val="1"/>
            <c:trendlineLbl>
              <c:layout>
                <c:manualLayout>
                  <c:x val="-0.35685450074180386"/>
                  <c:y val="-3.5133091537093944E-2"/>
                </c:manualLayout>
              </c:layout>
              <c:numFmt formatCode="#,##0.00000" sourceLinked="0"/>
              <c:spPr>
                <a:noFill/>
                <a:ln>
                  <a:noFill/>
                </a:ln>
                <a:effectLst/>
              </c:spPr>
              <c:txPr>
                <a:bodyPr rot="0" spcFirstLastPara="1" vertOverflow="ellipsis" vert="horz" wrap="square" anchor="ctr" anchorCtr="1"/>
                <a:lstStyle/>
                <a:p>
                  <a:pPr lvl="8" algn="ctr" rtl="0">
                    <a:defRPr sz="900" b="0" i="0" u="none" strike="noStrike" kern="1200" baseline="0">
                      <a:solidFill>
                        <a:sysClr val="window" lastClr="FFFFFF">
                          <a:lumMod val="75000"/>
                        </a:sysClr>
                      </a:solidFill>
                      <a:latin typeface="+mn-lt"/>
                      <a:ea typeface="+mn-ea"/>
                      <a:cs typeface="+mn-cs"/>
                    </a:defRPr>
                  </a:pPr>
                  <a:endParaRPr lang="es-CO"/>
                </a:p>
              </c:txPr>
            </c:trendlineLbl>
          </c:trendline>
          <c:xVal>
            <c:numRef>
              <c:f>'Succion-elevado bom. 3'!$AK$4:$AK$11</c:f>
              <c:numCache>
                <c:formatCode>0.0000</c:formatCode>
                <c:ptCount val="8"/>
                <c:pt idx="0">
                  <c:v>0</c:v>
                </c:pt>
                <c:pt idx="1">
                  <c:v>1.5153664220000002E-3</c:v>
                </c:pt>
                <c:pt idx="2">
                  <c:v>3.0307328440000005E-3</c:v>
                </c:pt>
                <c:pt idx="3">
                  <c:v>4.5460992660000003E-3</c:v>
                </c:pt>
                <c:pt idx="4">
                  <c:v>6.061465688000001E-3</c:v>
                </c:pt>
                <c:pt idx="5">
                  <c:v>7.5768321100000008E-3</c:v>
                </c:pt>
                <c:pt idx="6">
                  <c:v>9.0921985320000006E-3</c:v>
                </c:pt>
                <c:pt idx="7" formatCode="0.00000">
                  <c:v>1.0607564954E-2</c:v>
                </c:pt>
              </c:numCache>
            </c:numRef>
          </c:xVal>
          <c:yVal>
            <c:numRef>
              <c:f>'Succion-elevado bom. 3'!$AL$4:$AL$11</c:f>
              <c:numCache>
                <c:formatCode>0.0000</c:formatCode>
                <c:ptCount val="8"/>
                <c:pt idx="0">
                  <c:v>40.386000000000003</c:v>
                </c:pt>
                <c:pt idx="1">
                  <c:v>39.624000000000002</c:v>
                </c:pt>
                <c:pt idx="2">
                  <c:v>38.862000000000002</c:v>
                </c:pt>
                <c:pt idx="3">
                  <c:v>37.490400000000001</c:v>
                </c:pt>
                <c:pt idx="4">
                  <c:v>35.6616</c:v>
                </c:pt>
                <c:pt idx="5">
                  <c:v>33.223199999999999</c:v>
                </c:pt>
                <c:pt idx="6">
                  <c:v>28.956000000000003</c:v>
                </c:pt>
                <c:pt idx="7" formatCode="0.000">
                  <c:v>23.1648</c:v>
                </c:pt>
              </c:numCache>
            </c:numRef>
          </c:yVal>
          <c:smooth val="0"/>
          <c:extLst>
            <c:ext xmlns:c16="http://schemas.microsoft.com/office/drawing/2014/chart" uri="{C3380CC4-5D6E-409C-BE32-E72D297353CC}">
              <c16:uniqueId val="{00000001-FF53-42AE-9FEE-96F1B8AC0F54}"/>
            </c:ext>
          </c:extLst>
        </c:ser>
        <c:dLbls>
          <c:showLegendKey val="0"/>
          <c:showVal val="0"/>
          <c:showCatName val="0"/>
          <c:showSerName val="0"/>
          <c:showPercent val="0"/>
          <c:showBubbleSize val="0"/>
        </c:dLbls>
        <c:axId val="600915032"/>
        <c:axId val="600914048"/>
      </c:scatterChart>
      <c:valAx>
        <c:axId val="600915032"/>
        <c:scaling>
          <c:orientation val="minMax"/>
        </c:scaling>
        <c:delete val="0"/>
        <c:axPos val="b"/>
        <c:majorGridlines>
          <c:spPr>
            <a:ln w="9525" cap="flat" cmpd="sng" algn="ctr">
              <a:solidFill>
                <a:schemeClr val="lt1">
                  <a:lumMod val="95000"/>
                  <a:alpha val="10000"/>
                </a:schemeClr>
              </a:solidFill>
              <a:round/>
            </a:ln>
            <a:effectLst/>
          </c:spPr>
        </c:majorGridlines>
        <c:title>
          <c:tx>
            <c:rich>
              <a:bodyPr rot="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r>
                  <a:rPr lang="es-CO"/>
                  <a:t>CAUDAL</a:t>
                </a:r>
                <a:r>
                  <a:rPr lang="es-CO" baseline="0"/>
                  <a:t> (M3/S)</a:t>
                </a:r>
                <a:endParaRPr lang="es-CO"/>
              </a:p>
            </c:rich>
          </c:tx>
          <c:layout>
            <c:manualLayout>
              <c:xMode val="edge"/>
              <c:yMode val="edge"/>
              <c:x val="0.46522139655954975"/>
              <c:y val="0.9398709609297744"/>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endParaRPr lang="es-CO"/>
            </a:p>
          </c:txPr>
        </c:title>
        <c:numFmt formatCode="0.0000" sourceLinked="1"/>
        <c:majorTickMark val="none"/>
        <c:minorTickMark val="none"/>
        <c:tickLblPos val="nextTo"/>
        <c:spPr>
          <a:noFill/>
          <a:ln w="9525" cap="flat" cmpd="sng" algn="ctr">
            <a:solidFill>
              <a:schemeClr val="lt1">
                <a:lumMod val="50000"/>
              </a:schemeClr>
            </a:solid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600914048"/>
        <c:crosses val="autoZero"/>
        <c:crossBetween val="midCat"/>
      </c:valAx>
      <c:valAx>
        <c:axId val="600914048"/>
        <c:scaling>
          <c:orientation val="minMax"/>
          <c:max val="41"/>
          <c:min val="23"/>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r>
                  <a:rPr lang="es-CO"/>
                  <a:t>CARGA</a:t>
                </a:r>
                <a:r>
                  <a:rPr lang="es-CO" baseline="0"/>
                  <a:t> (M)</a:t>
                </a:r>
                <a:endParaRPr lang="es-CO"/>
              </a:p>
            </c:rich>
          </c:tx>
          <c:layout>
            <c:manualLayout>
              <c:xMode val="edge"/>
              <c:yMode val="edge"/>
              <c:x val="8.1256774863581391E-3"/>
              <c:y val="0.42601957764150045"/>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75000"/>
                    </a:schemeClr>
                  </a:solidFill>
                  <a:latin typeface="+mn-lt"/>
                  <a:ea typeface="+mn-ea"/>
                  <a:cs typeface="+mn-cs"/>
                </a:defRPr>
              </a:pPr>
              <a:endParaRPr lang="es-CO"/>
            </a:p>
          </c:txPr>
        </c:title>
        <c:numFmt formatCode="0" sourceLinked="0"/>
        <c:majorTickMark val="none"/>
        <c:minorTickMark val="none"/>
        <c:tickLblPos val="nextTo"/>
        <c:spPr>
          <a:noFill/>
          <a:ln w="9525" cap="flat" cmpd="sng" algn="ctr">
            <a:solidFill>
              <a:schemeClr val="lt1">
                <a:lumMod val="50000"/>
              </a:schemeClr>
            </a:solid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600915032"/>
        <c:crosses val="autoZero"/>
        <c:crossBetween val="midCat"/>
        <c:majorUnit val="1"/>
      </c:valAx>
      <c:spPr>
        <a:noFill/>
        <a:ln>
          <a:noFill/>
        </a:ln>
        <a:effectLst/>
      </c:spPr>
    </c:plotArea>
    <c:legend>
      <c:legendPos val="r"/>
      <c:layout>
        <c:manualLayout>
          <c:xMode val="edge"/>
          <c:yMode val="edge"/>
          <c:x val="0.68735630507145928"/>
          <c:y val="6.9706231593928303E-2"/>
          <c:w val="0.25216507689193257"/>
          <c:h val="9.689059379475049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Curva de distribucion horaria</a:t>
            </a:r>
          </a:p>
        </c:rich>
      </c:tx>
      <c:layout>
        <c:manualLayout>
          <c:xMode val="edge"/>
          <c:yMode val="edge"/>
          <c:x val="0.26889877310405741"/>
          <c:y val="5.6765882861827396E-3"/>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7.6403191551136854E-2"/>
          <c:y val="8.1338081698574136E-2"/>
          <c:w val="0.89699921051363574"/>
          <c:h val="0.74481074021615501"/>
        </c:manualLayout>
      </c:layout>
      <c:lineChart>
        <c:grouping val="standard"/>
        <c:varyColors val="0"/>
        <c:ser>
          <c:idx val="0"/>
          <c:order val="0"/>
          <c:spPr>
            <a:ln w="12700" cap="rnd">
              <a:solidFill>
                <a:schemeClr val="accent1"/>
              </a:solidFill>
              <a:round/>
            </a:ln>
            <a:effectLst>
              <a:outerShdw blurRad="40000" dist="23000" dir="5400000" rotWithShape="0">
                <a:srgbClr val="000000">
                  <a:alpha val="35000"/>
                </a:srgbClr>
              </a:outerShdw>
            </a:effectLst>
          </c:spPr>
          <c:marker>
            <c:symbol val="none"/>
          </c:marker>
          <c:cat>
            <c:strRef>
              <c:f>'Tanques Calculos'!$I$4:$I$28</c:f>
              <c:strCache>
                <c:ptCount val="25"/>
                <c:pt idx="0">
                  <c:v>0:00</c:v>
                </c:pt>
                <c:pt idx="1">
                  <c:v>1:00</c:v>
                </c:pt>
                <c:pt idx="2">
                  <c:v>2:00</c:v>
                </c:pt>
                <c:pt idx="3">
                  <c:v>3:00</c:v>
                </c:pt>
                <c:pt idx="4">
                  <c:v>4:00</c:v>
                </c:pt>
                <c:pt idx="5">
                  <c:v>5:00</c:v>
                </c:pt>
                <c:pt idx="6">
                  <c:v>6:00</c:v>
                </c:pt>
                <c:pt idx="7">
                  <c:v>7:00</c:v>
                </c:pt>
                <c:pt idx="8">
                  <c:v>8:00</c:v>
                </c:pt>
                <c:pt idx="9">
                  <c:v>9:00</c:v>
                </c:pt>
                <c:pt idx="10">
                  <c:v>10:00</c:v>
                </c:pt>
                <c:pt idx="11">
                  <c:v>11:00</c:v>
                </c:pt>
                <c:pt idx="12">
                  <c:v>12:00</c:v>
                </c:pt>
                <c:pt idx="13">
                  <c:v>13:00</c:v>
                </c:pt>
                <c:pt idx="14">
                  <c:v>14:00</c:v>
                </c:pt>
                <c:pt idx="15">
                  <c:v>15:00</c:v>
                </c:pt>
                <c:pt idx="16">
                  <c:v>16:00</c:v>
                </c:pt>
                <c:pt idx="17">
                  <c:v>17:00</c:v>
                </c:pt>
                <c:pt idx="18">
                  <c:v>18:00</c:v>
                </c:pt>
                <c:pt idx="19">
                  <c:v>19:00</c:v>
                </c:pt>
                <c:pt idx="20">
                  <c:v>20:00</c:v>
                </c:pt>
                <c:pt idx="21">
                  <c:v>21:00</c:v>
                </c:pt>
                <c:pt idx="22">
                  <c:v>22:00</c:v>
                </c:pt>
                <c:pt idx="23">
                  <c:v>23:00</c:v>
                </c:pt>
                <c:pt idx="24">
                  <c:v>Σ del volumen de agua consumido en un dia</c:v>
                </c:pt>
              </c:strCache>
            </c:strRef>
          </c:cat>
          <c:val>
            <c:numRef>
              <c:f>'Tanques Calculos'!$J$4:$J$27</c:f>
              <c:numCache>
                <c:formatCode>0.0000</c:formatCode>
                <c:ptCount val="24"/>
                <c:pt idx="0">
                  <c:v>0.29095073274347105</c:v>
                </c:pt>
                <c:pt idx="1">
                  <c:v>0.29095073274347105</c:v>
                </c:pt>
                <c:pt idx="2">
                  <c:v>0.29095073274347105</c:v>
                </c:pt>
                <c:pt idx="3">
                  <c:v>0.43645265056006355</c:v>
                </c:pt>
                <c:pt idx="4">
                  <c:v>0.43645265056006355</c:v>
                </c:pt>
                <c:pt idx="5">
                  <c:v>0.58195456837665616</c:v>
                </c:pt>
                <c:pt idx="6">
                  <c:v>1.0184072189367197</c:v>
                </c:pt>
                <c:pt idx="7">
                  <c:v>2.6187690062500955</c:v>
                </c:pt>
                <c:pt idx="8">
                  <c:v>2.3278182735066246</c:v>
                </c:pt>
                <c:pt idx="9">
                  <c:v>2.0368144378734394</c:v>
                </c:pt>
                <c:pt idx="10">
                  <c:v>1.1639091367533123</c:v>
                </c:pt>
                <c:pt idx="11">
                  <c:v>1.0184072189367197</c:v>
                </c:pt>
                <c:pt idx="12">
                  <c:v>1.4548598694967831</c:v>
                </c:pt>
                <c:pt idx="13">
                  <c:v>2.4733201913232166</c:v>
                </c:pt>
                <c:pt idx="14">
                  <c:v>1.6003617873133757</c:v>
                </c:pt>
                <c:pt idx="15">
                  <c:v>0.8729053011201271</c:v>
                </c:pt>
                <c:pt idx="16">
                  <c:v>0.72745648619324865</c:v>
                </c:pt>
                <c:pt idx="17">
                  <c:v>0.72745648619324865</c:v>
                </c:pt>
                <c:pt idx="18">
                  <c:v>1.0184072189367197</c:v>
                </c:pt>
                <c:pt idx="19">
                  <c:v>1.6003617873133757</c:v>
                </c:pt>
                <c:pt idx="20">
                  <c:v>2.6187690062500955</c:v>
                </c:pt>
                <c:pt idx="21">
                  <c:v>2.3278182735066246</c:v>
                </c:pt>
                <c:pt idx="22">
                  <c:v>0.72745648619324865</c:v>
                </c:pt>
                <c:pt idx="23">
                  <c:v>0.43645265056006355</c:v>
                </c:pt>
              </c:numCache>
            </c:numRef>
          </c:val>
          <c:smooth val="0"/>
          <c:extLst>
            <c:ext xmlns:c15="http://schemas.microsoft.com/office/drawing/2012/chart" uri="{02D57815-91ED-43cb-92C2-25804820EDAC}">
              <c15:filteredSeriesTitle>
                <c15:tx>
                  <c:v>Curva de distribucion horaria corregida</c:v>
                </c15:tx>
              </c15:filteredSeriesTitle>
            </c:ext>
            <c:ext xmlns:c16="http://schemas.microsoft.com/office/drawing/2014/chart" uri="{C3380CC4-5D6E-409C-BE32-E72D297353CC}">
              <c16:uniqueId val="{00000000-D8FA-4B7F-926A-B51780C64165}"/>
            </c:ext>
          </c:extLst>
        </c:ser>
        <c:dLbls>
          <c:showLegendKey val="0"/>
          <c:showVal val="0"/>
          <c:showCatName val="0"/>
          <c:showSerName val="0"/>
          <c:showPercent val="0"/>
          <c:showBubbleSize val="0"/>
        </c:dLbls>
        <c:smooth val="0"/>
        <c:axId val="316339504"/>
        <c:axId val="316338720"/>
      </c:lineChart>
      <c:catAx>
        <c:axId val="316339504"/>
        <c:scaling>
          <c:orientation val="minMax"/>
        </c:scaling>
        <c:delete val="0"/>
        <c:axPos val="b"/>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Horas de dia (h)</a:t>
                </a:r>
              </a:p>
            </c:rich>
          </c:tx>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316338720"/>
        <c:crosses val="autoZero"/>
        <c:auto val="1"/>
        <c:lblAlgn val="ctr"/>
        <c:lblOffset val="100"/>
        <c:noMultiLvlLbl val="0"/>
      </c:catAx>
      <c:valAx>
        <c:axId val="316338720"/>
        <c:scaling>
          <c:orientation val="minMax"/>
          <c:min val="0"/>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Caudal (L/s)</a:t>
                </a:r>
              </a:p>
            </c:rich>
          </c:tx>
          <c:layout>
            <c:manualLayout>
              <c:xMode val="edge"/>
              <c:yMode val="edge"/>
              <c:x val="6.8610634648370496E-3"/>
              <c:y val="0.39664696301864444"/>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316339504"/>
        <c:crosses val="autoZero"/>
        <c:crossBetween val="between"/>
        <c:majorUnit val="0.1"/>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Calculo Grafico</a:t>
            </a:r>
            <a:r>
              <a:rPr lang="es-CO" baseline="0"/>
              <a:t> del Volumen del Tanque Elevado para Un Dia de Consumo</a:t>
            </a:r>
            <a:endParaRPr lang="es-CO"/>
          </a:p>
        </c:rich>
      </c:tx>
      <c:layout>
        <c:manualLayout>
          <c:xMode val="edge"/>
          <c:yMode val="edge"/>
          <c:x val="0.12173872861780079"/>
          <c:y val="7.0491663415368291E-3"/>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8.0638569739889879E-2"/>
          <c:y val="0.12935510217384841"/>
          <c:w val="0.89769060771522402"/>
          <c:h val="0.65796349215326699"/>
        </c:manualLayout>
      </c:layout>
      <c:lineChart>
        <c:grouping val="standard"/>
        <c:varyColors val="0"/>
        <c:ser>
          <c:idx val="0"/>
          <c:order val="0"/>
          <c:tx>
            <c:v>Curva integral de consumo</c:v>
          </c:tx>
          <c:spPr>
            <a:ln w="12700" cap="rnd">
              <a:solidFill>
                <a:schemeClr val="accent1"/>
              </a:solidFill>
              <a:round/>
            </a:ln>
            <a:effectLst>
              <a:outerShdw blurRad="40000" dist="23000" dir="5400000" rotWithShape="0">
                <a:srgbClr val="000000">
                  <a:alpha val="35000"/>
                </a:srgbClr>
              </a:outerShdw>
            </a:effectLst>
          </c:spPr>
          <c:marker>
            <c:symbol val="none"/>
          </c:marker>
          <c:cat>
            <c:numRef>
              <c:f>'Tanques Calculos'!$AI$4:$AI$27</c:f>
              <c:numCache>
                <c:formatCode>h:mm</c:formatCode>
                <c:ptCount val="24"/>
                <c:pt idx="0">
                  <c:v>1.0416666666666801</c:v>
                </c:pt>
                <c:pt idx="1">
                  <c:v>1.0833333333333499</c:v>
                </c:pt>
                <c:pt idx="2">
                  <c:v>1.12500000000001</c:v>
                </c:pt>
                <c:pt idx="3">
                  <c:v>1.1666666666666801</c:v>
                </c:pt>
                <c:pt idx="4">
                  <c:v>1.2083333333333499</c:v>
                </c:pt>
                <c:pt idx="5">
                  <c:v>1.25000000000002</c:v>
                </c:pt>
                <c:pt idx="6">
                  <c:v>1.2916666666666801</c:v>
                </c:pt>
                <c:pt idx="7">
                  <c:v>1.3333333333333499</c:v>
                </c:pt>
                <c:pt idx="8">
                  <c:v>1.37500000000002</c:v>
                </c:pt>
                <c:pt idx="9">
                  <c:v>0.41666666666666702</c:v>
                </c:pt>
                <c:pt idx="10">
                  <c:v>0.45833333333333298</c:v>
                </c:pt>
                <c:pt idx="11">
                  <c:v>0.5</c:v>
                </c:pt>
                <c:pt idx="12">
                  <c:v>0.54166666666666696</c:v>
                </c:pt>
                <c:pt idx="13">
                  <c:v>0.58333333333333304</c:v>
                </c:pt>
                <c:pt idx="14">
                  <c:v>0.625</c:v>
                </c:pt>
                <c:pt idx="15">
                  <c:v>0.66666666666666596</c:v>
                </c:pt>
                <c:pt idx="16">
                  <c:v>0.70833333333333304</c:v>
                </c:pt>
                <c:pt idx="17">
                  <c:v>0.75</c:v>
                </c:pt>
                <c:pt idx="18">
                  <c:v>0.79166666666666663</c:v>
                </c:pt>
                <c:pt idx="19">
                  <c:v>0.83333333333333304</c:v>
                </c:pt>
                <c:pt idx="20">
                  <c:v>0.875</c:v>
                </c:pt>
                <c:pt idx="21">
                  <c:v>0.91666666666667596</c:v>
                </c:pt>
                <c:pt idx="22">
                  <c:v>0.95833333333334303</c:v>
                </c:pt>
                <c:pt idx="23">
                  <c:v>0</c:v>
                </c:pt>
              </c:numCache>
            </c:numRef>
          </c:cat>
          <c:val>
            <c:numRef>
              <c:f>'Tanques Calculos'!$AL$4:$AL$27</c:f>
              <c:numCache>
                <c:formatCode>0.00</c:formatCode>
                <c:ptCount val="24"/>
                <c:pt idx="0">
                  <c:v>0.99991787496920348</c:v>
                </c:pt>
                <c:pt idx="1">
                  <c:v>1.999835749938407</c:v>
                </c:pt>
                <c:pt idx="2">
                  <c:v>2.9997536249076102</c:v>
                </c:pt>
                <c:pt idx="3">
                  <c:v>4.4997216873956338</c:v>
                </c:pt>
                <c:pt idx="4">
                  <c:v>5.9996897498836574</c:v>
                </c:pt>
                <c:pt idx="5">
                  <c:v>7.9997079998905019</c:v>
                </c:pt>
                <c:pt idx="6">
                  <c:v>11.499694312385369</c:v>
                </c:pt>
                <c:pt idx="7">
                  <c:v>20.499685187381949</c:v>
                </c:pt>
                <c:pt idx="8">
                  <c:v>28.499758187409327</c:v>
                </c:pt>
                <c:pt idx="9">
                  <c:v>35.499730812399065</c:v>
                </c:pt>
                <c:pt idx="10">
                  <c:v>39.499767312412757</c:v>
                </c:pt>
                <c:pt idx="11">
                  <c:v>42.999753624907626</c:v>
                </c:pt>
                <c:pt idx="12">
                  <c:v>47.999707999890518</c:v>
                </c:pt>
                <c:pt idx="13">
                  <c:v>56.499831187436712</c:v>
                </c:pt>
                <c:pt idx="14">
                  <c:v>61.999835749938427</c:v>
                </c:pt>
                <c:pt idx="15">
                  <c:v>64.999771874914472</c:v>
                </c:pt>
                <c:pt idx="16">
                  <c:v>67.499840312440142</c:v>
                </c:pt>
                <c:pt idx="17">
                  <c:v>69.999908749965812</c:v>
                </c:pt>
                <c:pt idx="18">
                  <c:v>73.499895062460681</c:v>
                </c:pt>
                <c:pt idx="19">
                  <c:v>78.999899624962396</c:v>
                </c:pt>
                <c:pt idx="20">
                  <c:v>87.99989049995898</c:v>
                </c:pt>
                <c:pt idx="21">
                  <c:v>95.999963499986364</c:v>
                </c:pt>
                <c:pt idx="22">
                  <c:v>98.500031937512034</c:v>
                </c:pt>
                <c:pt idx="23">
                  <c:v>100.00000000000006</c:v>
                </c:pt>
              </c:numCache>
            </c:numRef>
          </c:val>
          <c:smooth val="0"/>
          <c:extLst>
            <c:ext xmlns:c16="http://schemas.microsoft.com/office/drawing/2014/chart" uri="{C3380CC4-5D6E-409C-BE32-E72D297353CC}">
              <c16:uniqueId val="{00000000-811C-496E-A2C9-E6068BE32CEF}"/>
            </c:ext>
          </c:extLst>
        </c:ser>
        <c:ser>
          <c:idx val="1"/>
          <c:order val="1"/>
          <c:tx>
            <c:v>Curva integral de suministro</c:v>
          </c:tx>
          <c:spPr>
            <a:ln w="12700" cap="rnd">
              <a:solidFill>
                <a:schemeClr val="accent2"/>
              </a:solidFill>
              <a:round/>
            </a:ln>
            <a:effectLst>
              <a:outerShdw blurRad="40000" dist="23000" dir="5400000" rotWithShape="0">
                <a:srgbClr val="000000">
                  <a:alpha val="35000"/>
                </a:srgbClr>
              </a:outerShdw>
            </a:effectLst>
          </c:spPr>
          <c:marker>
            <c:symbol val="none"/>
          </c:marker>
          <c:cat>
            <c:numRef>
              <c:f>'Tanques Calculos'!$AI$4:$AI$27</c:f>
              <c:numCache>
                <c:formatCode>h:mm</c:formatCode>
                <c:ptCount val="24"/>
                <c:pt idx="0">
                  <c:v>1.0416666666666801</c:v>
                </c:pt>
                <c:pt idx="1">
                  <c:v>1.0833333333333499</c:v>
                </c:pt>
                <c:pt idx="2">
                  <c:v>1.12500000000001</c:v>
                </c:pt>
                <c:pt idx="3">
                  <c:v>1.1666666666666801</c:v>
                </c:pt>
                <c:pt idx="4">
                  <c:v>1.2083333333333499</c:v>
                </c:pt>
                <c:pt idx="5">
                  <c:v>1.25000000000002</c:v>
                </c:pt>
                <c:pt idx="6">
                  <c:v>1.2916666666666801</c:v>
                </c:pt>
                <c:pt idx="7">
                  <c:v>1.3333333333333499</c:v>
                </c:pt>
                <c:pt idx="8">
                  <c:v>1.37500000000002</c:v>
                </c:pt>
                <c:pt idx="9">
                  <c:v>0.41666666666666702</c:v>
                </c:pt>
                <c:pt idx="10">
                  <c:v>0.45833333333333298</c:v>
                </c:pt>
                <c:pt idx="11">
                  <c:v>0.5</c:v>
                </c:pt>
                <c:pt idx="12">
                  <c:v>0.54166666666666696</c:v>
                </c:pt>
                <c:pt idx="13">
                  <c:v>0.58333333333333304</c:v>
                </c:pt>
                <c:pt idx="14">
                  <c:v>0.625</c:v>
                </c:pt>
                <c:pt idx="15">
                  <c:v>0.66666666666666596</c:v>
                </c:pt>
                <c:pt idx="16">
                  <c:v>0.70833333333333304</c:v>
                </c:pt>
                <c:pt idx="17">
                  <c:v>0.75</c:v>
                </c:pt>
                <c:pt idx="18">
                  <c:v>0.79166666666666663</c:v>
                </c:pt>
                <c:pt idx="19">
                  <c:v>0.83333333333333304</c:v>
                </c:pt>
                <c:pt idx="20">
                  <c:v>0.875</c:v>
                </c:pt>
                <c:pt idx="21">
                  <c:v>0.91666666666667596</c:v>
                </c:pt>
                <c:pt idx="22">
                  <c:v>0.95833333333334303</c:v>
                </c:pt>
                <c:pt idx="23">
                  <c:v>0</c:v>
                </c:pt>
              </c:numCache>
            </c:numRef>
          </c:cat>
          <c:val>
            <c:numRef>
              <c:f>'Tanques Calculos'!$AN$4:$AN$27</c:f>
              <c:numCache>
                <c:formatCode>0.000</c:formatCode>
                <c:ptCount val="24"/>
                <c:pt idx="0">
                  <c:v>0</c:v>
                </c:pt>
                <c:pt idx="1">
                  <c:v>0</c:v>
                </c:pt>
                <c:pt idx="2">
                  <c:v>0</c:v>
                </c:pt>
                <c:pt idx="3">
                  <c:v>0</c:v>
                </c:pt>
                <c:pt idx="4">
                  <c:v>0</c:v>
                </c:pt>
                <c:pt idx="5">
                  <c:v>0</c:v>
                </c:pt>
                <c:pt idx="6">
                  <c:v>0</c:v>
                </c:pt>
                <c:pt idx="7">
                  <c:v>0</c:v>
                </c:pt>
                <c:pt idx="8">
                  <c:v>25</c:v>
                </c:pt>
                <c:pt idx="9">
                  <c:v>50</c:v>
                </c:pt>
                <c:pt idx="10">
                  <c:v>50</c:v>
                </c:pt>
                <c:pt idx="11">
                  <c:v>50</c:v>
                </c:pt>
                <c:pt idx="12">
                  <c:v>50</c:v>
                </c:pt>
                <c:pt idx="13">
                  <c:v>50</c:v>
                </c:pt>
                <c:pt idx="14">
                  <c:v>50</c:v>
                </c:pt>
                <c:pt idx="15">
                  <c:v>50</c:v>
                </c:pt>
                <c:pt idx="16">
                  <c:v>50</c:v>
                </c:pt>
                <c:pt idx="17">
                  <c:v>50</c:v>
                </c:pt>
                <c:pt idx="18">
                  <c:v>50</c:v>
                </c:pt>
                <c:pt idx="19">
                  <c:v>75</c:v>
                </c:pt>
                <c:pt idx="20">
                  <c:v>100</c:v>
                </c:pt>
                <c:pt idx="21">
                  <c:v>100</c:v>
                </c:pt>
                <c:pt idx="22">
                  <c:v>100</c:v>
                </c:pt>
                <c:pt idx="23">
                  <c:v>100</c:v>
                </c:pt>
              </c:numCache>
            </c:numRef>
          </c:val>
          <c:smooth val="0"/>
          <c:extLst>
            <c:ext xmlns:c16="http://schemas.microsoft.com/office/drawing/2014/chart" uri="{C3380CC4-5D6E-409C-BE32-E72D297353CC}">
              <c16:uniqueId val="{00000001-811C-496E-A2C9-E6068BE32CEF}"/>
            </c:ext>
          </c:extLst>
        </c:ser>
        <c:dLbls>
          <c:showLegendKey val="0"/>
          <c:showVal val="0"/>
          <c:showCatName val="0"/>
          <c:showSerName val="0"/>
          <c:showPercent val="0"/>
          <c:showBubbleSize val="0"/>
        </c:dLbls>
        <c:smooth val="0"/>
        <c:axId val="414126120"/>
        <c:axId val="414120240"/>
      </c:lineChart>
      <c:catAx>
        <c:axId val="414126120"/>
        <c:scaling>
          <c:orientation val="minMax"/>
        </c:scaling>
        <c:delete val="0"/>
        <c:axPos val="b"/>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Horas (h)</a:t>
                </a:r>
              </a:p>
            </c:rich>
          </c:tx>
          <c:layout>
            <c:manualLayout>
              <c:xMode val="edge"/>
              <c:yMode val="edge"/>
              <c:x val="0.44279819789710323"/>
              <c:y val="0.88708588080807649"/>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h:mm"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414120240"/>
        <c:crosses val="autoZero"/>
        <c:auto val="1"/>
        <c:lblAlgn val="ctr"/>
        <c:lblOffset val="100"/>
        <c:noMultiLvlLbl val="0"/>
      </c:catAx>
      <c:valAx>
        <c:axId val="414120240"/>
        <c:scaling>
          <c:orientation val="minMax"/>
          <c:max val="105"/>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 QMD</a:t>
                </a:r>
              </a:p>
            </c:rich>
          </c:tx>
          <c:layout>
            <c:manualLayout>
              <c:xMode val="edge"/>
              <c:yMode val="edge"/>
              <c:x val="7.1943657279166908E-3"/>
              <c:y val="0.42612760274725336"/>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414126120"/>
        <c:crosses val="autoZero"/>
        <c:crossBetween val="between"/>
        <c:majorUnit val="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400" b="1" i="0" baseline="0">
                <a:effectLst>
                  <a:outerShdw blurRad="50800" dist="38100" dir="5400000" algn="t" rotWithShape="0">
                    <a:srgbClr val="000000">
                      <a:alpha val="40000"/>
                    </a:srgbClr>
                  </a:outerShdw>
                </a:effectLst>
              </a:rPr>
              <a:t>Calculo Grafico del Volumen del Tanque de Succión para Dos Dia de Consumo</a:t>
            </a:r>
            <a:endParaRPr lang="es-CO" sz="1400">
              <a:effectLst/>
            </a:endParaRPr>
          </a:p>
        </c:rich>
      </c:tx>
      <c:layout>
        <c:manualLayout>
          <c:xMode val="edge"/>
          <c:yMode val="edge"/>
          <c:x val="0.14203659952989045"/>
          <c:y val="7.4733724577891666E-3"/>
        </c:manualLayout>
      </c:layout>
      <c:overlay val="0"/>
      <c:spPr>
        <a:noFill/>
        <a:ln>
          <a:noFill/>
        </a:ln>
        <a:effectLst/>
      </c:spPr>
      <c:txPr>
        <a:bodyPr rot="0" spcFirstLastPara="1" vertOverflow="ellipsis" vert="horz" wrap="square" anchor="ctr" anchorCtr="1"/>
        <a:lstStyle/>
        <a:p>
          <a:pPr>
            <a:defRPr sz="1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8.2925772488177493E-2"/>
          <c:y val="0.13433190057695654"/>
          <c:w val="0.88357519788918204"/>
          <c:h val="0.67802953011265965"/>
        </c:manualLayout>
      </c:layout>
      <c:lineChart>
        <c:grouping val="standard"/>
        <c:varyColors val="0"/>
        <c:ser>
          <c:idx val="0"/>
          <c:order val="0"/>
          <c:tx>
            <c:v>Curva integral de consumo</c:v>
          </c:tx>
          <c:spPr>
            <a:ln w="12700" cap="rnd">
              <a:solidFill>
                <a:schemeClr val="accent1"/>
              </a:solidFill>
              <a:round/>
            </a:ln>
            <a:effectLst>
              <a:outerShdw blurRad="40000" dist="23000" dir="5400000" rotWithShape="0">
                <a:srgbClr val="000000">
                  <a:alpha val="35000"/>
                </a:srgbClr>
              </a:outerShdw>
            </a:effectLst>
          </c:spPr>
          <c:marker>
            <c:symbol val="none"/>
          </c:marker>
          <c:cat>
            <c:numRef>
              <c:f>'Tanques Calculos'!$AI$32:$AI$55</c:f>
              <c:numCache>
                <c:formatCode>h:mm</c:formatCode>
                <c:ptCount val="24"/>
                <c:pt idx="0">
                  <c:v>1.0416666666666801</c:v>
                </c:pt>
                <c:pt idx="1">
                  <c:v>1.0833333333333499</c:v>
                </c:pt>
                <c:pt idx="2">
                  <c:v>1.12500000000001</c:v>
                </c:pt>
                <c:pt idx="3">
                  <c:v>1.1666666666666801</c:v>
                </c:pt>
                <c:pt idx="4">
                  <c:v>1.2083333333333499</c:v>
                </c:pt>
                <c:pt idx="5">
                  <c:v>1.25000000000002</c:v>
                </c:pt>
                <c:pt idx="6">
                  <c:v>1.2916666666666801</c:v>
                </c:pt>
                <c:pt idx="7">
                  <c:v>1.3333333333333499</c:v>
                </c:pt>
                <c:pt idx="8">
                  <c:v>1.37500000000002</c:v>
                </c:pt>
                <c:pt idx="9">
                  <c:v>0.41666666666666702</c:v>
                </c:pt>
                <c:pt idx="10">
                  <c:v>0.45833333333333298</c:v>
                </c:pt>
                <c:pt idx="11">
                  <c:v>0.5</c:v>
                </c:pt>
                <c:pt idx="12">
                  <c:v>0.54166666666666696</c:v>
                </c:pt>
                <c:pt idx="13">
                  <c:v>0.58333333333333304</c:v>
                </c:pt>
                <c:pt idx="14">
                  <c:v>0.625</c:v>
                </c:pt>
                <c:pt idx="15">
                  <c:v>0.66666666666666596</c:v>
                </c:pt>
                <c:pt idx="16">
                  <c:v>0.70833333333333304</c:v>
                </c:pt>
                <c:pt idx="17">
                  <c:v>0.75</c:v>
                </c:pt>
                <c:pt idx="18">
                  <c:v>0.79166666666666663</c:v>
                </c:pt>
                <c:pt idx="19">
                  <c:v>0.83333333333333304</c:v>
                </c:pt>
                <c:pt idx="20">
                  <c:v>0.875</c:v>
                </c:pt>
                <c:pt idx="21">
                  <c:v>0.91666666666667596</c:v>
                </c:pt>
                <c:pt idx="22">
                  <c:v>0.95833333333334303</c:v>
                </c:pt>
                <c:pt idx="23">
                  <c:v>0</c:v>
                </c:pt>
              </c:numCache>
            </c:numRef>
          </c:cat>
          <c:val>
            <c:numRef>
              <c:f>'Tanques Calculos'!$AL$32:$AL$55</c:f>
              <c:numCache>
                <c:formatCode>0.00</c:formatCode>
                <c:ptCount val="24"/>
                <c:pt idx="0">
                  <c:v>0.99991787496920348</c:v>
                </c:pt>
                <c:pt idx="1">
                  <c:v>1.999835749938407</c:v>
                </c:pt>
                <c:pt idx="2">
                  <c:v>2.9997536249076102</c:v>
                </c:pt>
                <c:pt idx="3">
                  <c:v>4.4997216873956338</c:v>
                </c:pt>
                <c:pt idx="4">
                  <c:v>5.9996897498836574</c:v>
                </c:pt>
                <c:pt idx="5">
                  <c:v>7.9997079998905019</c:v>
                </c:pt>
                <c:pt idx="6">
                  <c:v>11.499694312385369</c:v>
                </c:pt>
                <c:pt idx="7">
                  <c:v>20.499685187381949</c:v>
                </c:pt>
                <c:pt idx="8">
                  <c:v>28.499758187409327</c:v>
                </c:pt>
                <c:pt idx="9">
                  <c:v>35.499730812399065</c:v>
                </c:pt>
                <c:pt idx="10">
                  <c:v>39.499767312412757</c:v>
                </c:pt>
                <c:pt idx="11">
                  <c:v>42.999753624907626</c:v>
                </c:pt>
                <c:pt idx="12">
                  <c:v>47.999707999890518</c:v>
                </c:pt>
                <c:pt idx="13">
                  <c:v>56.499831187436712</c:v>
                </c:pt>
                <c:pt idx="14">
                  <c:v>61.999835749938427</c:v>
                </c:pt>
                <c:pt idx="15">
                  <c:v>64.999771874914472</c:v>
                </c:pt>
                <c:pt idx="16">
                  <c:v>67.499840312440142</c:v>
                </c:pt>
                <c:pt idx="17">
                  <c:v>69.999908749965812</c:v>
                </c:pt>
                <c:pt idx="18">
                  <c:v>73.499895062460681</c:v>
                </c:pt>
                <c:pt idx="19">
                  <c:v>78.999899624962396</c:v>
                </c:pt>
                <c:pt idx="20">
                  <c:v>87.99989049995898</c:v>
                </c:pt>
                <c:pt idx="21">
                  <c:v>95.999963499986364</c:v>
                </c:pt>
                <c:pt idx="22">
                  <c:v>98.500031937512034</c:v>
                </c:pt>
                <c:pt idx="23">
                  <c:v>100.00000000000006</c:v>
                </c:pt>
              </c:numCache>
            </c:numRef>
          </c:val>
          <c:smooth val="0"/>
          <c:extLst>
            <c:ext xmlns:c16="http://schemas.microsoft.com/office/drawing/2014/chart" uri="{C3380CC4-5D6E-409C-BE32-E72D297353CC}">
              <c16:uniqueId val="{00000000-7A22-4011-8DE9-25D3A293C271}"/>
            </c:ext>
          </c:extLst>
        </c:ser>
        <c:ser>
          <c:idx val="1"/>
          <c:order val="1"/>
          <c:tx>
            <c:v>Curva integral de suministro</c:v>
          </c:tx>
          <c:spPr>
            <a:ln w="12700" cap="rnd">
              <a:solidFill>
                <a:schemeClr val="accent2"/>
              </a:solidFill>
              <a:round/>
            </a:ln>
            <a:effectLst>
              <a:outerShdw blurRad="40000" dist="23000" dir="5400000" rotWithShape="0">
                <a:srgbClr val="000000">
                  <a:alpha val="35000"/>
                </a:srgbClr>
              </a:outerShdw>
            </a:effectLst>
          </c:spPr>
          <c:marker>
            <c:symbol val="none"/>
          </c:marker>
          <c:cat>
            <c:numRef>
              <c:f>'Tanques Calculos'!$AI$32:$AI$55</c:f>
              <c:numCache>
                <c:formatCode>h:mm</c:formatCode>
                <c:ptCount val="24"/>
                <c:pt idx="0">
                  <c:v>1.0416666666666801</c:v>
                </c:pt>
                <c:pt idx="1">
                  <c:v>1.0833333333333499</c:v>
                </c:pt>
                <c:pt idx="2">
                  <c:v>1.12500000000001</c:v>
                </c:pt>
                <c:pt idx="3">
                  <c:v>1.1666666666666801</c:v>
                </c:pt>
                <c:pt idx="4">
                  <c:v>1.2083333333333499</c:v>
                </c:pt>
                <c:pt idx="5">
                  <c:v>1.25000000000002</c:v>
                </c:pt>
                <c:pt idx="6">
                  <c:v>1.2916666666666801</c:v>
                </c:pt>
                <c:pt idx="7">
                  <c:v>1.3333333333333499</c:v>
                </c:pt>
                <c:pt idx="8">
                  <c:v>1.37500000000002</c:v>
                </c:pt>
                <c:pt idx="9">
                  <c:v>0.41666666666666702</c:v>
                </c:pt>
                <c:pt idx="10">
                  <c:v>0.45833333333333298</c:v>
                </c:pt>
                <c:pt idx="11">
                  <c:v>0.5</c:v>
                </c:pt>
                <c:pt idx="12">
                  <c:v>0.54166666666666696</c:v>
                </c:pt>
                <c:pt idx="13">
                  <c:v>0.58333333333333304</c:v>
                </c:pt>
                <c:pt idx="14">
                  <c:v>0.625</c:v>
                </c:pt>
                <c:pt idx="15">
                  <c:v>0.66666666666666596</c:v>
                </c:pt>
                <c:pt idx="16">
                  <c:v>0.70833333333333304</c:v>
                </c:pt>
                <c:pt idx="17">
                  <c:v>0.75</c:v>
                </c:pt>
                <c:pt idx="18">
                  <c:v>0.79166666666666663</c:v>
                </c:pt>
                <c:pt idx="19">
                  <c:v>0.83333333333333304</c:v>
                </c:pt>
                <c:pt idx="20">
                  <c:v>0.875</c:v>
                </c:pt>
                <c:pt idx="21">
                  <c:v>0.91666666666667596</c:v>
                </c:pt>
                <c:pt idx="22">
                  <c:v>0.95833333333334303</c:v>
                </c:pt>
                <c:pt idx="23">
                  <c:v>0</c:v>
                </c:pt>
              </c:numCache>
            </c:numRef>
          </c:cat>
          <c:val>
            <c:numRef>
              <c:f>'Tanques Calculos'!$AN$32:$AN$55</c:f>
              <c:numCache>
                <c:formatCode>0.000</c:formatCode>
                <c:ptCount val="24"/>
                <c:pt idx="0">
                  <c:v>0</c:v>
                </c:pt>
                <c:pt idx="1">
                  <c:v>0</c:v>
                </c:pt>
                <c:pt idx="2">
                  <c:v>0</c:v>
                </c:pt>
                <c:pt idx="3">
                  <c:v>11.111111111111118</c:v>
                </c:pt>
                <c:pt idx="4">
                  <c:v>22.222222222222236</c:v>
                </c:pt>
                <c:pt idx="5">
                  <c:v>33.333333333333357</c:v>
                </c:pt>
                <c:pt idx="6">
                  <c:v>44.444444444444471</c:v>
                </c:pt>
                <c:pt idx="7">
                  <c:v>55.555555555555586</c:v>
                </c:pt>
                <c:pt idx="8">
                  <c:v>55.555555555555586</c:v>
                </c:pt>
                <c:pt idx="9">
                  <c:v>55.555555555555586</c:v>
                </c:pt>
                <c:pt idx="10">
                  <c:v>55.555555555555586</c:v>
                </c:pt>
                <c:pt idx="11">
                  <c:v>55.555555555555586</c:v>
                </c:pt>
                <c:pt idx="12">
                  <c:v>55.555555555555586</c:v>
                </c:pt>
                <c:pt idx="13">
                  <c:v>55.555555555555586</c:v>
                </c:pt>
                <c:pt idx="14">
                  <c:v>55.555555555555586</c:v>
                </c:pt>
                <c:pt idx="15">
                  <c:v>66.6666666666667</c:v>
                </c:pt>
                <c:pt idx="16">
                  <c:v>77.777777777777814</c:v>
                </c:pt>
                <c:pt idx="17">
                  <c:v>88.888888888888928</c:v>
                </c:pt>
                <c:pt idx="18">
                  <c:v>100.00000000000004</c:v>
                </c:pt>
                <c:pt idx="19">
                  <c:v>100.00000000000004</c:v>
                </c:pt>
                <c:pt idx="20">
                  <c:v>100.00000000000004</c:v>
                </c:pt>
                <c:pt idx="21">
                  <c:v>100.00000000000004</c:v>
                </c:pt>
                <c:pt idx="22">
                  <c:v>100.00000000000004</c:v>
                </c:pt>
                <c:pt idx="23">
                  <c:v>100.00000000000004</c:v>
                </c:pt>
              </c:numCache>
            </c:numRef>
          </c:val>
          <c:smooth val="0"/>
          <c:extLst>
            <c:ext xmlns:c16="http://schemas.microsoft.com/office/drawing/2014/chart" uri="{C3380CC4-5D6E-409C-BE32-E72D297353CC}">
              <c16:uniqueId val="{00000001-7A22-4011-8DE9-25D3A293C271}"/>
            </c:ext>
          </c:extLst>
        </c:ser>
        <c:dLbls>
          <c:showLegendKey val="0"/>
          <c:showVal val="0"/>
          <c:showCatName val="0"/>
          <c:showSerName val="0"/>
          <c:showPercent val="0"/>
          <c:showBubbleSize val="0"/>
        </c:dLbls>
        <c:smooth val="0"/>
        <c:axId val="414122200"/>
        <c:axId val="415277680"/>
      </c:lineChart>
      <c:catAx>
        <c:axId val="414122200"/>
        <c:scaling>
          <c:orientation val="minMax"/>
        </c:scaling>
        <c:delete val="0"/>
        <c:axPos val="b"/>
        <c:title>
          <c:tx>
            <c:rich>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Horas (h)</a:t>
                </a:r>
              </a:p>
            </c:rich>
          </c:tx>
          <c:layout>
            <c:manualLayout>
              <c:xMode val="edge"/>
              <c:yMode val="edge"/>
              <c:x val="0.44882618730575502"/>
              <c:y val="0.90064069741727348"/>
            </c:manualLayout>
          </c:layout>
          <c:overlay val="0"/>
          <c:spPr>
            <a:noFill/>
            <a:ln>
              <a:noFill/>
            </a:ln>
            <a:effectLst/>
          </c:spPr>
          <c:txPr>
            <a:bodyPr rot="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h:mm"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415277680"/>
        <c:crosses val="autoZero"/>
        <c:auto val="1"/>
        <c:lblAlgn val="ctr"/>
        <c:lblOffset val="100"/>
        <c:noMultiLvlLbl val="0"/>
      </c:catAx>
      <c:valAx>
        <c:axId val="415277680"/>
        <c:scaling>
          <c:orientation val="minMax"/>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s-CO"/>
                  <a:t>% QMD</a:t>
                </a:r>
              </a:p>
            </c:rich>
          </c:tx>
          <c:layout>
            <c:manualLayout>
              <c:xMode val="edge"/>
              <c:yMode val="edge"/>
              <c:x val="9.6714629957116958E-3"/>
              <c:y val="0.42692009843671108"/>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414122200"/>
        <c:crosses val="autoZero"/>
        <c:crossBetween val="between"/>
        <c:majorUnit val="5"/>
      </c:valAx>
      <c:spPr>
        <a:noFill/>
        <a:ln>
          <a:noFill/>
        </a:ln>
        <a:effectLst/>
      </c:spPr>
    </c:plotArea>
    <c:legend>
      <c:legendPos val="b"/>
      <c:layout>
        <c:manualLayout>
          <c:xMode val="edge"/>
          <c:yMode val="edge"/>
          <c:x val="0.17852857753376944"/>
          <c:y val="0.93785289496041546"/>
          <c:w val="0.63444890460422698"/>
          <c:h val="5.534335818500105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8">
  <cs:axisTitle>
    <cs:lnRef idx="0"/>
    <cs:fillRef idx="0"/>
    <cs:effectRef idx="0"/>
    <cs:fontRef idx="minor">
      <a:schemeClr val="lt1">
        <a:lumMod val="75000"/>
      </a:schemeClr>
    </cs:fontRef>
    <cs:defRPr sz="900" b="1" kern="1200" cap="all"/>
  </cs:axisTitle>
  <cs:categoryAxis>
    <cs:lnRef idx="0"/>
    <cs:fillRef idx="0"/>
    <cs:effectRef idx="0"/>
    <cs:fontRef idx="minor">
      <a:schemeClr val="lt1">
        <a:lumMod val="75000"/>
      </a:schemeClr>
    </cs:fontRef>
    <cs:spPr>
      <a:ln w="9525" cap="flat" cmpd="sng" algn="ctr">
        <a:solidFill>
          <a:schemeClr val="lt1">
            <a:lumMod val="50000"/>
          </a:schemeClr>
        </a:solidFill>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9525" cap="rnd">
        <a:solidFill>
          <a:schemeClr val="phClr"/>
        </a:solidFill>
        <a:round/>
      </a:ln>
    </cs:spPr>
  </cs:dataPointLine>
  <cs:dataPointMarker>
    <cs:lnRef idx="0">
      <cs:styleClr val="auto"/>
    </cs:lnRef>
    <cs:fillRef idx="3">
      <cs:styleClr val="auto"/>
    </cs:fillRef>
    <cs:effectRef idx="3"/>
    <cs:fontRef idx="minor">
      <a:schemeClr val="tx1"/>
    </cs:fontRef>
    <cs:spPr>
      <a:ln w="9525" cap="rnd">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7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75000"/>
      </a:schemeClr>
    </cs:fontRef>
    <cs:spPr>
      <a:ln w="9525" cap="flat" cmpd="sng" algn="ctr">
        <a:solidFill>
          <a:schemeClr val="lt1">
            <a:lumMod val="50000"/>
          </a:schemeClr>
        </a:solidFill>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75000"/>
      </a:schemeClr>
    </cs:fontRef>
    <cs:spPr>
      <a:ln w="9525" cap="flat" cmpd="sng" algn="ctr">
        <a:solidFill>
          <a:schemeClr val="lt1">
            <a:lumMod val="50000"/>
          </a:schemeClr>
        </a:solidFill>
      </a:ln>
    </cs:spPr>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48">
  <cs:axisTitle>
    <cs:lnRef idx="0"/>
    <cs:fillRef idx="0"/>
    <cs:effectRef idx="0"/>
    <cs:fontRef idx="minor">
      <a:schemeClr val="lt1">
        <a:lumMod val="75000"/>
      </a:schemeClr>
    </cs:fontRef>
    <cs:defRPr sz="900" b="1" kern="1200" cap="all"/>
  </cs:axisTitle>
  <cs:categoryAxis>
    <cs:lnRef idx="0"/>
    <cs:fillRef idx="0"/>
    <cs:effectRef idx="0"/>
    <cs:fontRef idx="minor">
      <a:schemeClr val="lt1">
        <a:lumMod val="75000"/>
      </a:schemeClr>
    </cs:fontRef>
    <cs:spPr>
      <a:ln w="9525" cap="flat" cmpd="sng" algn="ctr">
        <a:solidFill>
          <a:schemeClr val="lt1">
            <a:lumMod val="50000"/>
          </a:schemeClr>
        </a:solidFill>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9525" cap="rnd">
        <a:solidFill>
          <a:schemeClr val="phClr"/>
        </a:solidFill>
        <a:round/>
      </a:ln>
    </cs:spPr>
  </cs:dataPointLine>
  <cs:dataPointMarker>
    <cs:lnRef idx="0">
      <cs:styleClr val="auto"/>
    </cs:lnRef>
    <cs:fillRef idx="3">
      <cs:styleClr val="auto"/>
    </cs:fillRef>
    <cs:effectRef idx="3"/>
    <cs:fontRef idx="minor">
      <a:schemeClr val="tx1"/>
    </cs:fontRef>
    <cs:spPr>
      <a:ln w="9525" cap="rnd">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7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75000"/>
      </a:schemeClr>
    </cs:fontRef>
    <cs:spPr>
      <a:ln w="9525" cap="flat" cmpd="sng" algn="ctr">
        <a:solidFill>
          <a:schemeClr val="lt1">
            <a:lumMod val="50000"/>
          </a:schemeClr>
        </a:solidFill>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75000"/>
      </a:schemeClr>
    </cs:fontRef>
    <cs:spPr>
      <a:ln w="9525" cap="flat" cmpd="sng" algn="ctr">
        <a:solidFill>
          <a:schemeClr val="lt1">
            <a:lumMod val="50000"/>
          </a:schemeClr>
        </a:solidFill>
      </a:ln>
    </cs:spPr>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48">
  <cs:axisTitle>
    <cs:lnRef idx="0"/>
    <cs:fillRef idx="0"/>
    <cs:effectRef idx="0"/>
    <cs:fontRef idx="minor">
      <a:schemeClr val="lt1">
        <a:lumMod val="75000"/>
      </a:schemeClr>
    </cs:fontRef>
    <cs:defRPr sz="900" b="1" kern="1200" cap="all"/>
  </cs:axisTitle>
  <cs:categoryAxis>
    <cs:lnRef idx="0"/>
    <cs:fillRef idx="0"/>
    <cs:effectRef idx="0"/>
    <cs:fontRef idx="minor">
      <a:schemeClr val="lt1">
        <a:lumMod val="75000"/>
      </a:schemeClr>
    </cs:fontRef>
    <cs:spPr>
      <a:ln w="9525" cap="flat" cmpd="sng" algn="ctr">
        <a:solidFill>
          <a:schemeClr val="lt1">
            <a:lumMod val="50000"/>
          </a:schemeClr>
        </a:solidFill>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9525" cap="rnd">
        <a:solidFill>
          <a:schemeClr val="phClr"/>
        </a:solidFill>
        <a:round/>
      </a:ln>
    </cs:spPr>
  </cs:dataPointLine>
  <cs:dataPointMarker>
    <cs:lnRef idx="0">
      <cs:styleClr val="auto"/>
    </cs:lnRef>
    <cs:fillRef idx="3">
      <cs:styleClr val="auto"/>
    </cs:fillRef>
    <cs:effectRef idx="3"/>
    <cs:fontRef idx="minor">
      <a:schemeClr val="tx1"/>
    </cs:fontRef>
    <cs:spPr>
      <a:ln w="9525" cap="rnd">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7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75000"/>
      </a:schemeClr>
    </cs:fontRef>
    <cs:spPr>
      <a:ln w="9525" cap="flat" cmpd="sng" algn="ctr">
        <a:solidFill>
          <a:schemeClr val="lt1">
            <a:lumMod val="50000"/>
          </a:schemeClr>
        </a:solidFill>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75000"/>
      </a:schemeClr>
    </cs:fontRef>
    <cs:spPr>
      <a:ln w="9525" cap="flat" cmpd="sng" algn="ctr">
        <a:solidFill>
          <a:schemeClr val="lt1">
            <a:lumMod val="50000"/>
          </a:schemeClr>
        </a:solidFill>
      </a:ln>
    </cs:spPr>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8</xdr:col>
      <xdr:colOff>535516</xdr:colOff>
      <xdr:row>49</xdr:row>
      <xdr:rowOff>50801</xdr:rowOff>
    </xdr:from>
    <xdr:to>
      <xdr:col>17</xdr:col>
      <xdr:colOff>296333</xdr:colOff>
      <xdr:row>73</xdr:row>
      <xdr:rowOff>19050</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51</xdr:col>
      <xdr:colOff>218278</xdr:colOff>
      <xdr:row>13</xdr:row>
      <xdr:rowOff>112975</xdr:rowOff>
    </xdr:from>
    <xdr:to>
      <xdr:col>70</xdr:col>
      <xdr:colOff>135467</xdr:colOff>
      <xdr:row>52</xdr:row>
      <xdr:rowOff>33866</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76</xdr:col>
      <xdr:colOff>1090083</xdr:colOff>
      <xdr:row>23</xdr:row>
      <xdr:rowOff>21166</xdr:rowOff>
    </xdr:from>
    <xdr:to>
      <xdr:col>76</xdr:col>
      <xdr:colOff>1206499</xdr:colOff>
      <xdr:row>23</xdr:row>
      <xdr:rowOff>148166</xdr:rowOff>
    </xdr:to>
    <xdr:sp macro="" textlink="">
      <xdr:nvSpPr>
        <xdr:cNvPr id="7" name="Flecha: hacia abajo 6">
          <a:extLst>
            <a:ext uri="{FF2B5EF4-FFF2-40B4-BE49-F238E27FC236}">
              <a16:creationId xmlns:a16="http://schemas.microsoft.com/office/drawing/2014/main" id="{00000000-0008-0000-0400-000007000000}"/>
            </a:ext>
          </a:extLst>
        </xdr:cNvPr>
        <xdr:cNvSpPr/>
      </xdr:nvSpPr>
      <xdr:spPr>
        <a:xfrm>
          <a:off x="59055000" y="4519083"/>
          <a:ext cx="116416" cy="12700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s-CO" sz="1100"/>
        </a:p>
      </xdr:txBody>
    </xdr:sp>
    <xdr:clientData/>
  </xdr:twoCellAnchor>
  <xdr:twoCellAnchor>
    <xdr:from>
      <xdr:col>39</xdr:col>
      <xdr:colOff>16932</xdr:colOff>
      <xdr:row>0</xdr:row>
      <xdr:rowOff>190498</xdr:rowOff>
    </xdr:from>
    <xdr:to>
      <xdr:col>48</xdr:col>
      <xdr:colOff>660399</xdr:colOff>
      <xdr:row>24</xdr:row>
      <xdr:rowOff>33866</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50</xdr:col>
      <xdr:colOff>15078</xdr:colOff>
      <xdr:row>13</xdr:row>
      <xdr:rowOff>189175</xdr:rowOff>
    </xdr:from>
    <xdr:to>
      <xdr:col>66</xdr:col>
      <xdr:colOff>143934</xdr:colOff>
      <xdr:row>52</xdr:row>
      <xdr:rowOff>110066</xdr:rowOff>
    </xdr:to>
    <xdr:graphicFrame macro="">
      <xdr:nvGraphicFramePr>
        <xdr:cNvPr id="2" name="Gráfico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75</xdr:col>
      <xdr:colOff>1090083</xdr:colOff>
      <xdr:row>23</xdr:row>
      <xdr:rowOff>21166</xdr:rowOff>
    </xdr:from>
    <xdr:to>
      <xdr:col>75</xdr:col>
      <xdr:colOff>1206499</xdr:colOff>
      <xdr:row>23</xdr:row>
      <xdr:rowOff>148166</xdr:rowOff>
    </xdr:to>
    <xdr:sp macro="" textlink="">
      <xdr:nvSpPr>
        <xdr:cNvPr id="3" name="Flecha: hacia abajo 2">
          <a:extLst>
            <a:ext uri="{FF2B5EF4-FFF2-40B4-BE49-F238E27FC236}">
              <a16:creationId xmlns:a16="http://schemas.microsoft.com/office/drawing/2014/main" id="{00000000-0008-0000-0600-000003000000}"/>
            </a:ext>
          </a:extLst>
        </xdr:cNvPr>
        <xdr:cNvSpPr/>
      </xdr:nvSpPr>
      <xdr:spPr>
        <a:xfrm>
          <a:off x="60548943" y="4364566"/>
          <a:ext cx="116416" cy="127000"/>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s-CO" sz="1100"/>
        </a:p>
      </xdr:txBody>
    </xdr:sp>
    <xdr:clientData/>
  </xdr:twoCellAnchor>
  <xdr:twoCellAnchor>
    <xdr:from>
      <xdr:col>39</xdr:col>
      <xdr:colOff>16932</xdr:colOff>
      <xdr:row>0</xdr:row>
      <xdr:rowOff>190498</xdr:rowOff>
    </xdr:from>
    <xdr:to>
      <xdr:col>48</xdr:col>
      <xdr:colOff>660399</xdr:colOff>
      <xdr:row>24</xdr:row>
      <xdr:rowOff>33866</xdr:rowOff>
    </xdr:to>
    <xdr:graphicFrame macro="">
      <xdr:nvGraphicFramePr>
        <xdr:cNvPr id="4" name="Gráfico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382904</xdr:colOff>
      <xdr:row>1</xdr:row>
      <xdr:rowOff>6666</xdr:rowOff>
    </xdr:from>
    <xdr:to>
      <xdr:col>21</xdr:col>
      <xdr:colOff>518160</xdr:colOff>
      <xdr:row>22</xdr:row>
      <xdr:rowOff>152400</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43</xdr:col>
      <xdr:colOff>133561</xdr:colOff>
      <xdr:row>1</xdr:row>
      <xdr:rowOff>4761</xdr:rowOff>
    </xdr:from>
    <xdr:to>
      <xdr:col>50</xdr:col>
      <xdr:colOff>600286</xdr:colOff>
      <xdr:row>23</xdr:row>
      <xdr:rowOff>37253</xdr:rowOff>
    </xdr:to>
    <xdr:graphicFrame macro="">
      <xdr:nvGraphicFramePr>
        <xdr:cNvPr id="6" name="Gráfico 5">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43</xdr:col>
      <xdr:colOff>229448</xdr:colOff>
      <xdr:row>28</xdr:row>
      <xdr:rowOff>194731</xdr:rowOff>
    </xdr:from>
    <xdr:to>
      <xdr:col>50</xdr:col>
      <xdr:colOff>662940</xdr:colOff>
      <xdr:row>50</xdr:row>
      <xdr:rowOff>23704</xdr:rowOff>
    </xdr:to>
    <xdr:graphicFrame macro="">
      <xdr:nvGraphicFramePr>
        <xdr:cNvPr id="7" name="Gráfico 6">
          <a:extLst>
            <a:ext uri="{FF2B5EF4-FFF2-40B4-BE49-F238E27FC236}">
              <a16:creationId xmlns:a16="http://schemas.microsoft.com/office/drawing/2014/main" id="{00000000-0008-0000-07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44324</xdr:colOff>
      <xdr:row>1</xdr:row>
      <xdr:rowOff>129540</xdr:rowOff>
    </xdr:from>
    <xdr:to>
      <xdr:col>16</xdr:col>
      <xdr:colOff>701039</xdr:colOff>
      <xdr:row>24</xdr:row>
      <xdr:rowOff>160019</xdr:rowOff>
    </xdr:to>
    <xdr:pic>
      <xdr:nvPicPr>
        <xdr:cNvPr id="32" name="Imagen 31">
          <a:extLst>
            <a:ext uri="{FF2B5EF4-FFF2-40B4-BE49-F238E27FC236}">
              <a16:creationId xmlns:a16="http://schemas.microsoft.com/office/drawing/2014/main" id="{7A0B53BE-A3F0-4E09-9DBD-230EE0CC5A46}"/>
            </a:ext>
          </a:extLst>
        </xdr:cNvPr>
        <xdr:cNvPicPr>
          <a:picLocks noChangeAspect="1"/>
        </xdr:cNvPicPr>
      </xdr:nvPicPr>
      <xdr:blipFill rotWithShape="1">
        <a:blip xmlns:r="http://schemas.openxmlformats.org/officeDocument/2006/relationships" r:embed="rId1"/>
        <a:srcRect l="18961" t="14520" r="27331" b="10730"/>
        <a:stretch/>
      </xdr:blipFill>
      <xdr:spPr>
        <a:xfrm>
          <a:off x="11710544" y="320040"/>
          <a:ext cx="5411595" cy="4236719"/>
        </a:xfrm>
        <a:prstGeom prst="rect">
          <a:avLst/>
        </a:prstGeom>
      </xdr:spPr>
    </xdr:pic>
    <xdr:clientData/>
  </xdr:twoCellAnchor>
  <xdr:twoCellAnchor>
    <xdr:from>
      <xdr:col>13</xdr:col>
      <xdr:colOff>137160</xdr:colOff>
      <xdr:row>11</xdr:row>
      <xdr:rowOff>60960</xdr:rowOff>
    </xdr:from>
    <xdr:to>
      <xdr:col>13</xdr:col>
      <xdr:colOff>624951</xdr:colOff>
      <xdr:row>13</xdr:row>
      <xdr:rowOff>157801</xdr:rowOff>
    </xdr:to>
    <xdr:sp macro="" textlink="">
      <xdr:nvSpPr>
        <xdr:cNvPr id="13" name="Flecha: circular 12">
          <a:extLst>
            <a:ext uri="{FF2B5EF4-FFF2-40B4-BE49-F238E27FC236}">
              <a16:creationId xmlns:a16="http://schemas.microsoft.com/office/drawing/2014/main" id="{4989A6FB-DD26-4535-9072-7D77E7671E03}"/>
            </a:ext>
          </a:extLst>
        </xdr:cNvPr>
        <xdr:cNvSpPr/>
      </xdr:nvSpPr>
      <xdr:spPr>
        <a:xfrm>
          <a:off x="14180820" y="2080260"/>
          <a:ext cx="487791" cy="462601"/>
        </a:xfrm>
        <a:prstGeom prst="circularArrow">
          <a:avLst>
            <a:gd name="adj1" fmla="val 12500"/>
            <a:gd name="adj2" fmla="val 1142319"/>
            <a:gd name="adj3" fmla="val 20457681"/>
            <a:gd name="adj4" fmla="val 2374219"/>
            <a:gd name="adj5" fmla="val 12500"/>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14</xdr:col>
      <xdr:colOff>449580</xdr:colOff>
      <xdr:row>10</xdr:row>
      <xdr:rowOff>175260</xdr:rowOff>
    </xdr:from>
    <xdr:to>
      <xdr:col>15</xdr:col>
      <xdr:colOff>110729</xdr:colOff>
      <xdr:row>13</xdr:row>
      <xdr:rowOff>51121</xdr:rowOff>
    </xdr:to>
    <xdr:sp macro="" textlink="">
      <xdr:nvSpPr>
        <xdr:cNvPr id="14" name="Flecha: circular 13">
          <a:extLst>
            <a:ext uri="{FF2B5EF4-FFF2-40B4-BE49-F238E27FC236}">
              <a16:creationId xmlns:a16="http://schemas.microsoft.com/office/drawing/2014/main" id="{BB162EA2-13DD-433E-A29D-19828FBE783E}"/>
            </a:ext>
          </a:extLst>
        </xdr:cNvPr>
        <xdr:cNvSpPr/>
      </xdr:nvSpPr>
      <xdr:spPr>
        <a:xfrm>
          <a:off x="15285720" y="2011680"/>
          <a:ext cx="453629" cy="424501"/>
        </a:xfrm>
        <a:prstGeom prst="circularArrow">
          <a:avLst>
            <a:gd name="adj1" fmla="val 12500"/>
            <a:gd name="adj2" fmla="val 1142319"/>
            <a:gd name="adj3" fmla="val 20457681"/>
            <a:gd name="adj4" fmla="val 2374219"/>
            <a:gd name="adj5" fmla="val 12500"/>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12</xdr:col>
      <xdr:colOff>200030</xdr:colOff>
      <xdr:row>3</xdr:row>
      <xdr:rowOff>92646</xdr:rowOff>
    </xdr:from>
    <xdr:to>
      <xdr:col>12</xdr:col>
      <xdr:colOff>518810</xdr:colOff>
      <xdr:row>4</xdr:row>
      <xdr:rowOff>12663</xdr:rowOff>
    </xdr:to>
    <xdr:sp macro="" textlink="">
      <xdr:nvSpPr>
        <xdr:cNvPr id="17" name="Flecha: a la derecha 16">
          <a:extLst>
            <a:ext uri="{FF2B5EF4-FFF2-40B4-BE49-F238E27FC236}">
              <a16:creationId xmlns:a16="http://schemas.microsoft.com/office/drawing/2014/main" id="{1B6DEBD6-1C0F-4DB7-A144-0807509ABFE1}"/>
            </a:ext>
          </a:extLst>
        </xdr:cNvPr>
        <xdr:cNvSpPr/>
      </xdr:nvSpPr>
      <xdr:spPr>
        <a:xfrm>
          <a:off x="13451210" y="648906"/>
          <a:ext cx="318780" cy="102897"/>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417280</xdr:colOff>
      <xdr:row>5</xdr:row>
      <xdr:rowOff>129791</xdr:rowOff>
    </xdr:from>
    <xdr:to>
      <xdr:col>14</xdr:col>
      <xdr:colOff>736060</xdr:colOff>
      <xdr:row>6</xdr:row>
      <xdr:rowOff>49808</xdr:rowOff>
    </xdr:to>
    <xdr:sp macro="" textlink="">
      <xdr:nvSpPr>
        <xdr:cNvPr id="18" name="Flecha: a la derecha 17">
          <a:extLst>
            <a:ext uri="{FF2B5EF4-FFF2-40B4-BE49-F238E27FC236}">
              <a16:creationId xmlns:a16="http://schemas.microsoft.com/office/drawing/2014/main" id="{522EBC81-53CE-4CF4-B032-82740B45847E}"/>
            </a:ext>
          </a:extLst>
        </xdr:cNvPr>
        <xdr:cNvSpPr/>
      </xdr:nvSpPr>
      <xdr:spPr>
        <a:xfrm>
          <a:off x="15253420" y="1051811"/>
          <a:ext cx="318780" cy="102897"/>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781877</xdr:colOff>
      <xdr:row>18</xdr:row>
      <xdr:rowOff>128890</xdr:rowOff>
    </xdr:from>
    <xdr:to>
      <xdr:col>12</xdr:col>
      <xdr:colOff>308177</xdr:colOff>
      <xdr:row>19</xdr:row>
      <xdr:rowOff>48907</xdr:rowOff>
    </xdr:to>
    <xdr:sp macro="" textlink="">
      <xdr:nvSpPr>
        <xdr:cNvPr id="19" name="Flecha: a la derecha 18">
          <a:extLst>
            <a:ext uri="{FF2B5EF4-FFF2-40B4-BE49-F238E27FC236}">
              <a16:creationId xmlns:a16="http://schemas.microsoft.com/office/drawing/2014/main" id="{C3AB1150-6F09-4D28-9DDD-DA84FC50138E}"/>
            </a:ext>
          </a:extLst>
        </xdr:cNvPr>
        <xdr:cNvSpPr/>
      </xdr:nvSpPr>
      <xdr:spPr>
        <a:xfrm>
          <a:off x="13240577" y="3428350"/>
          <a:ext cx="318780" cy="102897"/>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14</xdr:col>
      <xdr:colOff>445960</xdr:colOff>
      <xdr:row>17</xdr:row>
      <xdr:rowOff>78826</xdr:rowOff>
    </xdr:from>
    <xdr:to>
      <xdr:col>14</xdr:col>
      <xdr:colOff>764740</xdr:colOff>
      <xdr:row>17</xdr:row>
      <xdr:rowOff>181723</xdr:rowOff>
    </xdr:to>
    <xdr:sp macro="" textlink="">
      <xdr:nvSpPr>
        <xdr:cNvPr id="20" name="Flecha: a la derecha 19">
          <a:extLst>
            <a:ext uri="{FF2B5EF4-FFF2-40B4-BE49-F238E27FC236}">
              <a16:creationId xmlns:a16="http://schemas.microsoft.com/office/drawing/2014/main" id="{23DBE6FF-FE41-45A2-8562-C40A9427C20C}"/>
            </a:ext>
          </a:extLst>
        </xdr:cNvPr>
        <xdr:cNvSpPr/>
      </xdr:nvSpPr>
      <xdr:spPr>
        <a:xfrm>
          <a:off x="15282100" y="3195406"/>
          <a:ext cx="318780" cy="102897"/>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16</xdr:col>
      <xdr:colOff>22853</xdr:colOff>
      <xdr:row>2</xdr:row>
      <xdr:rowOff>106680</xdr:rowOff>
    </xdr:from>
    <xdr:to>
      <xdr:col>16</xdr:col>
      <xdr:colOff>341633</xdr:colOff>
      <xdr:row>3</xdr:row>
      <xdr:rowOff>26697</xdr:rowOff>
    </xdr:to>
    <xdr:sp macro="" textlink="">
      <xdr:nvSpPr>
        <xdr:cNvPr id="21" name="Flecha: a la derecha 20">
          <a:extLst>
            <a:ext uri="{FF2B5EF4-FFF2-40B4-BE49-F238E27FC236}">
              <a16:creationId xmlns:a16="http://schemas.microsoft.com/office/drawing/2014/main" id="{9181D8F7-DA46-493D-BB14-7F68D801AE65}"/>
            </a:ext>
          </a:extLst>
        </xdr:cNvPr>
        <xdr:cNvSpPr/>
      </xdr:nvSpPr>
      <xdr:spPr>
        <a:xfrm>
          <a:off x="16443953" y="480060"/>
          <a:ext cx="318780" cy="102897"/>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13</xdr:col>
      <xdr:colOff>260989</xdr:colOff>
      <xdr:row>19</xdr:row>
      <xdr:rowOff>81691</xdr:rowOff>
    </xdr:from>
    <xdr:to>
      <xdr:col>13</xdr:col>
      <xdr:colOff>579769</xdr:colOff>
      <xdr:row>20</xdr:row>
      <xdr:rowOff>1708</xdr:rowOff>
    </xdr:to>
    <xdr:sp macro="" textlink="">
      <xdr:nvSpPr>
        <xdr:cNvPr id="22" name="Flecha: a la derecha 21">
          <a:extLst>
            <a:ext uri="{FF2B5EF4-FFF2-40B4-BE49-F238E27FC236}">
              <a16:creationId xmlns:a16="http://schemas.microsoft.com/office/drawing/2014/main" id="{C9052567-384E-42A1-A4BD-27E2B46614F5}"/>
            </a:ext>
          </a:extLst>
        </xdr:cNvPr>
        <xdr:cNvSpPr/>
      </xdr:nvSpPr>
      <xdr:spPr>
        <a:xfrm rot="20278647">
          <a:off x="14304649" y="3564031"/>
          <a:ext cx="318780" cy="102897"/>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13</xdr:col>
      <xdr:colOff>570448</xdr:colOff>
      <xdr:row>24</xdr:row>
      <xdr:rowOff>122077</xdr:rowOff>
    </xdr:from>
    <xdr:to>
      <xdr:col>14</xdr:col>
      <xdr:colOff>96748</xdr:colOff>
      <xdr:row>25</xdr:row>
      <xdr:rowOff>42094</xdr:rowOff>
    </xdr:to>
    <xdr:sp macro="" textlink="">
      <xdr:nvSpPr>
        <xdr:cNvPr id="23" name="Flecha: a la derecha 22">
          <a:extLst>
            <a:ext uri="{FF2B5EF4-FFF2-40B4-BE49-F238E27FC236}">
              <a16:creationId xmlns:a16="http://schemas.microsoft.com/office/drawing/2014/main" id="{26469557-88C3-46C9-89D3-E88C5D5F1532}"/>
            </a:ext>
          </a:extLst>
        </xdr:cNvPr>
        <xdr:cNvSpPr/>
      </xdr:nvSpPr>
      <xdr:spPr>
        <a:xfrm>
          <a:off x="14614108" y="4518817"/>
          <a:ext cx="318780" cy="102897"/>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15</xdr:col>
      <xdr:colOff>300371</xdr:colOff>
      <xdr:row>3</xdr:row>
      <xdr:rowOff>76794</xdr:rowOff>
    </xdr:from>
    <xdr:to>
      <xdr:col>15</xdr:col>
      <xdr:colOff>409667</xdr:colOff>
      <xdr:row>5</xdr:row>
      <xdr:rowOff>11150</xdr:rowOff>
    </xdr:to>
    <xdr:sp macro="" textlink="">
      <xdr:nvSpPr>
        <xdr:cNvPr id="25" name="Flecha: a la derecha 24">
          <a:extLst>
            <a:ext uri="{FF2B5EF4-FFF2-40B4-BE49-F238E27FC236}">
              <a16:creationId xmlns:a16="http://schemas.microsoft.com/office/drawing/2014/main" id="{470D8B9D-1CDF-4DFE-871A-D6BEFF0C1E2A}"/>
            </a:ext>
          </a:extLst>
        </xdr:cNvPr>
        <xdr:cNvSpPr/>
      </xdr:nvSpPr>
      <xdr:spPr>
        <a:xfrm rot="16200000" flipV="1">
          <a:off x="15833581" y="728464"/>
          <a:ext cx="300116" cy="109296"/>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12</xdr:col>
      <xdr:colOff>675564</xdr:colOff>
      <xdr:row>11</xdr:row>
      <xdr:rowOff>169189</xdr:rowOff>
    </xdr:from>
    <xdr:to>
      <xdr:col>12</xdr:col>
      <xdr:colOff>784860</xdr:colOff>
      <xdr:row>13</xdr:row>
      <xdr:rowOff>103545</xdr:rowOff>
    </xdr:to>
    <xdr:sp macro="" textlink="">
      <xdr:nvSpPr>
        <xdr:cNvPr id="26" name="Flecha: a la derecha 25">
          <a:extLst>
            <a:ext uri="{FF2B5EF4-FFF2-40B4-BE49-F238E27FC236}">
              <a16:creationId xmlns:a16="http://schemas.microsoft.com/office/drawing/2014/main" id="{24A3D7AD-2BEF-486F-91A3-08C5DD8C1B2C}"/>
            </a:ext>
          </a:extLst>
        </xdr:cNvPr>
        <xdr:cNvSpPr/>
      </xdr:nvSpPr>
      <xdr:spPr>
        <a:xfrm rot="16200000" flipV="1">
          <a:off x="13831334" y="2283899"/>
          <a:ext cx="300116" cy="109296"/>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332539</xdr:colOff>
      <xdr:row>12</xdr:row>
      <xdr:rowOff>40962</xdr:rowOff>
    </xdr:from>
    <xdr:to>
      <xdr:col>11</xdr:col>
      <xdr:colOff>441835</xdr:colOff>
      <xdr:row>13</xdr:row>
      <xdr:rowOff>158198</xdr:rowOff>
    </xdr:to>
    <xdr:sp macro="" textlink="">
      <xdr:nvSpPr>
        <xdr:cNvPr id="28" name="Flecha: a la derecha 27">
          <a:extLst>
            <a:ext uri="{FF2B5EF4-FFF2-40B4-BE49-F238E27FC236}">
              <a16:creationId xmlns:a16="http://schemas.microsoft.com/office/drawing/2014/main" id="{A010EA99-95CA-4DE6-9509-8C42F14FAA2B}"/>
            </a:ext>
          </a:extLst>
        </xdr:cNvPr>
        <xdr:cNvSpPr/>
      </xdr:nvSpPr>
      <xdr:spPr>
        <a:xfrm rot="5400000">
          <a:off x="12695829" y="2338552"/>
          <a:ext cx="300116" cy="109296"/>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580029</xdr:colOff>
      <xdr:row>22</xdr:row>
      <xdr:rowOff>52009</xdr:rowOff>
    </xdr:from>
    <xdr:to>
      <xdr:col>12</xdr:col>
      <xdr:colOff>87665</xdr:colOff>
      <xdr:row>22</xdr:row>
      <xdr:rowOff>161305</xdr:rowOff>
    </xdr:to>
    <xdr:sp macro="" textlink="">
      <xdr:nvSpPr>
        <xdr:cNvPr id="29" name="Flecha: a la derecha 28">
          <a:extLst>
            <a:ext uri="{FF2B5EF4-FFF2-40B4-BE49-F238E27FC236}">
              <a16:creationId xmlns:a16="http://schemas.microsoft.com/office/drawing/2014/main" id="{B5CD48AD-62B0-4D47-8623-99061692F9AE}"/>
            </a:ext>
          </a:extLst>
        </xdr:cNvPr>
        <xdr:cNvSpPr/>
      </xdr:nvSpPr>
      <xdr:spPr>
        <a:xfrm rot="2154898">
          <a:off x="13038729" y="4082989"/>
          <a:ext cx="300116" cy="109296"/>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13</xdr:col>
      <xdr:colOff>289560</xdr:colOff>
      <xdr:row>12</xdr:row>
      <xdr:rowOff>30480</xdr:rowOff>
    </xdr:from>
    <xdr:to>
      <xdr:col>13</xdr:col>
      <xdr:colOff>449102</xdr:colOff>
      <xdr:row>13</xdr:row>
      <xdr:rowOff>36764</xdr:rowOff>
    </xdr:to>
    <xdr:sp macro="" textlink="">
      <xdr:nvSpPr>
        <xdr:cNvPr id="8" name="CuadroTexto 7">
          <a:extLst>
            <a:ext uri="{FF2B5EF4-FFF2-40B4-BE49-F238E27FC236}">
              <a16:creationId xmlns:a16="http://schemas.microsoft.com/office/drawing/2014/main" id="{848FE90E-17B4-451C-BEF4-74CBBDBC561F}"/>
            </a:ext>
          </a:extLst>
        </xdr:cNvPr>
        <xdr:cNvSpPr txBox="1"/>
      </xdr:nvSpPr>
      <xdr:spPr>
        <a:xfrm>
          <a:off x="14333220" y="2232660"/>
          <a:ext cx="159542" cy="1891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100"/>
            <a:t>1</a:t>
          </a:r>
        </a:p>
      </xdr:txBody>
    </xdr:sp>
    <xdr:clientData/>
  </xdr:twoCellAnchor>
  <xdr:twoCellAnchor>
    <xdr:from>
      <xdr:col>14</xdr:col>
      <xdr:colOff>624840</xdr:colOff>
      <xdr:row>11</xdr:row>
      <xdr:rowOff>99060</xdr:rowOff>
    </xdr:from>
    <xdr:to>
      <xdr:col>14</xdr:col>
      <xdr:colOff>748732</xdr:colOff>
      <xdr:row>12</xdr:row>
      <xdr:rowOff>117720</xdr:rowOff>
    </xdr:to>
    <xdr:sp macro="" textlink="">
      <xdr:nvSpPr>
        <xdr:cNvPr id="9" name="CuadroTexto 8">
          <a:extLst>
            <a:ext uri="{FF2B5EF4-FFF2-40B4-BE49-F238E27FC236}">
              <a16:creationId xmlns:a16="http://schemas.microsoft.com/office/drawing/2014/main" id="{8D93BF39-507F-4375-BA54-5DDDA3F7024A}"/>
            </a:ext>
          </a:extLst>
        </xdr:cNvPr>
        <xdr:cNvSpPr txBox="1"/>
      </xdr:nvSpPr>
      <xdr:spPr>
        <a:xfrm>
          <a:off x="15460980" y="2118360"/>
          <a:ext cx="123892" cy="2015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100"/>
            <a:t>2</a:t>
          </a:r>
        </a:p>
      </xdr:txBody>
    </xdr:sp>
    <xdr:clientData/>
  </xdr:twoCellAnchor>
  <xdr:twoCellAnchor>
    <xdr:from>
      <xdr:col>13</xdr:col>
      <xdr:colOff>734385</xdr:colOff>
      <xdr:row>11</xdr:row>
      <xdr:rowOff>110514</xdr:rowOff>
    </xdr:from>
    <xdr:to>
      <xdr:col>14</xdr:col>
      <xdr:colOff>51201</xdr:colOff>
      <xdr:row>13</xdr:row>
      <xdr:rowOff>44870</xdr:rowOff>
    </xdr:to>
    <xdr:sp macro="" textlink="">
      <xdr:nvSpPr>
        <xdr:cNvPr id="6" name="Flecha: a la derecha 5">
          <a:extLst>
            <a:ext uri="{FF2B5EF4-FFF2-40B4-BE49-F238E27FC236}">
              <a16:creationId xmlns:a16="http://schemas.microsoft.com/office/drawing/2014/main" id="{0917D5D5-82E9-429B-9647-173406E93518}"/>
            </a:ext>
          </a:extLst>
        </xdr:cNvPr>
        <xdr:cNvSpPr/>
      </xdr:nvSpPr>
      <xdr:spPr>
        <a:xfrm rot="16200000" flipV="1">
          <a:off x="14682635" y="2225224"/>
          <a:ext cx="300116" cy="109296"/>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10</xdr:col>
      <xdr:colOff>419100</xdr:colOff>
      <xdr:row>5</xdr:row>
      <xdr:rowOff>91440</xdr:rowOff>
    </xdr:from>
    <xdr:to>
      <xdr:col>10</xdr:col>
      <xdr:colOff>737880</xdr:colOff>
      <xdr:row>6</xdr:row>
      <xdr:rowOff>11457</xdr:rowOff>
    </xdr:to>
    <xdr:sp macro="" textlink="">
      <xdr:nvSpPr>
        <xdr:cNvPr id="4" name="Flecha: a la derecha 3">
          <a:extLst>
            <a:ext uri="{FF2B5EF4-FFF2-40B4-BE49-F238E27FC236}">
              <a16:creationId xmlns:a16="http://schemas.microsoft.com/office/drawing/2014/main" id="{863FD6EB-CE10-4695-A9E6-F10DEE78B749}"/>
            </a:ext>
          </a:extLst>
        </xdr:cNvPr>
        <xdr:cNvSpPr/>
      </xdr:nvSpPr>
      <xdr:spPr>
        <a:xfrm>
          <a:off x="12085320" y="1013460"/>
          <a:ext cx="318780" cy="102897"/>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338471</xdr:colOff>
      <xdr:row>4</xdr:row>
      <xdr:rowOff>168234</xdr:rowOff>
    </xdr:from>
    <xdr:to>
      <xdr:col>11</xdr:col>
      <xdr:colOff>447767</xdr:colOff>
      <xdr:row>6</xdr:row>
      <xdr:rowOff>102590</xdr:rowOff>
    </xdr:to>
    <xdr:sp macro="" textlink="">
      <xdr:nvSpPr>
        <xdr:cNvPr id="33" name="Flecha: a la derecha 32">
          <a:extLst>
            <a:ext uri="{FF2B5EF4-FFF2-40B4-BE49-F238E27FC236}">
              <a16:creationId xmlns:a16="http://schemas.microsoft.com/office/drawing/2014/main" id="{FDB9509A-4E28-4589-AEB9-2F93B405D425}"/>
            </a:ext>
          </a:extLst>
        </xdr:cNvPr>
        <xdr:cNvSpPr/>
      </xdr:nvSpPr>
      <xdr:spPr>
        <a:xfrm rot="16200000" flipV="1">
          <a:off x="12701761" y="1002784"/>
          <a:ext cx="300116" cy="109296"/>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13</xdr:col>
      <xdr:colOff>219160</xdr:colOff>
      <xdr:row>5</xdr:row>
      <xdr:rowOff>114551</xdr:rowOff>
    </xdr:from>
    <xdr:to>
      <xdr:col>13</xdr:col>
      <xdr:colOff>537940</xdr:colOff>
      <xdr:row>6</xdr:row>
      <xdr:rowOff>34568</xdr:rowOff>
    </xdr:to>
    <xdr:sp macro="" textlink="">
      <xdr:nvSpPr>
        <xdr:cNvPr id="34" name="Flecha: a la derecha 33">
          <a:extLst>
            <a:ext uri="{FF2B5EF4-FFF2-40B4-BE49-F238E27FC236}">
              <a16:creationId xmlns:a16="http://schemas.microsoft.com/office/drawing/2014/main" id="{3F3B50F8-D028-4069-A0DB-244C899C5E4F}"/>
            </a:ext>
          </a:extLst>
        </xdr:cNvPr>
        <xdr:cNvSpPr/>
      </xdr:nvSpPr>
      <xdr:spPr>
        <a:xfrm>
          <a:off x="14262820" y="1036571"/>
          <a:ext cx="318780" cy="102897"/>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15</xdr:col>
      <xdr:colOff>559451</xdr:colOff>
      <xdr:row>11</xdr:row>
      <xdr:rowOff>122514</xdr:rowOff>
    </xdr:from>
    <xdr:to>
      <xdr:col>15</xdr:col>
      <xdr:colOff>668747</xdr:colOff>
      <xdr:row>13</xdr:row>
      <xdr:rowOff>56870</xdr:rowOff>
    </xdr:to>
    <xdr:sp macro="" textlink="">
      <xdr:nvSpPr>
        <xdr:cNvPr id="35" name="Flecha: a la derecha 34">
          <a:extLst>
            <a:ext uri="{FF2B5EF4-FFF2-40B4-BE49-F238E27FC236}">
              <a16:creationId xmlns:a16="http://schemas.microsoft.com/office/drawing/2014/main" id="{99308B85-5C26-49C0-A6C5-8A5723B316C1}"/>
            </a:ext>
          </a:extLst>
        </xdr:cNvPr>
        <xdr:cNvSpPr/>
      </xdr:nvSpPr>
      <xdr:spPr>
        <a:xfrm rot="16200000" flipV="1">
          <a:off x="16092661" y="2237224"/>
          <a:ext cx="300116" cy="109296"/>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6</xdr:col>
      <xdr:colOff>121920</xdr:colOff>
      <xdr:row>1</xdr:row>
      <xdr:rowOff>30480</xdr:rowOff>
    </xdr:from>
    <xdr:ext cx="296748" cy="315151"/>
    <mc:AlternateContent xmlns:mc="http://schemas.openxmlformats.org/markup-compatibility/2006" xmlns:a14="http://schemas.microsoft.com/office/drawing/2010/main">
      <mc:Choice Requires="a14">
        <xdr:sp macro="" textlink="">
          <xdr:nvSpPr>
            <xdr:cNvPr id="2" name="CuadroTexto 1">
              <a:extLst>
                <a:ext uri="{FF2B5EF4-FFF2-40B4-BE49-F238E27FC236}">
                  <a16:creationId xmlns:a16="http://schemas.microsoft.com/office/drawing/2014/main" id="{E611F50F-D9D1-4895-AC5E-7394F548699F}"/>
                </a:ext>
              </a:extLst>
            </xdr:cNvPr>
            <xdr:cNvSpPr txBox="1"/>
          </xdr:nvSpPr>
          <xdr:spPr>
            <a:xfrm>
              <a:off x="3322320" y="213360"/>
              <a:ext cx="296748" cy="315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s-CO" sz="1000" i="1">
                            <a:latin typeface="Cambria Math" panose="02040503050406030204" pitchFamily="18" charset="0"/>
                          </a:rPr>
                        </m:ctrlPr>
                      </m:fPr>
                      <m:num>
                        <m:sSub>
                          <m:sSubPr>
                            <m:ctrlPr>
                              <a:rPr lang="es-CO" sz="1000" i="1">
                                <a:latin typeface="Cambria Math" panose="02040503050406030204" pitchFamily="18" charset="0"/>
                              </a:rPr>
                            </m:ctrlPr>
                          </m:sSubPr>
                          <m:e>
                            <m:r>
                              <a:rPr lang="es-CO" sz="1000" b="0" i="1">
                                <a:latin typeface="Cambria Math" panose="02040503050406030204" pitchFamily="18" charset="0"/>
                              </a:rPr>
                              <m:t>𝑃</m:t>
                            </m:r>
                          </m:e>
                          <m:sub>
                            <m:r>
                              <a:rPr lang="es-CO" sz="1000" b="0" i="1">
                                <a:latin typeface="Cambria Math" panose="02040503050406030204" pitchFamily="18" charset="0"/>
                              </a:rPr>
                              <m:t>1</m:t>
                            </m:r>
                          </m:sub>
                        </m:sSub>
                      </m:num>
                      <m:den>
                        <m:r>
                          <m:rPr>
                            <m:sty m:val="p"/>
                          </m:rPr>
                          <a:rPr lang="el-GR" sz="1000" i="1">
                            <a:latin typeface="Cambria Math" panose="02040503050406030204" pitchFamily="18" charset="0"/>
                            <a:ea typeface="Cambria Math" panose="02040503050406030204" pitchFamily="18" charset="0"/>
                          </a:rPr>
                          <m:t>ρ</m:t>
                        </m:r>
                        <m:r>
                          <a:rPr lang="es-CO" sz="1000" b="0" i="1">
                            <a:latin typeface="Cambria Math" panose="02040503050406030204" pitchFamily="18" charset="0"/>
                            <a:ea typeface="Cambria Math" panose="02040503050406030204" pitchFamily="18" charset="0"/>
                          </a:rPr>
                          <m:t>∗</m:t>
                        </m:r>
                        <m:r>
                          <a:rPr lang="es-CO" sz="1000" b="0" i="1">
                            <a:latin typeface="Cambria Math" panose="02040503050406030204" pitchFamily="18" charset="0"/>
                            <a:ea typeface="Cambria Math" panose="02040503050406030204" pitchFamily="18" charset="0"/>
                          </a:rPr>
                          <m:t>𝑔</m:t>
                        </m:r>
                      </m:den>
                    </m:f>
                  </m:oMath>
                </m:oMathPara>
              </a14:m>
              <a:endParaRPr lang="es-CO" sz="1000"/>
            </a:p>
          </xdr:txBody>
        </xdr:sp>
      </mc:Choice>
      <mc:Fallback xmlns="">
        <xdr:sp macro="" textlink="">
          <xdr:nvSpPr>
            <xdr:cNvPr id="2" name="CuadroTexto 1">
              <a:extLst>
                <a:ext uri="{FF2B5EF4-FFF2-40B4-BE49-F238E27FC236}">
                  <a16:creationId xmlns:a16="http://schemas.microsoft.com/office/drawing/2014/main" id="{E611F50F-D9D1-4895-AC5E-7394F548699F}"/>
                </a:ext>
              </a:extLst>
            </xdr:cNvPr>
            <xdr:cNvSpPr txBox="1"/>
          </xdr:nvSpPr>
          <xdr:spPr>
            <a:xfrm>
              <a:off x="3322320" y="213360"/>
              <a:ext cx="296748" cy="315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O" sz="1000" b="0" i="0">
                  <a:latin typeface="Cambria Math" panose="02040503050406030204" pitchFamily="18" charset="0"/>
                </a:rPr>
                <a:t>𝑃_1/(</a:t>
              </a:r>
              <a:r>
                <a:rPr lang="el-GR" sz="1000" i="0">
                  <a:latin typeface="Cambria Math" panose="02040503050406030204" pitchFamily="18" charset="0"/>
                  <a:ea typeface="Cambria Math" panose="02040503050406030204" pitchFamily="18" charset="0"/>
                </a:rPr>
                <a:t>ρ</a:t>
              </a:r>
              <a:r>
                <a:rPr lang="es-CO" sz="1000" b="0" i="0">
                  <a:latin typeface="Cambria Math" panose="02040503050406030204" pitchFamily="18" charset="0"/>
                  <a:ea typeface="Cambria Math" panose="02040503050406030204" pitchFamily="18" charset="0"/>
                </a:rPr>
                <a:t>∗𝑔)</a:t>
              </a:r>
              <a:endParaRPr lang="es-CO" sz="1000"/>
            </a:p>
          </xdr:txBody>
        </xdr:sp>
      </mc:Fallback>
    </mc:AlternateContent>
    <xdr:clientData/>
  </xdr:oneCellAnchor>
  <xdr:oneCellAnchor>
    <xdr:from>
      <xdr:col>7</xdr:col>
      <xdr:colOff>68580</xdr:colOff>
      <xdr:row>1</xdr:row>
      <xdr:rowOff>15240</xdr:rowOff>
    </xdr:from>
    <xdr:ext cx="299506" cy="345544"/>
    <mc:AlternateContent xmlns:mc="http://schemas.openxmlformats.org/markup-compatibility/2006" xmlns:a14="http://schemas.microsoft.com/office/drawing/2010/main">
      <mc:Choice Requires="a14">
        <xdr:sp macro="" textlink="">
          <xdr:nvSpPr>
            <xdr:cNvPr id="3" name="CuadroTexto 2">
              <a:extLst>
                <a:ext uri="{FF2B5EF4-FFF2-40B4-BE49-F238E27FC236}">
                  <a16:creationId xmlns:a16="http://schemas.microsoft.com/office/drawing/2014/main" id="{D9C909D3-5C0C-4D23-A8A6-1191A09E2380}"/>
                </a:ext>
              </a:extLst>
            </xdr:cNvPr>
            <xdr:cNvSpPr txBox="1"/>
          </xdr:nvSpPr>
          <xdr:spPr>
            <a:xfrm>
              <a:off x="3710940" y="198120"/>
              <a:ext cx="299506" cy="3455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s-CO" sz="1000" i="1">
                            <a:latin typeface="Cambria Math" panose="02040503050406030204" pitchFamily="18" charset="0"/>
                          </a:rPr>
                        </m:ctrlPr>
                      </m:fPr>
                      <m:num>
                        <m:sSup>
                          <m:sSupPr>
                            <m:ctrlPr>
                              <a:rPr lang="es-CO" sz="1000" i="1">
                                <a:latin typeface="Cambria Math" panose="02040503050406030204" pitchFamily="18" charset="0"/>
                              </a:rPr>
                            </m:ctrlPr>
                          </m:sSupPr>
                          <m:e>
                            <m:sSub>
                              <m:sSubPr>
                                <m:ctrlPr>
                                  <a:rPr lang="es-CO" sz="1000" i="1">
                                    <a:latin typeface="Cambria Math" panose="02040503050406030204" pitchFamily="18" charset="0"/>
                                  </a:rPr>
                                </m:ctrlPr>
                              </m:sSubPr>
                              <m:e>
                                <m:r>
                                  <a:rPr lang="es-CO" sz="1000" b="0" i="1">
                                    <a:latin typeface="Cambria Math" panose="02040503050406030204" pitchFamily="18" charset="0"/>
                                  </a:rPr>
                                  <m:t>𝑉</m:t>
                                </m:r>
                              </m:e>
                              <m:sub>
                                <m:r>
                                  <a:rPr lang="es-CO" sz="1000" b="0" i="1">
                                    <a:latin typeface="Cambria Math" panose="02040503050406030204" pitchFamily="18" charset="0"/>
                                  </a:rPr>
                                  <m:t>1</m:t>
                                </m:r>
                              </m:sub>
                            </m:sSub>
                          </m:e>
                          <m:sup>
                            <m:r>
                              <a:rPr lang="es-CO" sz="1000" b="0" i="1">
                                <a:latin typeface="Cambria Math" panose="02040503050406030204" pitchFamily="18" charset="0"/>
                              </a:rPr>
                              <m:t>2</m:t>
                            </m:r>
                          </m:sup>
                        </m:sSup>
                      </m:num>
                      <m:den>
                        <m:r>
                          <a:rPr lang="es-CO" sz="1000" b="0" i="1">
                            <a:latin typeface="Cambria Math" panose="02040503050406030204" pitchFamily="18" charset="0"/>
                          </a:rPr>
                          <m:t>2</m:t>
                        </m:r>
                        <m:r>
                          <a:rPr lang="es-CO" sz="1000" b="0" i="1">
                            <a:latin typeface="Cambria Math" panose="02040503050406030204" pitchFamily="18" charset="0"/>
                            <a:ea typeface="Cambria Math" panose="02040503050406030204" pitchFamily="18" charset="0"/>
                          </a:rPr>
                          <m:t>∗</m:t>
                        </m:r>
                        <m:r>
                          <a:rPr lang="es-CO" sz="1000" b="0" i="1">
                            <a:latin typeface="Cambria Math" panose="02040503050406030204" pitchFamily="18" charset="0"/>
                            <a:ea typeface="Cambria Math" panose="02040503050406030204" pitchFamily="18" charset="0"/>
                          </a:rPr>
                          <m:t>𝑔</m:t>
                        </m:r>
                      </m:den>
                    </m:f>
                  </m:oMath>
                </m:oMathPara>
              </a14:m>
              <a:endParaRPr lang="es-CO" sz="1000"/>
            </a:p>
          </xdr:txBody>
        </xdr:sp>
      </mc:Choice>
      <mc:Fallback xmlns="">
        <xdr:sp macro="" textlink="">
          <xdr:nvSpPr>
            <xdr:cNvPr id="3" name="CuadroTexto 2">
              <a:extLst>
                <a:ext uri="{FF2B5EF4-FFF2-40B4-BE49-F238E27FC236}">
                  <a16:creationId xmlns:a16="http://schemas.microsoft.com/office/drawing/2014/main" id="{D9C909D3-5C0C-4D23-A8A6-1191A09E2380}"/>
                </a:ext>
              </a:extLst>
            </xdr:cNvPr>
            <xdr:cNvSpPr txBox="1"/>
          </xdr:nvSpPr>
          <xdr:spPr>
            <a:xfrm>
              <a:off x="3710940" y="198120"/>
              <a:ext cx="299506" cy="3455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O" sz="1000" i="0">
                  <a:latin typeface="Cambria Math" panose="02040503050406030204" pitchFamily="18" charset="0"/>
                </a:rPr>
                <a:t>〖</a:t>
              </a:r>
              <a:r>
                <a:rPr lang="es-CO" sz="1000" b="0" i="0">
                  <a:latin typeface="Cambria Math" panose="02040503050406030204" pitchFamily="18" charset="0"/>
                </a:rPr>
                <a:t>𝑉_1〗^2/(2</a:t>
              </a:r>
              <a:r>
                <a:rPr lang="es-CO" sz="1000" b="0" i="0">
                  <a:latin typeface="Cambria Math" panose="02040503050406030204" pitchFamily="18" charset="0"/>
                  <a:ea typeface="Cambria Math" panose="02040503050406030204" pitchFamily="18" charset="0"/>
                </a:rPr>
                <a:t>∗𝑔)</a:t>
              </a:r>
              <a:endParaRPr lang="es-CO" sz="1000"/>
            </a:p>
          </xdr:txBody>
        </xdr:sp>
      </mc:Fallback>
    </mc:AlternateContent>
    <xdr:clientData/>
  </xdr:oneCellAnchor>
  <xdr:oneCellAnchor>
    <xdr:from>
      <xdr:col>20</xdr:col>
      <xdr:colOff>152400</xdr:colOff>
      <xdr:row>1</xdr:row>
      <xdr:rowOff>22860</xdr:rowOff>
    </xdr:from>
    <xdr:ext cx="296748" cy="315151"/>
    <mc:AlternateContent xmlns:mc="http://schemas.openxmlformats.org/markup-compatibility/2006" xmlns:a14="http://schemas.microsoft.com/office/drawing/2010/main">
      <mc:Choice Requires="a14">
        <xdr:sp macro="" textlink="">
          <xdr:nvSpPr>
            <xdr:cNvPr id="4" name="CuadroTexto 3">
              <a:extLst>
                <a:ext uri="{FF2B5EF4-FFF2-40B4-BE49-F238E27FC236}">
                  <a16:creationId xmlns:a16="http://schemas.microsoft.com/office/drawing/2014/main" id="{0FC523ED-E4B4-4461-AEA8-617466B05138}"/>
                </a:ext>
              </a:extLst>
            </xdr:cNvPr>
            <xdr:cNvSpPr txBox="1"/>
          </xdr:nvSpPr>
          <xdr:spPr>
            <a:xfrm>
              <a:off x="11163300" y="205740"/>
              <a:ext cx="296748" cy="315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s-CO" sz="1000" i="1">
                            <a:latin typeface="Cambria Math" panose="02040503050406030204" pitchFamily="18" charset="0"/>
                          </a:rPr>
                        </m:ctrlPr>
                      </m:fPr>
                      <m:num>
                        <m:sSub>
                          <m:sSubPr>
                            <m:ctrlPr>
                              <a:rPr lang="es-CO" sz="1000" i="1">
                                <a:latin typeface="Cambria Math" panose="02040503050406030204" pitchFamily="18" charset="0"/>
                              </a:rPr>
                            </m:ctrlPr>
                          </m:sSubPr>
                          <m:e>
                            <m:r>
                              <a:rPr lang="es-CO" sz="1000" b="0" i="1">
                                <a:latin typeface="Cambria Math" panose="02040503050406030204" pitchFamily="18" charset="0"/>
                              </a:rPr>
                              <m:t>𝑃</m:t>
                            </m:r>
                          </m:e>
                          <m:sub>
                            <m:r>
                              <a:rPr lang="es-CO" sz="1000" b="0" i="1">
                                <a:latin typeface="Cambria Math" panose="02040503050406030204" pitchFamily="18" charset="0"/>
                              </a:rPr>
                              <m:t>2</m:t>
                            </m:r>
                          </m:sub>
                        </m:sSub>
                      </m:num>
                      <m:den>
                        <m:r>
                          <m:rPr>
                            <m:sty m:val="p"/>
                          </m:rPr>
                          <a:rPr lang="el-GR" sz="1000" i="1">
                            <a:latin typeface="Cambria Math" panose="02040503050406030204" pitchFamily="18" charset="0"/>
                            <a:ea typeface="Cambria Math" panose="02040503050406030204" pitchFamily="18" charset="0"/>
                          </a:rPr>
                          <m:t>ρ</m:t>
                        </m:r>
                        <m:r>
                          <a:rPr lang="es-CO" sz="1000" b="0" i="1">
                            <a:latin typeface="Cambria Math" panose="02040503050406030204" pitchFamily="18" charset="0"/>
                            <a:ea typeface="Cambria Math" panose="02040503050406030204" pitchFamily="18" charset="0"/>
                          </a:rPr>
                          <m:t>∗</m:t>
                        </m:r>
                        <m:r>
                          <a:rPr lang="es-CO" sz="1000" b="0" i="1">
                            <a:latin typeface="Cambria Math" panose="02040503050406030204" pitchFamily="18" charset="0"/>
                            <a:ea typeface="Cambria Math" panose="02040503050406030204" pitchFamily="18" charset="0"/>
                          </a:rPr>
                          <m:t>𝑔</m:t>
                        </m:r>
                      </m:den>
                    </m:f>
                  </m:oMath>
                </m:oMathPara>
              </a14:m>
              <a:endParaRPr lang="es-CO" sz="1000"/>
            </a:p>
          </xdr:txBody>
        </xdr:sp>
      </mc:Choice>
      <mc:Fallback xmlns="">
        <xdr:sp macro="" textlink="">
          <xdr:nvSpPr>
            <xdr:cNvPr id="4" name="CuadroTexto 3">
              <a:extLst>
                <a:ext uri="{FF2B5EF4-FFF2-40B4-BE49-F238E27FC236}">
                  <a16:creationId xmlns:a16="http://schemas.microsoft.com/office/drawing/2014/main" id="{0FC523ED-E4B4-4461-AEA8-617466B05138}"/>
                </a:ext>
              </a:extLst>
            </xdr:cNvPr>
            <xdr:cNvSpPr txBox="1"/>
          </xdr:nvSpPr>
          <xdr:spPr>
            <a:xfrm>
              <a:off x="11163300" y="205740"/>
              <a:ext cx="296748" cy="315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O" sz="1000" b="0" i="0">
                  <a:latin typeface="Cambria Math" panose="02040503050406030204" pitchFamily="18" charset="0"/>
                </a:rPr>
                <a:t>𝑃_2/(</a:t>
              </a:r>
              <a:r>
                <a:rPr lang="el-GR" sz="1000" i="0">
                  <a:latin typeface="Cambria Math" panose="02040503050406030204" pitchFamily="18" charset="0"/>
                  <a:ea typeface="Cambria Math" panose="02040503050406030204" pitchFamily="18" charset="0"/>
                </a:rPr>
                <a:t>ρ</a:t>
              </a:r>
              <a:r>
                <a:rPr lang="es-CO" sz="1000" b="0" i="0">
                  <a:latin typeface="Cambria Math" panose="02040503050406030204" pitchFamily="18" charset="0"/>
                  <a:ea typeface="Cambria Math" panose="02040503050406030204" pitchFamily="18" charset="0"/>
                </a:rPr>
                <a:t>∗𝑔)</a:t>
              </a:r>
              <a:endParaRPr lang="es-CO" sz="1000"/>
            </a:p>
          </xdr:txBody>
        </xdr:sp>
      </mc:Fallback>
    </mc:AlternateContent>
    <xdr:clientData/>
  </xdr:oneCellAnchor>
</xdr:wsDr>
</file>

<file path=xl/drawings/drawing7.xml><?xml version="1.0" encoding="utf-8"?>
<xdr:wsDr xmlns:xdr="http://schemas.openxmlformats.org/drawingml/2006/spreadsheetDrawing" xmlns:a="http://schemas.openxmlformats.org/drawingml/2006/main">
  <xdr:twoCellAnchor>
    <xdr:from>
      <xdr:col>10</xdr:col>
      <xdr:colOff>220980</xdr:colOff>
      <xdr:row>1</xdr:row>
      <xdr:rowOff>22860</xdr:rowOff>
    </xdr:from>
    <xdr:to>
      <xdr:col>16</xdr:col>
      <xdr:colOff>480060</xdr:colOff>
      <xdr:row>25</xdr:row>
      <xdr:rowOff>137160</xdr:rowOff>
    </xdr:to>
    <xdr:grpSp>
      <xdr:nvGrpSpPr>
        <xdr:cNvPr id="2" name="Grupo 1">
          <a:extLst>
            <a:ext uri="{FF2B5EF4-FFF2-40B4-BE49-F238E27FC236}">
              <a16:creationId xmlns:a16="http://schemas.microsoft.com/office/drawing/2014/main" id="{7158B327-115D-4DCA-BF4C-FFDDA07727CF}"/>
            </a:ext>
          </a:extLst>
        </xdr:cNvPr>
        <xdr:cNvGrpSpPr/>
      </xdr:nvGrpSpPr>
      <xdr:grpSpPr>
        <a:xfrm>
          <a:off x="6736080" y="213360"/>
          <a:ext cx="5013960" cy="4503420"/>
          <a:chOff x="220980" y="205740"/>
          <a:chExt cx="5013960" cy="4503420"/>
        </a:xfrm>
      </xdr:grpSpPr>
      <xdr:grpSp>
        <xdr:nvGrpSpPr>
          <xdr:cNvPr id="3" name="Grupo 2">
            <a:extLst>
              <a:ext uri="{FF2B5EF4-FFF2-40B4-BE49-F238E27FC236}">
                <a16:creationId xmlns:a16="http://schemas.microsoft.com/office/drawing/2014/main" id="{C5E01422-D4A9-438A-B47C-78F4C4C6C9ED}"/>
              </a:ext>
            </a:extLst>
          </xdr:cNvPr>
          <xdr:cNvGrpSpPr/>
        </xdr:nvGrpSpPr>
        <xdr:grpSpPr>
          <a:xfrm>
            <a:off x="220980" y="205740"/>
            <a:ext cx="5013960" cy="4503420"/>
            <a:chOff x="220980" y="205740"/>
            <a:chExt cx="4194810" cy="4001994"/>
          </a:xfrm>
        </xdr:grpSpPr>
        <xdr:grpSp>
          <xdr:nvGrpSpPr>
            <xdr:cNvPr id="5" name="Grupo 4">
              <a:extLst>
                <a:ext uri="{FF2B5EF4-FFF2-40B4-BE49-F238E27FC236}">
                  <a16:creationId xmlns:a16="http://schemas.microsoft.com/office/drawing/2014/main" id="{1BDA5951-4C0B-45ED-9582-0CFCD55E20FF}"/>
                </a:ext>
              </a:extLst>
            </xdr:cNvPr>
            <xdr:cNvGrpSpPr/>
          </xdr:nvGrpSpPr>
          <xdr:grpSpPr>
            <a:xfrm>
              <a:off x="220980" y="205740"/>
              <a:ext cx="4194810" cy="4001994"/>
              <a:chOff x="220980" y="205740"/>
              <a:chExt cx="4194810" cy="4001994"/>
            </a:xfrm>
          </xdr:grpSpPr>
          <xdr:grpSp>
            <xdr:nvGrpSpPr>
              <xdr:cNvPr id="7" name="Grupo 6">
                <a:extLst>
                  <a:ext uri="{FF2B5EF4-FFF2-40B4-BE49-F238E27FC236}">
                    <a16:creationId xmlns:a16="http://schemas.microsoft.com/office/drawing/2014/main" id="{D416960E-F248-43B3-BE64-439EE237AAF2}"/>
                  </a:ext>
                </a:extLst>
              </xdr:cNvPr>
              <xdr:cNvGrpSpPr/>
            </xdr:nvGrpSpPr>
            <xdr:grpSpPr>
              <a:xfrm>
                <a:off x="220980" y="205740"/>
                <a:ext cx="4194810" cy="4001994"/>
                <a:chOff x="220980" y="205740"/>
                <a:chExt cx="4194810" cy="4001994"/>
              </a:xfrm>
            </xdr:grpSpPr>
            <xdr:pic>
              <xdr:nvPicPr>
                <xdr:cNvPr id="12" name="Imagen 11">
                  <a:extLst>
                    <a:ext uri="{FF2B5EF4-FFF2-40B4-BE49-F238E27FC236}">
                      <a16:creationId xmlns:a16="http://schemas.microsoft.com/office/drawing/2014/main" id="{6E2FD628-236B-4808-96DF-58D662DC806F}"/>
                    </a:ext>
                  </a:extLst>
                </xdr:cNvPr>
                <xdr:cNvPicPr>
                  <a:picLocks noChangeAspect="1"/>
                </xdr:cNvPicPr>
              </xdr:nvPicPr>
              <xdr:blipFill rotWithShape="1">
                <a:blip xmlns:r="http://schemas.openxmlformats.org/officeDocument/2006/relationships" r:embed="rId1"/>
                <a:srcRect l="20877" t="14639" r="35851" b="12071"/>
                <a:stretch/>
              </xdr:blipFill>
              <xdr:spPr>
                <a:xfrm>
                  <a:off x="220980" y="222178"/>
                  <a:ext cx="4183380" cy="3985556"/>
                </a:xfrm>
                <a:prstGeom prst="rect">
                  <a:avLst/>
                </a:prstGeom>
              </xdr:spPr>
            </xdr:pic>
            <xdr:sp macro="" textlink="">
              <xdr:nvSpPr>
                <xdr:cNvPr id="13" name="Flecha: circular 12">
                  <a:extLst>
                    <a:ext uri="{FF2B5EF4-FFF2-40B4-BE49-F238E27FC236}">
                      <a16:creationId xmlns:a16="http://schemas.microsoft.com/office/drawing/2014/main" id="{BDD95DA3-9613-4A02-9212-265B158F1EF6}"/>
                    </a:ext>
                  </a:extLst>
                </xdr:cNvPr>
                <xdr:cNvSpPr/>
              </xdr:nvSpPr>
              <xdr:spPr>
                <a:xfrm>
                  <a:off x="1546860" y="1630680"/>
                  <a:ext cx="586740" cy="746760"/>
                </a:xfrm>
                <a:prstGeom prst="circularArrow">
                  <a:avLst>
                    <a:gd name="adj1" fmla="val 12500"/>
                    <a:gd name="adj2" fmla="val 1142319"/>
                    <a:gd name="adj3" fmla="val 20457681"/>
                    <a:gd name="adj4" fmla="val 2374219"/>
                    <a:gd name="adj5" fmla="val 12500"/>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sp macro="" textlink="">
              <xdr:nvSpPr>
                <xdr:cNvPr id="14" name="Flecha: circular 13">
                  <a:extLst>
                    <a:ext uri="{FF2B5EF4-FFF2-40B4-BE49-F238E27FC236}">
                      <a16:creationId xmlns:a16="http://schemas.microsoft.com/office/drawing/2014/main" id="{41189A75-E2FA-4E30-AAB0-9638F9C8D030}"/>
                    </a:ext>
                  </a:extLst>
                </xdr:cNvPr>
                <xdr:cNvSpPr/>
              </xdr:nvSpPr>
              <xdr:spPr>
                <a:xfrm>
                  <a:off x="2971800" y="1630680"/>
                  <a:ext cx="586740" cy="746760"/>
                </a:xfrm>
                <a:prstGeom prst="circularArrow">
                  <a:avLst>
                    <a:gd name="adj1" fmla="val 12500"/>
                    <a:gd name="adj2" fmla="val 1142319"/>
                    <a:gd name="adj3" fmla="val 20457681"/>
                    <a:gd name="adj4" fmla="val 2374219"/>
                    <a:gd name="adj5" fmla="val 12500"/>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sp macro="" textlink="">
              <xdr:nvSpPr>
                <xdr:cNvPr id="15" name="Flecha: circular 14">
                  <a:extLst>
                    <a:ext uri="{FF2B5EF4-FFF2-40B4-BE49-F238E27FC236}">
                      <a16:creationId xmlns:a16="http://schemas.microsoft.com/office/drawing/2014/main" id="{C832B07B-5C3E-4CEA-ADE2-050B6E0E9752}"/>
                    </a:ext>
                  </a:extLst>
                </xdr:cNvPr>
                <xdr:cNvSpPr/>
              </xdr:nvSpPr>
              <xdr:spPr>
                <a:xfrm>
                  <a:off x="3611880" y="411480"/>
                  <a:ext cx="586740" cy="746760"/>
                </a:xfrm>
                <a:prstGeom prst="circularArrow">
                  <a:avLst>
                    <a:gd name="adj1" fmla="val 12500"/>
                    <a:gd name="adj2" fmla="val 1142319"/>
                    <a:gd name="adj3" fmla="val 20457681"/>
                    <a:gd name="adj4" fmla="val 2374219"/>
                    <a:gd name="adj5" fmla="val 12500"/>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sp macro="" textlink="">
              <xdr:nvSpPr>
                <xdr:cNvPr id="16" name="Flecha: circular 15">
                  <a:extLst>
                    <a:ext uri="{FF2B5EF4-FFF2-40B4-BE49-F238E27FC236}">
                      <a16:creationId xmlns:a16="http://schemas.microsoft.com/office/drawing/2014/main" id="{BCFF258D-E21D-4C75-BADF-23318C869727}"/>
                    </a:ext>
                  </a:extLst>
                </xdr:cNvPr>
                <xdr:cNvSpPr/>
              </xdr:nvSpPr>
              <xdr:spPr>
                <a:xfrm>
                  <a:off x="2385060" y="3124200"/>
                  <a:ext cx="586740" cy="746760"/>
                </a:xfrm>
                <a:prstGeom prst="circularArrow">
                  <a:avLst>
                    <a:gd name="adj1" fmla="val 12500"/>
                    <a:gd name="adj2" fmla="val 1142319"/>
                    <a:gd name="adj3" fmla="val 20457681"/>
                    <a:gd name="adj4" fmla="val 2374219"/>
                    <a:gd name="adj5" fmla="val 12500"/>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sp macro="" textlink="">
              <xdr:nvSpPr>
                <xdr:cNvPr id="17" name="Flecha: a la derecha 16">
                  <a:extLst>
                    <a:ext uri="{FF2B5EF4-FFF2-40B4-BE49-F238E27FC236}">
                      <a16:creationId xmlns:a16="http://schemas.microsoft.com/office/drawing/2014/main" id="{9126A2B4-4EDD-4B08-B6DA-B4342BCB8DCA}"/>
                    </a:ext>
                  </a:extLst>
                </xdr:cNvPr>
                <xdr:cNvSpPr/>
              </xdr:nvSpPr>
              <xdr:spPr>
                <a:xfrm>
                  <a:off x="1752600" y="106680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18" name="Flecha: a la derecha 17">
                  <a:extLst>
                    <a:ext uri="{FF2B5EF4-FFF2-40B4-BE49-F238E27FC236}">
                      <a16:creationId xmlns:a16="http://schemas.microsoft.com/office/drawing/2014/main" id="{0D70D5F7-5BEE-4377-88DF-0D3524E88225}"/>
                    </a:ext>
                  </a:extLst>
                </xdr:cNvPr>
                <xdr:cNvSpPr/>
              </xdr:nvSpPr>
              <xdr:spPr>
                <a:xfrm>
                  <a:off x="2865120" y="105918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19" name="Flecha: a la derecha 18">
                  <a:extLst>
                    <a:ext uri="{FF2B5EF4-FFF2-40B4-BE49-F238E27FC236}">
                      <a16:creationId xmlns:a16="http://schemas.microsoft.com/office/drawing/2014/main" id="{6BF11A10-C9F4-4B0E-B2F9-5CB1F3A76FB8}"/>
                    </a:ext>
                  </a:extLst>
                </xdr:cNvPr>
                <xdr:cNvSpPr/>
              </xdr:nvSpPr>
              <xdr:spPr>
                <a:xfrm>
                  <a:off x="3756660" y="123444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20" name="Flecha: a la derecha 19">
                  <a:extLst>
                    <a:ext uri="{FF2B5EF4-FFF2-40B4-BE49-F238E27FC236}">
                      <a16:creationId xmlns:a16="http://schemas.microsoft.com/office/drawing/2014/main" id="{FBAAF997-1E9A-488D-B6C7-1C94A06870C5}"/>
                    </a:ext>
                  </a:extLst>
                </xdr:cNvPr>
                <xdr:cNvSpPr/>
              </xdr:nvSpPr>
              <xdr:spPr>
                <a:xfrm>
                  <a:off x="3246120" y="265938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21" name="Flecha: a la derecha 20">
                  <a:extLst>
                    <a:ext uri="{FF2B5EF4-FFF2-40B4-BE49-F238E27FC236}">
                      <a16:creationId xmlns:a16="http://schemas.microsoft.com/office/drawing/2014/main" id="{DD7B610D-6E42-4419-95DE-68D44B0E6970}"/>
                    </a:ext>
                  </a:extLst>
                </xdr:cNvPr>
                <xdr:cNvSpPr/>
              </xdr:nvSpPr>
              <xdr:spPr>
                <a:xfrm>
                  <a:off x="3771900" y="20574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22" name="Flecha: a la derecha 21">
                  <a:extLst>
                    <a:ext uri="{FF2B5EF4-FFF2-40B4-BE49-F238E27FC236}">
                      <a16:creationId xmlns:a16="http://schemas.microsoft.com/office/drawing/2014/main" id="{9D5D0E0F-C88D-431D-9BE7-30DECAFE319E}"/>
                    </a:ext>
                  </a:extLst>
                </xdr:cNvPr>
                <xdr:cNvSpPr/>
              </xdr:nvSpPr>
              <xdr:spPr>
                <a:xfrm flipH="1">
                  <a:off x="1752600" y="268224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23" name="Flecha: a la derecha 22">
                  <a:extLst>
                    <a:ext uri="{FF2B5EF4-FFF2-40B4-BE49-F238E27FC236}">
                      <a16:creationId xmlns:a16="http://schemas.microsoft.com/office/drawing/2014/main" id="{5960018A-28D9-4D19-9A73-B4ABD4CCC279}"/>
                    </a:ext>
                  </a:extLst>
                </xdr:cNvPr>
                <xdr:cNvSpPr/>
              </xdr:nvSpPr>
              <xdr:spPr>
                <a:xfrm flipH="1">
                  <a:off x="3025140" y="397764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24" name="Flecha: a la derecha 23">
                  <a:extLst>
                    <a:ext uri="{FF2B5EF4-FFF2-40B4-BE49-F238E27FC236}">
                      <a16:creationId xmlns:a16="http://schemas.microsoft.com/office/drawing/2014/main" id="{8DE6FE01-8FF2-4B19-ACA1-4CA9BFB5E4C9}"/>
                    </a:ext>
                  </a:extLst>
                </xdr:cNvPr>
                <xdr:cNvSpPr/>
              </xdr:nvSpPr>
              <xdr:spPr>
                <a:xfrm flipH="1">
                  <a:off x="1554480" y="399288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25" name="Flecha: a la derecha 24">
                  <a:extLst>
                    <a:ext uri="{FF2B5EF4-FFF2-40B4-BE49-F238E27FC236}">
                      <a16:creationId xmlns:a16="http://schemas.microsoft.com/office/drawing/2014/main" id="{2DF9DC35-D65A-4FDB-ABD0-AFED9037D16F}"/>
                    </a:ext>
                  </a:extLst>
                </xdr:cNvPr>
                <xdr:cNvSpPr/>
              </xdr:nvSpPr>
              <xdr:spPr>
                <a:xfrm rot="16200000" flipV="1">
                  <a:off x="3329940" y="69342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26" name="Flecha: a la derecha 25">
                  <a:extLst>
                    <a:ext uri="{FF2B5EF4-FFF2-40B4-BE49-F238E27FC236}">
                      <a16:creationId xmlns:a16="http://schemas.microsoft.com/office/drawing/2014/main" id="{F5527AD7-42D9-4D44-BDF5-C2D71546CD4F}"/>
                    </a:ext>
                  </a:extLst>
                </xdr:cNvPr>
                <xdr:cNvSpPr/>
              </xdr:nvSpPr>
              <xdr:spPr>
                <a:xfrm rot="5400000">
                  <a:off x="4236720" y="70104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27" name="Flecha: a la derecha 26">
                  <a:extLst>
                    <a:ext uri="{FF2B5EF4-FFF2-40B4-BE49-F238E27FC236}">
                      <a16:creationId xmlns:a16="http://schemas.microsoft.com/office/drawing/2014/main" id="{C8397299-57B8-498C-8855-5FF5F0638BC5}"/>
                    </a:ext>
                  </a:extLst>
                </xdr:cNvPr>
                <xdr:cNvSpPr/>
              </xdr:nvSpPr>
              <xdr:spPr>
                <a:xfrm rot="5400000">
                  <a:off x="4229100" y="198882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28" name="Flecha: a la derecha 27">
                  <a:extLst>
                    <a:ext uri="{FF2B5EF4-FFF2-40B4-BE49-F238E27FC236}">
                      <a16:creationId xmlns:a16="http://schemas.microsoft.com/office/drawing/2014/main" id="{F9D2080C-F407-4136-BF38-3FAFDEEB3D10}"/>
                    </a:ext>
                  </a:extLst>
                </xdr:cNvPr>
                <xdr:cNvSpPr/>
              </xdr:nvSpPr>
              <xdr:spPr>
                <a:xfrm rot="5400000">
                  <a:off x="1036320" y="192786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29" name="Flecha: a la derecha 28">
                  <a:extLst>
                    <a:ext uri="{FF2B5EF4-FFF2-40B4-BE49-F238E27FC236}">
                      <a16:creationId xmlns:a16="http://schemas.microsoft.com/office/drawing/2014/main" id="{73AB3E85-CBF0-4C52-9C62-F54A4589F30D}"/>
                    </a:ext>
                  </a:extLst>
                </xdr:cNvPr>
                <xdr:cNvSpPr/>
              </xdr:nvSpPr>
              <xdr:spPr>
                <a:xfrm rot="5400000">
                  <a:off x="1036320" y="332232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
              <xdr:nvSpPr>
                <xdr:cNvPr id="30" name="Flecha: a la derecha 29">
                  <a:extLst>
                    <a:ext uri="{FF2B5EF4-FFF2-40B4-BE49-F238E27FC236}">
                      <a16:creationId xmlns:a16="http://schemas.microsoft.com/office/drawing/2014/main" id="{B378BED3-92D7-4FB7-8AD4-49A3D4353389}"/>
                    </a:ext>
                  </a:extLst>
                </xdr:cNvPr>
                <xdr:cNvSpPr/>
              </xdr:nvSpPr>
              <xdr:spPr>
                <a:xfrm rot="5400000">
                  <a:off x="4229100" y="336804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sp macro="" textlink="">
            <xdr:nvSpPr>
              <xdr:cNvPr id="8" name="CuadroTexto 7">
                <a:extLst>
                  <a:ext uri="{FF2B5EF4-FFF2-40B4-BE49-F238E27FC236}">
                    <a16:creationId xmlns:a16="http://schemas.microsoft.com/office/drawing/2014/main" id="{920792B6-CD2C-4108-B966-A4E71BDB3E43}"/>
                  </a:ext>
                </a:extLst>
              </xdr:cNvPr>
              <xdr:cNvSpPr txBox="1"/>
            </xdr:nvSpPr>
            <xdr:spPr>
              <a:xfrm>
                <a:off x="1744980" y="1866900"/>
                <a:ext cx="190500" cy="274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100"/>
                  <a:t>1</a:t>
                </a:r>
              </a:p>
            </xdr:txBody>
          </xdr:sp>
          <xdr:sp macro="" textlink="">
            <xdr:nvSpPr>
              <xdr:cNvPr id="9" name="CuadroTexto 8">
                <a:extLst>
                  <a:ext uri="{FF2B5EF4-FFF2-40B4-BE49-F238E27FC236}">
                    <a16:creationId xmlns:a16="http://schemas.microsoft.com/office/drawing/2014/main" id="{8594A116-2025-458A-A47F-53757C39DAC1}"/>
                  </a:ext>
                </a:extLst>
              </xdr:cNvPr>
              <xdr:cNvSpPr txBox="1"/>
            </xdr:nvSpPr>
            <xdr:spPr>
              <a:xfrm>
                <a:off x="3162300" y="1844040"/>
                <a:ext cx="190500" cy="274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100"/>
                  <a:t>2</a:t>
                </a:r>
              </a:p>
            </xdr:txBody>
          </xdr:sp>
          <xdr:sp macro="" textlink="">
            <xdr:nvSpPr>
              <xdr:cNvPr id="10" name="CuadroTexto 9">
                <a:extLst>
                  <a:ext uri="{FF2B5EF4-FFF2-40B4-BE49-F238E27FC236}">
                    <a16:creationId xmlns:a16="http://schemas.microsoft.com/office/drawing/2014/main" id="{723005E7-2DBE-4B45-AB5D-6AD4C82923E3}"/>
                  </a:ext>
                </a:extLst>
              </xdr:cNvPr>
              <xdr:cNvSpPr txBox="1"/>
            </xdr:nvSpPr>
            <xdr:spPr>
              <a:xfrm>
                <a:off x="3810000" y="624840"/>
                <a:ext cx="190500" cy="274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100"/>
                  <a:t>3</a:t>
                </a:r>
              </a:p>
            </xdr:txBody>
          </xdr:sp>
          <xdr:sp macro="" textlink="">
            <xdr:nvSpPr>
              <xdr:cNvPr id="11" name="CuadroTexto 10">
                <a:extLst>
                  <a:ext uri="{FF2B5EF4-FFF2-40B4-BE49-F238E27FC236}">
                    <a16:creationId xmlns:a16="http://schemas.microsoft.com/office/drawing/2014/main" id="{8FD1C8E8-5997-4939-8968-220D34991A2D}"/>
                  </a:ext>
                </a:extLst>
              </xdr:cNvPr>
              <xdr:cNvSpPr txBox="1"/>
            </xdr:nvSpPr>
            <xdr:spPr>
              <a:xfrm>
                <a:off x="2583180" y="3368040"/>
                <a:ext cx="190500" cy="274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100"/>
                  <a:t>4</a:t>
                </a:r>
              </a:p>
            </xdr:txBody>
          </xdr:sp>
        </xdr:grpSp>
        <xdr:sp macro="" textlink="">
          <xdr:nvSpPr>
            <xdr:cNvPr id="6" name="Flecha: a la derecha 5">
              <a:extLst>
                <a:ext uri="{FF2B5EF4-FFF2-40B4-BE49-F238E27FC236}">
                  <a16:creationId xmlns:a16="http://schemas.microsoft.com/office/drawing/2014/main" id="{F63298F2-5CAA-4AD1-82D3-B709C6697580}"/>
                </a:ext>
              </a:extLst>
            </xdr:cNvPr>
            <xdr:cNvSpPr/>
          </xdr:nvSpPr>
          <xdr:spPr>
            <a:xfrm rot="5400000">
              <a:off x="2430780" y="1996440"/>
              <a:ext cx="266700" cy="91440"/>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sp macro="" textlink="">
        <xdr:nvSpPr>
          <xdr:cNvPr id="4" name="Flecha: a la derecha 3">
            <a:extLst>
              <a:ext uri="{FF2B5EF4-FFF2-40B4-BE49-F238E27FC236}">
                <a16:creationId xmlns:a16="http://schemas.microsoft.com/office/drawing/2014/main" id="{3A97681C-5546-43C6-9610-B88008492194}"/>
              </a:ext>
            </a:extLst>
          </xdr:cNvPr>
          <xdr:cNvSpPr/>
        </xdr:nvSpPr>
        <xdr:spPr>
          <a:xfrm>
            <a:off x="655320" y="1074420"/>
            <a:ext cx="318780" cy="102897"/>
          </a:xfrm>
          <a:prstGeom prst="rightArrow">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grpSp>
    <xdr:clientData/>
  </xdr:twoCellAnchor>
</xdr:wsDr>
</file>

<file path=xl/drawings/drawing8.xml><?xml version="1.0" encoding="utf-8"?>
<xdr:wsDr xmlns:xdr="http://schemas.openxmlformats.org/drawingml/2006/spreadsheetDrawing" xmlns:a="http://schemas.openxmlformats.org/drawingml/2006/main">
  <xdr:oneCellAnchor>
    <xdr:from>
      <xdr:col>6</xdr:col>
      <xdr:colOff>60960</xdr:colOff>
      <xdr:row>1</xdr:row>
      <xdr:rowOff>22860</xdr:rowOff>
    </xdr:from>
    <xdr:ext cx="296748" cy="315151"/>
    <mc:AlternateContent xmlns:mc="http://schemas.openxmlformats.org/markup-compatibility/2006" xmlns:a14="http://schemas.microsoft.com/office/drawing/2010/main">
      <mc:Choice Requires="a14">
        <xdr:sp macro="" textlink="">
          <xdr:nvSpPr>
            <xdr:cNvPr id="4" name="CuadroTexto 3">
              <a:extLst>
                <a:ext uri="{FF2B5EF4-FFF2-40B4-BE49-F238E27FC236}">
                  <a16:creationId xmlns:a16="http://schemas.microsoft.com/office/drawing/2014/main" id="{A7CFC413-DAFD-4E74-AF57-07AE2EDBC24E}"/>
                </a:ext>
              </a:extLst>
            </xdr:cNvPr>
            <xdr:cNvSpPr txBox="1"/>
          </xdr:nvSpPr>
          <xdr:spPr>
            <a:xfrm>
              <a:off x="7322820" y="213360"/>
              <a:ext cx="296748" cy="315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s-CO" sz="1000" i="1">
                            <a:latin typeface="Cambria Math" panose="02040503050406030204" pitchFamily="18" charset="0"/>
                          </a:rPr>
                        </m:ctrlPr>
                      </m:fPr>
                      <m:num>
                        <m:sSub>
                          <m:sSubPr>
                            <m:ctrlPr>
                              <a:rPr lang="es-CO" sz="1000" i="1">
                                <a:latin typeface="Cambria Math" panose="02040503050406030204" pitchFamily="18" charset="0"/>
                              </a:rPr>
                            </m:ctrlPr>
                          </m:sSubPr>
                          <m:e>
                            <m:r>
                              <a:rPr lang="es-CO" sz="1000" b="0" i="1">
                                <a:latin typeface="Cambria Math" panose="02040503050406030204" pitchFamily="18" charset="0"/>
                              </a:rPr>
                              <m:t>𝑃</m:t>
                            </m:r>
                          </m:e>
                          <m:sub>
                            <m:r>
                              <a:rPr lang="es-CO" sz="1000" b="0" i="1">
                                <a:latin typeface="Cambria Math" panose="02040503050406030204" pitchFamily="18" charset="0"/>
                              </a:rPr>
                              <m:t>1</m:t>
                            </m:r>
                          </m:sub>
                        </m:sSub>
                      </m:num>
                      <m:den>
                        <m:r>
                          <m:rPr>
                            <m:sty m:val="p"/>
                          </m:rPr>
                          <a:rPr lang="el-GR" sz="1000" i="1">
                            <a:latin typeface="Cambria Math" panose="02040503050406030204" pitchFamily="18" charset="0"/>
                            <a:ea typeface="Cambria Math" panose="02040503050406030204" pitchFamily="18" charset="0"/>
                          </a:rPr>
                          <m:t>ρ</m:t>
                        </m:r>
                        <m:r>
                          <a:rPr lang="es-CO" sz="1000" b="0" i="1">
                            <a:latin typeface="Cambria Math" panose="02040503050406030204" pitchFamily="18" charset="0"/>
                            <a:ea typeface="Cambria Math" panose="02040503050406030204" pitchFamily="18" charset="0"/>
                          </a:rPr>
                          <m:t>∗</m:t>
                        </m:r>
                        <m:r>
                          <a:rPr lang="es-CO" sz="1000" b="0" i="1">
                            <a:latin typeface="Cambria Math" panose="02040503050406030204" pitchFamily="18" charset="0"/>
                            <a:ea typeface="Cambria Math" panose="02040503050406030204" pitchFamily="18" charset="0"/>
                          </a:rPr>
                          <m:t>𝑔</m:t>
                        </m:r>
                      </m:den>
                    </m:f>
                  </m:oMath>
                </m:oMathPara>
              </a14:m>
              <a:endParaRPr lang="es-CO" sz="1000"/>
            </a:p>
          </xdr:txBody>
        </xdr:sp>
      </mc:Choice>
      <mc:Fallback xmlns="">
        <xdr:sp macro="" textlink="">
          <xdr:nvSpPr>
            <xdr:cNvPr id="4" name="CuadroTexto 3">
              <a:extLst>
                <a:ext uri="{FF2B5EF4-FFF2-40B4-BE49-F238E27FC236}">
                  <a16:creationId xmlns:a16="http://schemas.microsoft.com/office/drawing/2014/main" id="{A7CFC413-DAFD-4E74-AF57-07AE2EDBC24E}"/>
                </a:ext>
              </a:extLst>
            </xdr:cNvPr>
            <xdr:cNvSpPr txBox="1"/>
          </xdr:nvSpPr>
          <xdr:spPr>
            <a:xfrm>
              <a:off x="7322820" y="213360"/>
              <a:ext cx="296748" cy="315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O" sz="1000" b="0" i="0">
                  <a:latin typeface="Cambria Math" panose="02040503050406030204" pitchFamily="18" charset="0"/>
                </a:rPr>
                <a:t>𝑃_1/(</a:t>
              </a:r>
              <a:r>
                <a:rPr lang="el-GR" sz="1000" i="0">
                  <a:latin typeface="Cambria Math" panose="02040503050406030204" pitchFamily="18" charset="0"/>
                  <a:ea typeface="Cambria Math" panose="02040503050406030204" pitchFamily="18" charset="0"/>
                </a:rPr>
                <a:t>ρ</a:t>
              </a:r>
              <a:r>
                <a:rPr lang="es-CO" sz="1000" b="0" i="0">
                  <a:latin typeface="Cambria Math" panose="02040503050406030204" pitchFamily="18" charset="0"/>
                  <a:ea typeface="Cambria Math" panose="02040503050406030204" pitchFamily="18" charset="0"/>
                </a:rPr>
                <a:t>∗𝑔)</a:t>
              </a:r>
              <a:endParaRPr lang="es-CO" sz="1000"/>
            </a:p>
          </xdr:txBody>
        </xdr:sp>
      </mc:Fallback>
    </mc:AlternateContent>
    <xdr:clientData/>
  </xdr:oneCellAnchor>
  <xdr:oneCellAnchor>
    <xdr:from>
      <xdr:col>7</xdr:col>
      <xdr:colOff>68580</xdr:colOff>
      <xdr:row>1</xdr:row>
      <xdr:rowOff>15240</xdr:rowOff>
    </xdr:from>
    <xdr:ext cx="299506" cy="345544"/>
    <mc:AlternateContent xmlns:mc="http://schemas.openxmlformats.org/markup-compatibility/2006" xmlns:a14="http://schemas.microsoft.com/office/drawing/2010/main">
      <mc:Choice Requires="a14">
        <xdr:sp macro="" textlink="">
          <xdr:nvSpPr>
            <xdr:cNvPr id="5" name="CuadroTexto 4">
              <a:extLst>
                <a:ext uri="{FF2B5EF4-FFF2-40B4-BE49-F238E27FC236}">
                  <a16:creationId xmlns:a16="http://schemas.microsoft.com/office/drawing/2014/main" id="{D117FBCD-8171-47F8-B2EE-2D8E93024B77}"/>
                </a:ext>
              </a:extLst>
            </xdr:cNvPr>
            <xdr:cNvSpPr txBox="1"/>
          </xdr:nvSpPr>
          <xdr:spPr>
            <a:xfrm>
              <a:off x="7772400" y="205740"/>
              <a:ext cx="299506" cy="3455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s-CO" sz="1000" i="1">
                            <a:latin typeface="Cambria Math" panose="02040503050406030204" pitchFamily="18" charset="0"/>
                          </a:rPr>
                        </m:ctrlPr>
                      </m:fPr>
                      <m:num>
                        <m:sSup>
                          <m:sSupPr>
                            <m:ctrlPr>
                              <a:rPr lang="es-CO" sz="1000" i="1">
                                <a:latin typeface="Cambria Math" panose="02040503050406030204" pitchFamily="18" charset="0"/>
                              </a:rPr>
                            </m:ctrlPr>
                          </m:sSupPr>
                          <m:e>
                            <m:sSub>
                              <m:sSubPr>
                                <m:ctrlPr>
                                  <a:rPr lang="es-CO" sz="1000" i="1">
                                    <a:latin typeface="Cambria Math" panose="02040503050406030204" pitchFamily="18" charset="0"/>
                                  </a:rPr>
                                </m:ctrlPr>
                              </m:sSubPr>
                              <m:e>
                                <m:r>
                                  <a:rPr lang="es-CO" sz="1000" b="0" i="1">
                                    <a:latin typeface="Cambria Math" panose="02040503050406030204" pitchFamily="18" charset="0"/>
                                  </a:rPr>
                                  <m:t>𝑉</m:t>
                                </m:r>
                              </m:e>
                              <m:sub>
                                <m:r>
                                  <a:rPr lang="es-CO" sz="1000" b="0" i="1">
                                    <a:latin typeface="Cambria Math" panose="02040503050406030204" pitchFamily="18" charset="0"/>
                                  </a:rPr>
                                  <m:t>1</m:t>
                                </m:r>
                              </m:sub>
                            </m:sSub>
                          </m:e>
                          <m:sup>
                            <m:r>
                              <a:rPr lang="es-CO" sz="1000" b="0" i="1">
                                <a:latin typeface="Cambria Math" panose="02040503050406030204" pitchFamily="18" charset="0"/>
                              </a:rPr>
                              <m:t>2</m:t>
                            </m:r>
                          </m:sup>
                        </m:sSup>
                      </m:num>
                      <m:den>
                        <m:r>
                          <a:rPr lang="es-CO" sz="1000" b="0" i="1">
                            <a:latin typeface="Cambria Math" panose="02040503050406030204" pitchFamily="18" charset="0"/>
                          </a:rPr>
                          <m:t>2</m:t>
                        </m:r>
                        <m:r>
                          <a:rPr lang="es-CO" sz="1000" b="0" i="1">
                            <a:latin typeface="Cambria Math" panose="02040503050406030204" pitchFamily="18" charset="0"/>
                            <a:ea typeface="Cambria Math" panose="02040503050406030204" pitchFamily="18" charset="0"/>
                          </a:rPr>
                          <m:t>∗</m:t>
                        </m:r>
                        <m:r>
                          <a:rPr lang="es-CO" sz="1000" b="0" i="1">
                            <a:latin typeface="Cambria Math" panose="02040503050406030204" pitchFamily="18" charset="0"/>
                            <a:ea typeface="Cambria Math" panose="02040503050406030204" pitchFamily="18" charset="0"/>
                          </a:rPr>
                          <m:t>𝑔</m:t>
                        </m:r>
                      </m:den>
                    </m:f>
                  </m:oMath>
                </m:oMathPara>
              </a14:m>
              <a:endParaRPr lang="es-CO" sz="1000"/>
            </a:p>
          </xdr:txBody>
        </xdr:sp>
      </mc:Choice>
      <mc:Fallback xmlns="">
        <xdr:sp macro="" textlink="">
          <xdr:nvSpPr>
            <xdr:cNvPr id="5" name="CuadroTexto 4">
              <a:extLst>
                <a:ext uri="{FF2B5EF4-FFF2-40B4-BE49-F238E27FC236}">
                  <a16:creationId xmlns:a16="http://schemas.microsoft.com/office/drawing/2014/main" id="{D117FBCD-8171-47F8-B2EE-2D8E93024B77}"/>
                </a:ext>
              </a:extLst>
            </xdr:cNvPr>
            <xdr:cNvSpPr txBox="1"/>
          </xdr:nvSpPr>
          <xdr:spPr>
            <a:xfrm>
              <a:off x="7772400" y="205740"/>
              <a:ext cx="299506" cy="3455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O" sz="1000" i="0">
                  <a:latin typeface="Cambria Math" panose="02040503050406030204" pitchFamily="18" charset="0"/>
                </a:rPr>
                <a:t>〖</a:t>
              </a:r>
              <a:r>
                <a:rPr lang="es-CO" sz="1000" b="0" i="0">
                  <a:latin typeface="Cambria Math" panose="02040503050406030204" pitchFamily="18" charset="0"/>
                </a:rPr>
                <a:t>𝑉_1〗^2/(2</a:t>
              </a:r>
              <a:r>
                <a:rPr lang="es-CO" sz="1000" b="0" i="0">
                  <a:latin typeface="Cambria Math" panose="02040503050406030204" pitchFamily="18" charset="0"/>
                  <a:ea typeface="Cambria Math" panose="02040503050406030204" pitchFamily="18" charset="0"/>
                </a:rPr>
                <a:t>∗𝑔)</a:t>
              </a:r>
              <a:endParaRPr lang="es-CO" sz="1000"/>
            </a:p>
          </xdr:txBody>
        </xdr:sp>
      </mc:Fallback>
    </mc:AlternateContent>
    <xdr:clientData/>
  </xdr:oneCellAnchor>
  <xdr:oneCellAnchor>
    <xdr:from>
      <xdr:col>20</xdr:col>
      <xdr:colOff>152400</xdr:colOff>
      <xdr:row>1</xdr:row>
      <xdr:rowOff>22860</xdr:rowOff>
    </xdr:from>
    <xdr:ext cx="296748" cy="315151"/>
    <mc:AlternateContent xmlns:mc="http://schemas.openxmlformats.org/markup-compatibility/2006" xmlns:a14="http://schemas.microsoft.com/office/drawing/2010/main">
      <mc:Choice Requires="a14">
        <xdr:sp macro="" textlink="">
          <xdr:nvSpPr>
            <xdr:cNvPr id="6" name="CuadroTexto 5">
              <a:extLst>
                <a:ext uri="{FF2B5EF4-FFF2-40B4-BE49-F238E27FC236}">
                  <a16:creationId xmlns:a16="http://schemas.microsoft.com/office/drawing/2014/main" id="{E085FC52-9D38-42E4-9069-E5AC108BE6FD}"/>
                </a:ext>
              </a:extLst>
            </xdr:cNvPr>
            <xdr:cNvSpPr txBox="1"/>
          </xdr:nvSpPr>
          <xdr:spPr>
            <a:xfrm>
              <a:off x="11163300" y="205740"/>
              <a:ext cx="296748" cy="315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s-CO" sz="1000" i="1">
                            <a:latin typeface="Cambria Math" panose="02040503050406030204" pitchFamily="18" charset="0"/>
                          </a:rPr>
                        </m:ctrlPr>
                      </m:fPr>
                      <m:num>
                        <m:sSub>
                          <m:sSubPr>
                            <m:ctrlPr>
                              <a:rPr lang="es-CO" sz="1000" i="1">
                                <a:latin typeface="Cambria Math" panose="02040503050406030204" pitchFamily="18" charset="0"/>
                              </a:rPr>
                            </m:ctrlPr>
                          </m:sSubPr>
                          <m:e>
                            <m:r>
                              <a:rPr lang="es-CO" sz="1000" b="0" i="1">
                                <a:latin typeface="Cambria Math" panose="02040503050406030204" pitchFamily="18" charset="0"/>
                              </a:rPr>
                              <m:t>𝑃</m:t>
                            </m:r>
                          </m:e>
                          <m:sub>
                            <m:r>
                              <a:rPr lang="es-CO" sz="1000" b="0" i="1">
                                <a:latin typeface="Cambria Math" panose="02040503050406030204" pitchFamily="18" charset="0"/>
                              </a:rPr>
                              <m:t>2</m:t>
                            </m:r>
                          </m:sub>
                        </m:sSub>
                      </m:num>
                      <m:den>
                        <m:r>
                          <m:rPr>
                            <m:sty m:val="p"/>
                          </m:rPr>
                          <a:rPr lang="el-GR" sz="1000" i="1">
                            <a:latin typeface="Cambria Math" panose="02040503050406030204" pitchFamily="18" charset="0"/>
                            <a:ea typeface="Cambria Math" panose="02040503050406030204" pitchFamily="18" charset="0"/>
                          </a:rPr>
                          <m:t>ρ</m:t>
                        </m:r>
                        <m:r>
                          <a:rPr lang="es-CO" sz="1000" b="0" i="1">
                            <a:latin typeface="Cambria Math" panose="02040503050406030204" pitchFamily="18" charset="0"/>
                            <a:ea typeface="Cambria Math" panose="02040503050406030204" pitchFamily="18" charset="0"/>
                          </a:rPr>
                          <m:t>∗</m:t>
                        </m:r>
                        <m:r>
                          <a:rPr lang="es-CO" sz="1000" b="0" i="1">
                            <a:latin typeface="Cambria Math" panose="02040503050406030204" pitchFamily="18" charset="0"/>
                            <a:ea typeface="Cambria Math" panose="02040503050406030204" pitchFamily="18" charset="0"/>
                          </a:rPr>
                          <m:t>𝑔</m:t>
                        </m:r>
                      </m:den>
                    </m:f>
                  </m:oMath>
                </m:oMathPara>
              </a14:m>
              <a:endParaRPr lang="es-CO" sz="1000"/>
            </a:p>
          </xdr:txBody>
        </xdr:sp>
      </mc:Choice>
      <mc:Fallback xmlns="">
        <xdr:sp macro="" textlink="">
          <xdr:nvSpPr>
            <xdr:cNvPr id="6" name="CuadroTexto 5">
              <a:extLst>
                <a:ext uri="{FF2B5EF4-FFF2-40B4-BE49-F238E27FC236}">
                  <a16:creationId xmlns:a16="http://schemas.microsoft.com/office/drawing/2014/main" id="{E085FC52-9D38-42E4-9069-E5AC108BE6FD}"/>
                </a:ext>
              </a:extLst>
            </xdr:cNvPr>
            <xdr:cNvSpPr txBox="1"/>
          </xdr:nvSpPr>
          <xdr:spPr>
            <a:xfrm>
              <a:off x="11163300" y="205740"/>
              <a:ext cx="296748" cy="315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CO" sz="1000" b="0" i="0">
                  <a:latin typeface="Cambria Math" panose="02040503050406030204" pitchFamily="18" charset="0"/>
                </a:rPr>
                <a:t>𝑃_2/(</a:t>
              </a:r>
              <a:r>
                <a:rPr lang="el-GR" sz="1000" i="0">
                  <a:latin typeface="Cambria Math" panose="02040503050406030204" pitchFamily="18" charset="0"/>
                  <a:ea typeface="Cambria Math" panose="02040503050406030204" pitchFamily="18" charset="0"/>
                </a:rPr>
                <a:t>ρ</a:t>
              </a:r>
              <a:r>
                <a:rPr lang="es-CO" sz="1000" b="0" i="0">
                  <a:latin typeface="Cambria Math" panose="02040503050406030204" pitchFamily="18" charset="0"/>
                  <a:ea typeface="Cambria Math" panose="02040503050406030204" pitchFamily="18" charset="0"/>
                </a:rPr>
                <a:t>∗𝑔)</a:t>
              </a:r>
              <a:endParaRPr lang="es-CO" sz="1000"/>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uchi\Downloads\Acueductos%20Cabuyaro%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sa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48"/>
  <sheetViews>
    <sheetView zoomScale="90" zoomScaleNormal="90" workbookViewId="0">
      <selection activeCell="AH13" sqref="AH13"/>
    </sheetView>
  </sheetViews>
  <sheetFormatPr baseColWidth="10" defaultColWidth="9.109375" defaultRowHeight="14.4" x14ac:dyDescent="0.3"/>
  <cols>
    <col min="1" max="1" width="21.33203125" bestFit="1" customWidth="1"/>
    <col min="2" max="2" width="16.33203125" bestFit="1" customWidth="1"/>
    <col min="3" max="3" width="5.44140625" customWidth="1"/>
    <col min="4" max="4" width="5.5546875" bestFit="1" customWidth="1"/>
    <col min="5" max="5" width="7.6640625" bestFit="1" customWidth="1"/>
    <col min="6" max="6" width="7.109375" bestFit="1" customWidth="1"/>
    <col min="7" max="7" width="7.6640625" bestFit="1" customWidth="1"/>
    <col min="8" max="8" width="7.109375" bestFit="1" customWidth="1"/>
    <col min="9" max="9" width="8.88671875" bestFit="1" customWidth="1"/>
    <col min="10" max="11" width="7.109375" bestFit="1" customWidth="1"/>
    <col min="12" max="12" width="8.88671875" bestFit="1" customWidth="1"/>
    <col min="13" max="13" width="7.109375" bestFit="1" customWidth="1"/>
    <col min="14" max="14" width="36.6640625" bestFit="1" customWidth="1"/>
    <col min="15" max="15" width="15" customWidth="1"/>
    <col min="16" max="16" width="13.33203125" bestFit="1" customWidth="1"/>
    <col min="17" max="17" width="10.6640625" bestFit="1" customWidth="1"/>
    <col min="18" max="18" width="10.109375" bestFit="1" customWidth="1"/>
    <col min="19" max="19" width="8.5546875" bestFit="1" customWidth="1"/>
    <col min="20" max="20" width="12.33203125" customWidth="1"/>
    <col min="21" max="21" width="12.5546875" customWidth="1"/>
    <col min="22" max="22" width="12.33203125" customWidth="1"/>
    <col min="23" max="23" width="13.109375" customWidth="1"/>
    <col min="24" max="24" width="10.33203125" customWidth="1"/>
    <col min="25" max="25" width="11.44140625" customWidth="1"/>
    <col min="26" max="26" width="12.5546875" style="58" customWidth="1"/>
    <col min="27" max="27" width="13.44140625" customWidth="1"/>
    <col min="28" max="28" width="11.6640625" customWidth="1"/>
    <col min="29" max="29" width="13.44140625" customWidth="1"/>
    <col min="30" max="30" width="4.44140625" bestFit="1" customWidth="1"/>
    <col min="31" max="31" width="15.33203125" customWidth="1"/>
    <col min="32" max="32" width="4.44140625" bestFit="1" customWidth="1"/>
    <col min="33" max="33" width="17.88671875" customWidth="1"/>
  </cols>
  <sheetData>
    <row r="1" spans="1:33" ht="15" thickBot="1" x14ac:dyDescent="0.35"/>
    <row r="2" spans="1:33" ht="15.6" x14ac:dyDescent="0.3">
      <c r="A2" s="33" t="s">
        <v>0</v>
      </c>
      <c r="B2" s="34" t="s">
        <v>30</v>
      </c>
      <c r="D2" s="3"/>
      <c r="I2" s="1"/>
      <c r="J2" s="1"/>
      <c r="K2" s="1"/>
      <c r="T2" s="1"/>
      <c r="X2" s="1"/>
      <c r="Y2" s="1"/>
      <c r="Z2" s="59"/>
      <c r="AA2" s="2"/>
      <c r="AB2" s="1"/>
      <c r="AC2" s="4"/>
      <c r="AD2" s="1"/>
      <c r="AE2" s="2"/>
    </row>
    <row r="3" spans="1:33" ht="15.6" x14ac:dyDescent="0.3">
      <c r="A3" s="35" t="s">
        <v>2</v>
      </c>
      <c r="B3" s="65">
        <v>425</v>
      </c>
      <c r="C3" s="1"/>
    </row>
    <row r="4" spans="1:33" x14ac:dyDescent="0.3">
      <c r="A4" s="35" t="s">
        <v>3</v>
      </c>
      <c r="B4" s="60" t="s">
        <v>149</v>
      </c>
    </row>
    <row r="5" spans="1:33" ht="15" customHeight="1" thickBot="1" x14ac:dyDescent="0.35">
      <c r="A5" s="32" t="s">
        <v>4</v>
      </c>
      <c r="B5" s="36" t="str">
        <f>LOOKUP($B$4,$A$16:$A$18,$B$16:$B$18)</f>
        <v>Mayor a 28°C</v>
      </c>
      <c r="D5" s="204" t="s">
        <v>6</v>
      </c>
      <c r="E5" s="204" t="s">
        <v>7</v>
      </c>
      <c r="F5" s="207" t="s">
        <v>31</v>
      </c>
      <c r="G5" s="208"/>
      <c r="H5" s="207" t="s">
        <v>8</v>
      </c>
      <c r="I5" s="208"/>
      <c r="J5" s="211" t="s">
        <v>1</v>
      </c>
      <c r="K5" s="212"/>
      <c r="L5" s="213"/>
      <c r="M5" s="211" t="s">
        <v>9</v>
      </c>
      <c r="N5" s="213"/>
      <c r="O5" s="223" t="s">
        <v>154</v>
      </c>
      <c r="P5" s="217" t="s">
        <v>156</v>
      </c>
      <c r="Q5" s="218"/>
      <c r="R5" s="218"/>
      <c r="S5" s="219"/>
      <c r="T5" s="206" t="s">
        <v>148</v>
      </c>
      <c r="U5" s="203" t="s">
        <v>10</v>
      </c>
      <c r="V5" s="203" t="s">
        <v>168</v>
      </c>
      <c r="W5" s="223" t="s">
        <v>169</v>
      </c>
      <c r="X5" s="203" t="s">
        <v>155</v>
      </c>
      <c r="Y5" s="203" t="s">
        <v>11</v>
      </c>
      <c r="Z5" s="205" t="s">
        <v>12</v>
      </c>
      <c r="AA5" s="203" t="s">
        <v>170</v>
      </c>
      <c r="AB5" s="202" t="s">
        <v>171</v>
      </c>
      <c r="AC5" s="202" t="s">
        <v>172</v>
      </c>
      <c r="AD5" s="204" t="s">
        <v>13</v>
      </c>
      <c r="AE5" s="202" t="s">
        <v>173</v>
      </c>
      <c r="AF5" s="204" t="s">
        <v>14</v>
      </c>
      <c r="AG5" s="202" t="s">
        <v>174</v>
      </c>
    </row>
    <row r="6" spans="1:33" x14ac:dyDescent="0.3">
      <c r="A6" s="66"/>
      <c r="B6" s="67"/>
      <c r="D6" s="204"/>
      <c r="E6" s="204"/>
      <c r="F6" s="209"/>
      <c r="G6" s="210"/>
      <c r="H6" s="209"/>
      <c r="I6" s="210"/>
      <c r="J6" s="214"/>
      <c r="K6" s="215"/>
      <c r="L6" s="216"/>
      <c r="M6" s="214"/>
      <c r="N6" s="216"/>
      <c r="O6" s="224"/>
      <c r="P6" s="220"/>
      <c r="Q6" s="221"/>
      <c r="R6" s="221"/>
      <c r="S6" s="222"/>
      <c r="T6" s="206"/>
      <c r="U6" s="203"/>
      <c r="V6" s="203"/>
      <c r="W6" s="224"/>
      <c r="X6" s="203"/>
      <c r="Y6" s="203"/>
      <c r="Z6" s="205"/>
      <c r="AA6" s="203"/>
      <c r="AB6" s="202"/>
      <c r="AC6" s="202"/>
      <c r="AD6" s="204"/>
      <c r="AE6" s="202"/>
      <c r="AF6" s="204"/>
      <c r="AG6" s="202"/>
    </row>
    <row r="7" spans="1:33" ht="14.25" customHeight="1" x14ac:dyDescent="0.3">
      <c r="D7" s="204"/>
      <c r="E7" s="204"/>
      <c r="F7" s="46" t="s">
        <v>142</v>
      </c>
      <c r="G7" s="47" t="s">
        <v>144</v>
      </c>
      <c r="H7" s="47" t="s">
        <v>145</v>
      </c>
      <c r="I7" s="47" t="s">
        <v>144</v>
      </c>
      <c r="J7" s="47" t="s">
        <v>146</v>
      </c>
      <c r="K7" s="47" t="s">
        <v>147</v>
      </c>
      <c r="L7" s="46" t="s">
        <v>144</v>
      </c>
      <c r="M7" s="46" t="s">
        <v>143</v>
      </c>
      <c r="N7" s="46" t="s">
        <v>144</v>
      </c>
      <c r="O7" s="225"/>
      <c r="P7" s="53" t="s">
        <v>157</v>
      </c>
      <c r="Q7" s="53" t="s">
        <v>158</v>
      </c>
      <c r="R7" s="53" t="s">
        <v>159</v>
      </c>
      <c r="S7" s="53" t="s">
        <v>160</v>
      </c>
      <c r="T7" s="206"/>
      <c r="U7" s="203"/>
      <c r="V7" s="203"/>
      <c r="W7" s="225"/>
      <c r="X7" s="203"/>
      <c r="Y7" s="203"/>
      <c r="Z7" s="205"/>
      <c r="AA7" s="203"/>
      <c r="AB7" s="202"/>
      <c r="AC7" s="202"/>
      <c r="AD7" s="204"/>
      <c r="AE7" s="202"/>
      <c r="AF7" s="204"/>
      <c r="AG7" s="202"/>
    </row>
    <row r="8" spans="1:33" x14ac:dyDescent="0.3">
      <c r="D8" s="48">
        <v>1985</v>
      </c>
      <c r="E8" s="48">
        <v>170176</v>
      </c>
      <c r="F8" s="48"/>
      <c r="G8" s="11"/>
      <c r="H8" s="11"/>
      <c r="I8" s="11"/>
      <c r="J8" s="11"/>
      <c r="K8" s="11"/>
      <c r="L8" s="48"/>
      <c r="M8" s="48"/>
      <c r="N8" s="48"/>
      <c r="O8" s="48"/>
      <c r="P8" s="57">
        <v>9</v>
      </c>
      <c r="Q8" s="57">
        <v>30</v>
      </c>
      <c r="R8" s="57">
        <v>36</v>
      </c>
      <c r="S8" s="68">
        <f>SUM(P8:R8)/365</f>
        <v>0.20547945205479451</v>
      </c>
      <c r="T8" s="11">
        <f t="shared" ref="T8:T9" si="0">ROUNDUP((E8*($O$23/100))*(1+S8),0)</f>
        <v>100</v>
      </c>
      <c r="U8" s="48"/>
      <c r="V8" s="48"/>
      <c r="W8" s="48"/>
      <c r="X8" s="48"/>
      <c r="Y8" s="48"/>
      <c r="Z8" s="51"/>
      <c r="AA8" s="48"/>
      <c r="AB8" s="12"/>
      <c r="AC8" s="12"/>
      <c r="AD8" s="48"/>
      <c r="AE8" s="13"/>
      <c r="AF8" s="48"/>
      <c r="AG8" s="12"/>
    </row>
    <row r="9" spans="1:33" x14ac:dyDescent="0.3">
      <c r="D9" s="48">
        <v>1993</v>
      </c>
      <c r="E9" s="48">
        <v>219976</v>
      </c>
      <c r="F9" s="48"/>
      <c r="G9" s="11"/>
      <c r="H9" s="11"/>
      <c r="I9" s="11"/>
      <c r="J9" s="11"/>
      <c r="K9" s="11"/>
      <c r="L9" s="48"/>
      <c r="M9" s="48"/>
      <c r="N9" s="48"/>
      <c r="O9" s="48"/>
      <c r="P9" s="57">
        <v>9</v>
      </c>
      <c r="Q9" s="57">
        <v>30</v>
      </c>
      <c r="R9" s="57">
        <v>36</v>
      </c>
      <c r="S9" s="68">
        <f t="shared" ref="S9:S47" si="1">SUM(P9:R9)/365</f>
        <v>0.20547945205479451</v>
      </c>
      <c r="T9" s="11">
        <f t="shared" si="0"/>
        <v>129</v>
      </c>
      <c r="U9" s="48"/>
      <c r="V9" s="48"/>
      <c r="W9" s="48"/>
      <c r="X9" s="48"/>
      <c r="Y9" s="48"/>
      <c r="Z9" s="51"/>
      <c r="AA9" s="48"/>
      <c r="AB9" s="12"/>
      <c r="AC9" s="12"/>
      <c r="AD9" s="48"/>
      <c r="AE9" s="13"/>
      <c r="AF9" s="48"/>
      <c r="AG9" s="12"/>
    </row>
    <row r="10" spans="1:33" x14ac:dyDescent="0.3">
      <c r="A10" t="s">
        <v>30</v>
      </c>
      <c r="D10" s="48">
        <v>2005</v>
      </c>
      <c r="E10" s="48">
        <v>356464</v>
      </c>
      <c r="F10" s="48"/>
      <c r="G10" s="11"/>
      <c r="H10" s="11"/>
      <c r="I10" s="11"/>
      <c r="J10" s="11"/>
      <c r="K10" s="11"/>
      <c r="L10" s="48"/>
      <c r="M10" s="48"/>
      <c r="N10" s="48"/>
      <c r="O10" s="48"/>
      <c r="P10" s="57">
        <v>9</v>
      </c>
      <c r="Q10" s="57">
        <v>30</v>
      </c>
      <c r="R10" s="57">
        <v>36</v>
      </c>
      <c r="S10" s="68">
        <f t="shared" si="1"/>
        <v>0.20547945205479451</v>
      </c>
      <c r="T10" s="11">
        <f>ROUNDUP((E10*($O$23/100))*(1+S10),0)</f>
        <v>209</v>
      </c>
      <c r="U10" s="48"/>
      <c r="V10" s="48"/>
      <c r="W10" s="48"/>
      <c r="X10" s="48"/>
      <c r="Y10" s="48"/>
      <c r="Z10" s="51"/>
      <c r="AA10" s="48"/>
      <c r="AB10" s="12"/>
      <c r="AC10" s="12"/>
      <c r="AD10" s="48"/>
      <c r="AE10" s="13"/>
      <c r="AF10" s="48"/>
      <c r="AG10" s="12"/>
    </row>
    <row r="11" spans="1:33" x14ac:dyDescent="0.3">
      <c r="A11" t="s">
        <v>32</v>
      </c>
      <c r="D11" s="48">
        <v>2006</v>
      </c>
      <c r="E11" s="48"/>
      <c r="F11" s="69">
        <f>(E10-E8)/(D10-D8)</f>
        <v>9314.4</v>
      </c>
      <c r="G11" s="11">
        <f>($E$10+($F$11*(D11-$D$10)))</f>
        <v>365778.4</v>
      </c>
      <c r="H11" s="12">
        <f>((E10/E8)^(1/(D10-D8)))-1</f>
        <v>3.7661893490898324E-2</v>
      </c>
      <c r="I11" s="11">
        <f>$E$10*((1+$H$11)^(D11-$D$10))</f>
        <v>369889.1092013396</v>
      </c>
      <c r="J11" s="12">
        <f>(LN($E$9)-LN($E$8))/($D$9-$D$8)</f>
        <v>3.2085656733983559E-2</v>
      </c>
      <c r="K11" s="12">
        <f>(LN($E$10)-LN($E$9))/($D$10-$D$9)</f>
        <v>4.0226233624645356E-2</v>
      </c>
      <c r="L11" s="11">
        <f>$E$8*EXP((($J$11+$K$11)/2)*(D11-$D$8))</f>
        <v>363619.5193292331</v>
      </c>
      <c r="M11" s="12">
        <f>(200*($E$10-$E$8))/(($D$10-$D$8)*($E$10+$E$8))</f>
        <v>3.5372930274950631</v>
      </c>
      <c r="N11" s="50">
        <f>IF((200-($M$11*(D11-$D$8)))&lt;=0,"No cumple la condición (200-i*(Tf-Tci)&gt;0)",($E$8*((200+($M$11*(D11-$D$8)))/(200-($M$11*(D11-$D$8))))))</f>
        <v>371282.06180325133</v>
      </c>
      <c r="O11" s="50"/>
      <c r="P11" s="57">
        <v>9</v>
      </c>
      <c r="Q11" s="57">
        <v>30</v>
      </c>
      <c r="R11" s="57">
        <v>36</v>
      </c>
      <c r="S11" s="68">
        <f t="shared" si="1"/>
        <v>0.20547945205479451</v>
      </c>
      <c r="T11" s="11">
        <f t="shared" ref="T11:T47" si="2">ROUNDUP((IF($B$2="Aritmetico",G11,IF($B$2="Geometrico",I11,IF($B$2="Exponencial",L11, IF($B$2="Wappaus",N11,IF($B$2="Sin Seleccionar","","")))))*($O$23/100))*(1+S11),0)</f>
        <v>215</v>
      </c>
      <c r="U11" s="48" t="str">
        <f>IF(T11&lt;=2500,"Bajo",IF(T11&lt;=12500,"Medio",IF(T11&lt;=60000,"Medio Alto",IF(T11="","","Alto"))))</f>
        <v>Bajo</v>
      </c>
      <c r="V11" s="48">
        <f t="shared" ref="V11:V48" si="3">IF(AND(U11="Bajo",$B$4="Frío"),90,IF(AND(U11="Medio",$B$4="Frío"),115,IF(AND(U11="Medio Alto",$B$4="Frío"),125,IF(AND(U11="Alto",$B$4="Frío"),140,IF(AND(U11="Bajo",$B$4="Cálido"),100,IF(AND(U11="Medio",$B$4="Cálido"),125,IF(AND(U11="Medio Alto",$B$4="Cálido"),135,IF(AND(U11="Alto",$B$4="Cálido"),150,""))))))))</f>
        <v>100</v>
      </c>
      <c r="W11" s="48">
        <f>IF($B$3&gt;2000,120,IF(AND($B$3&lt;=2000,$B$3&gt;=1000),130,IF($B$3&lt;1000,140,"Error")))</f>
        <v>140</v>
      </c>
      <c r="X11" s="48">
        <v>25</v>
      </c>
      <c r="Y11" s="48">
        <f>IF(AND(D11&gt;2005,X11&lt;&gt;""),25,"Error")</f>
        <v>25</v>
      </c>
      <c r="Z11" s="51">
        <f>IF($B$5="Entre 0°C y 19°C","No se admite correción por clima",IF(AND($B$5="Mayor a 28°C",U11="Bajo"),15,IF(AND($B$5="Mayor a 28°C",U11="Medio"),15,IF(AND($B$5="Mayor a 28°C",U11="Medio Alto"),20,IF(AND($B$5="Mayor a 28°C",U11="Alto"),20,IF(AND($B$5="Entre 20°C y 28°C",U11="Bajo"),10,IF(AND($B$5="Entre 20°C y 28°C",U11="Medio"),10,IF(AND($B$5="Entre 20°C y 28°C",U11="Medio Alto"),15,IF(AND($B$5="Entre 20°C y 28°C",U11="Alto"),15,"")))))))))</f>
        <v>15</v>
      </c>
      <c r="AA11" s="48">
        <f>IF(V11="","",(V11+(V11*(Z11/100))))</f>
        <v>115</v>
      </c>
      <c r="AB11" s="14">
        <f>IF(AA11="","",(AA11/(1-(Y11/100))))</f>
        <v>153.33333333333334</v>
      </c>
      <c r="AC11" s="14">
        <f t="shared" ref="AC11:AC48" si="4">IF(AB11="","",((T11*AB11)/86400))</f>
        <v>0.3815586419753087</v>
      </c>
      <c r="AD11" s="48">
        <v>1.3</v>
      </c>
      <c r="AE11" s="15">
        <f>IF(AD11="","",(AD11*AC11))</f>
        <v>0.49602623456790135</v>
      </c>
      <c r="AF11" s="48">
        <v>1.6</v>
      </c>
      <c r="AG11" s="14">
        <f>IF(AF11="","",(AF11*AE11))</f>
        <v>0.79364197530864222</v>
      </c>
    </row>
    <row r="12" spans="1:33" x14ac:dyDescent="0.3">
      <c r="A12" t="s">
        <v>1</v>
      </c>
      <c r="D12" s="48">
        <v>2007</v>
      </c>
      <c r="E12" s="48"/>
      <c r="F12" s="48"/>
      <c r="G12" s="11">
        <f t="shared" ref="G12:G48" si="5">($E$10+($F$11*(D12-$D$10)))</f>
        <v>375092.8</v>
      </c>
      <c r="H12" s="11"/>
      <c r="I12" s="11">
        <f t="shared" ref="I12:I48" si="6">$E$10*((1+$H$11)^(D12-$D$10))</f>
        <v>383819.83343552367</v>
      </c>
      <c r="J12" s="11"/>
      <c r="K12" s="11"/>
      <c r="L12" s="11">
        <f t="shared" ref="L12:L48" si="7">$E$8*EXP((($J$11+$K$11)/2)*(D12-$D$8))</f>
        <v>377007.08846492204</v>
      </c>
      <c r="M12" s="11"/>
      <c r="N12" s="50">
        <f t="shared" ref="N12:N48" si="8">IF((200-($M$11*(D12-$D$8)))&lt;=0,"No cumple la condición (200-i*(Tf-Tci)&gt;0)",($E$8*((200+($M$11*(D12-$D$8)))/(200-($M$11*(D12-$D$8))))))</f>
        <v>386958.13667401043</v>
      </c>
      <c r="O12" s="50"/>
      <c r="P12" s="57">
        <v>9</v>
      </c>
      <c r="Q12" s="57">
        <v>30</v>
      </c>
      <c r="R12" s="57">
        <v>36</v>
      </c>
      <c r="S12" s="68">
        <f t="shared" si="1"/>
        <v>0.20547945205479451</v>
      </c>
      <c r="T12" s="11">
        <f t="shared" si="2"/>
        <v>220</v>
      </c>
      <c r="U12" s="48" t="str">
        <f t="shared" ref="U12:U48" si="9">IF(T12&lt;=2500,"Bajo",IF(T12&lt;=12500,"Medio",IF(T12&lt;=60000,"Medio Alto",IF(T12="","","Alto"))))</f>
        <v>Bajo</v>
      </c>
      <c r="V12" s="48">
        <f t="shared" si="3"/>
        <v>100</v>
      </c>
      <c r="W12" s="49">
        <f t="shared" ref="W12:W48" si="10">IF($B$3&gt;2000,120,IF(AND($B$3&lt;=2000,$B$3&gt;=1000),130,IF($B$3&lt;1000,140,"Error")))</f>
        <v>140</v>
      </c>
      <c r="X12" s="48">
        <v>25</v>
      </c>
      <c r="Y12" s="48">
        <f t="shared" ref="Y12:Y22" si="11">IF(AND(D12&gt;2005,X12&lt;&gt;""),25,"Error")</f>
        <v>25</v>
      </c>
      <c r="Z12" s="51">
        <f t="shared" ref="Z12:Z48" si="12">IF($B$5="Entre 0°C y 19°C","No se admite correción por clima",IF(AND($B$5="Mayor a 28°C",U12="Bajo"),15,IF(AND($B$5="Mayor a 28°C",U12="Medio"),15,IF(AND($B$5="Mayor a 28°C",U12="Medio Alto"),20,IF(AND($B$5="Mayor a 28°C",U12="Alto"),20,IF(AND($B$5="Entre 20°C y 28°C",U12="Bajo"),10,IF(AND($B$5="Entre 20°C y 28°C",U12="Medio"),10,IF(AND($B$5="Entre 20°C y 28°C",U12="Medio Alto"),15,IF(AND($B$5="Entre 20°C y 28°C",U12="Alto"),15,"")))))))))</f>
        <v>15</v>
      </c>
      <c r="AA12" s="48">
        <f t="shared" ref="AA12:AA48" si="13">IF(V12="","",(V12+(V12*(Z12/100))))</f>
        <v>115</v>
      </c>
      <c r="AB12" s="14">
        <f t="shared" ref="AB12:AB48" si="14">IF(AA12="","",(AA12/(1-(Y12/100))))</f>
        <v>153.33333333333334</v>
      </c>
      <c r="AC12" s="14">
        <f t="shared" si="4"/>
        <v>0.39043209876543211</v>
      </c>
      <c r="AD12" s="57">
        <v>1.3</v>
      </c>
      <c r="AE12" s="15">
        <f t="shared" ref="AE12:AE48" si="15">IF(AD12="","",(AD12*AC12))</f>
        <v>0.50756172839506175</v>
      </c>
      <c r="AF12" s="57">
        <v>1.6</v>
      </c>
      <c r="AG12" s="14">
        <f t="shared" ref="AG12:AG48" si="16">IF(AF12="","",(AF12*AE12))</f>
        <v>0.8120987654320988</v>
      </c>
    </row>
    <row r="13" spans="1:33" x14ac:dyDescent="0.3">
      <c r="A13" t="s">
        <v>9</v>
      </c>
      <c r="D13" s="48">
        <v>2008</v>
      </c>
      <c r="E13" s="48"/>
      <c r="F13" s="48"/>
      <c r="G13" s="11">
        <f t="shared" si="5"/>
        <v>384407.2</v>
      </c>
      <c r="H13" s="11"/>
      <c r="I13" s="11">
        <f t="shared" si="6"/>
        <v>398275.21512206667</v>
      </c>
      <c r="J13" s="11"/>
      <c r="K13" s="11"/>
      <c r="L13" s="11">
        <f t="shared" si="7"/>
        <v>390887.55470276182</v>
      </c>
      <c r="M13" s="11"/>
      <c r="N13" s="50">
        <f t="shared" si="8"/>
        <v>403568.96902776114</v>
      </c>
      <c r="O13" s="50"/>
      <c r="P13" s="57">
        <v>9</v>
      </c>
      <c r="Q13" s="57">
        <v>30</v>
      </c>
      <c r="R13" s="57">
        <v>36</v>
      </c>
      <c r="S13" s="68">
        <f t="shared" si="1"/>
        <v>0.20547945205479451</v>
      </c>
      <c r="T13" s="11">
        <f t="shared" si="2"/>
        <v>226</v>
      </c>
      <c r="U13" s="48" t="str">
        <f t="shared" si="9"/>
        <v>Bajo</v>
      </c>
      <c r="V13" s="48">
        <f t="shared" si="3"/>
        <v>100</v>
      </c>
      <c r="W13" s="49">
        <f t="shared" si="10"/>
        <v>140</v>
      </c>
      <c r="X13" s="48">
        <v>25</v>
      </c>
      <c r="Y13" s="48">
        <f t="shared" si="11"/>
        <v>25</v>
      </c>
      <c r="Z13" s="51">
        <f t="shared" si="12"/>
        <v>15</v>
      </c>
      <c r="AA13" s="48">
        <f t="shared" si="13"/>
        <v>115</v>
      </c>
      <c r="AB13" s="14">
        <f t="shared" si="14"/>
        <v>153.33333333333334</v>
      </c>
      <c r="AC13" s="14">
        <f t="shared" si="4"/>
        <v>0.4010802469135803</v>
      </c>
      <c r="AD13" s="57">
        <v>1.3</v>
      </c>
      <c r="AE13" s="15">
        <f t="shared" si="15"/>
        <v>0.52140432098765443</v>
      </c>
      <c r="AF13" s="57">
        <v>1.6</v>
      </c>
      <c r="AG13" s="14">
        <f t="shared" si="16"/>
        <v>0.83424691358024716</v>
      </c>
    </row>
    <row r="14" spans="1:33" x14ac:dyDescent="0.3">
      <c r="D14" s="48">
        <v>2009</v>
      </c>
      <c r="E14" s="48"/>
      <c r="F14" s="48"/>
      <c r="G14" s="11">
        <f t="shared" si="5"/>
        <v>393721.59999999998</v>
      </c>
      <c r="H14" s="11"/>
      <c r="I14" s="11">
        <f t="shared" si="6"/>
        <v>413275.01385405858</v>
      </c>
      <c r="J14" s="11"/>
      <c r="K14" s="11"/>
      <c r="L14" s="11">
        <f t="shared" si="7"/>
        <v>405279.06529195403</v>
      </c>
      <c r="M14" s="11"/>
      <c r="N14" s="50">
        <f t="shared" si="8"/>
        <v>421200.73701658618</v>
      </c>
      <c r="O14" s="50"/>
      <c r="P14" s="57">
        <v>9</v>
      </c>
      <c r="Q14" s="57">
        <v>30</v>
      </c>
      <c r="R14" s="57">
        <v>36</v>
      </c>
      <c r="S14" s="68">
        <f t="shared" si="1"/>
        <v>0.20547945205479451</v>
      </c>
      <c r="T14" s="11">
        <f t="shared" si="2"/>
        <v>231</v>
      </c>
      <c r="U14" s="48" t="str">
        <f t="shared" si="9"/>
        <v>Bajo</v>
      </c>
      <c r="V14" s="48">
        <f t="shared" si="3"/>
        <v>100</v>
      </c>
      <c r="W14" s="49">
        <f t="shared" si="10"/>
        <v>140</v>
      </c>
      <c r="X14" s="48">
        <v>25</v>
      </c>
      <c r="Y14" s="48">
        <f t="shared" si="11"/>
        <v>25</v>
      </c>
      <c r="Z14" s="51">
        <f t="shared" si="12"/>
        <v>15</v>
      </c>
      <c r="AA14" s="48">
        <f t="shared" si="13"/>
        <v>115</v>
      </c>
      <c r="AB14" s="14">
        <f t="shared" si="14"/>
        <v>153.33333333333334</v>
      </c>
      <c r="AC14" s="14">
        <f t="shared" si="4"/>
        <v>0.40995370370370371</v>
      </c>
      <c r="AD14" s="57">
        <v>1.3</v>
      </c>
      <c r="AE14" s="15">
        <f t="shared" si="15"/>
        <v>0.53293981481481489</v>
      </c>
      <c r="AF14" s="57">
        <v>1.6</v>
      </c>
      <c r="AG14" s="14">
        <f t="shared" si="16"/>
        <v>0.85270370370370385</v>
      </c>
    </row>
    <row r="15" spans="1:33" x14ac:dyDescent="0.3">
      <c r="D15" s="48">
        <v>2010</v>
      </c>
      <c r="E15" s="48"/>
      <c r="F15" s="48"/>
      <c r="G15" s="11">
        <f t="shared" si="5"/>
        <v>403036</v>
      </c>
      <c r="H15" s="11"/>
      <c r="I15" s="11">
        <f t="shared" si="6"/>
        <v>428839.73340827972</v>
      </c>
      <c r="J15" s="11"/>
      <c r="K15" s="11"/>
      <c r="L15" s="11">
        <f t="shared" si="7"/>
        <v>420200.43561842106</v>
      </c>
      <c r="M15" s="11"/>
      <c r="N15" s="50">
        <f t="shared" si="8"/>
        <v>439950.54802913743</v>
      </c>
      <c r="O15" s="50"/>
      <c r="P15" s="57">
        <v>9</v>
      </c>
      <c r="Q15" s="57">
        <v>30</v>
      </c>
      <c r="R15" s="57">
        <v>36</v>
      </c>
      <c r="S15" s="68">
        <f t="shared" si="1"/>
        <v>0.20547945205479451</v>
      </c>
      <c r="T15" s="11">
        <f t="shared" si="2"/>
        <v>237</v>
      </c>
      <c r="U15" s="48" t="str">
        <f t="shared" si="9"/>
        <v>Bajo</v>
      </c>
      <c r="V15" s="48">
        <f t="shared" si="3"/>
        <v>100</v>
      </c>
      <c r="W15" s="49">
        <f t="shared" si="10"/>
        <v>140</v>
      </c>
      <c r="X15" s="48">
        <v>25</v>
      </c>
      <c r="Y15" s="48">
        <f t="shared" si="11"/>
        <v>25</v>
      </c>
      <c r="Z15" s="51">
        <f t="shared" si="12"/>
        <v>15</v>
      </c>
      <c r="AA15" s="48">
        <f t="shared" si="13"/>
        <v>115</v>
      </c>
      <c r="AB15" s="14">
        <f t="shared" si="14"/>
        <v>153.33333333333334</v>
      </c>
      <c r="AC15" s="14">
        <f t="shared" si="4"/>
        <v>0.42060185185185184</v>
      </c>
      <c r="AD15" s="57">
        <v>1.3</v>
      </c>
      <c r="AE15" s="15">
        <f t="shared" si="15"/>
        <v>0.54678240740740736</v>
      </c>
      <c r="AF15" s="57">
        <v>1.6</v>
      </c>
      <c r="AG15" s="14">
        <f t="shared" si="16"/>
        <v>0.87485185185185177</v>
      </c>
    </row>
    <row r="16" spans="1:33" x14ac:dyDescent="0.3">
      <c r="A16" t="s">
        <v>149</v>
      </c>
      <c r="B16" t="s">
        <v>153</v>
      </c>
      <c r="D16" s="48">
        <v>2011</v>
      </c>
      <c r="E16" s="48"/>
      <c r="F16" s="48"/>
      <c r="G16" s="11">
        <f t="shared" si="5"/>
        <v>412350.4</v>
      </c>
      <c r="H16" s="11"/>
      <c r="I16" s="11">
        <f t="shared" si="6"/>
        <v>444990.64977256744</v>
      </c>
      <c r="J16" s="11"/>
      <c r="K16" s="11"/>
      <c r="L16" s="11">
        <f t="shared" si="7"/>
        <v>435671.17380394397</v>
      </c>
      <c r="M16" s="11"/>
      <c r="N16" s="50">
        <f t="shared" si="8"/>
        <v>459928.22799804277</v>
      </c>
      <c r="O16" s="50"/>
      <c r="P16" s="57">
        <v>9</v>
      </c>
      <c r="Q16" s="57">
        <v>30</v>
      </c>
      <c r="R16" s="57">
        <v>36</v>
      </c>
      <c r="S16" s="68">
        <f t="shared" si="1"/>
        <v>0.20547945205479451</v>
      </c>
      <c r="T16" s="11">
        <f t="shared" si="2"/>
        <v>242</v>
      </c>
      <c r="U16" s="48" t="str">
        <f t="shared" si="9"/>
        <v>Bajo</v>
      </c>
      <c r="V16" s="48">
        <f t="shared" si="3"/>
        <v>100</v>
      </c>
      <c r="W16" s="49">
        <f t="shared" si="10"/>
        <v>140</v>
      </c>
      <c r="X16" s="48">
        <v>25</v>
      </c>
      <c r="Y16" s="48">
        <f t="shared" si="11"/>
        <v>25</v>
      </c>
      <c r="Z16" s="51">
        <f t="shared" si="12"/>
        <v>15</v>
      </c>
      <c r="AA16" s="48">
        <f t="shared" si="13"/>
        <v>115</v>
      </c>
      <c r="AB16" s="14">
        <f t="shared" si="14"/>
        <v>153.33333333333334</v>
      </c>
      <c r="AC16" s="14">
        <f t="shared" si="4"/>
        <v>0.42947530864197536</v>
      </c>
      <c r="AD16" s="57">
        <v>1.3</v>
      </c>
      <c r="AE16" s="15">
        <f t="shared" si="15"/>
        <v>0.55831790123456804</v>
      </c>
      <c r="AF16" s="57">
        <v>1.6</v>
      </c>
      <c r="AG16" s="14">
        <f t="shared" si="16"/>
        <v>0.8933086419753089</v>
      </c>
    </row>
    <row r="17" spans="1:33" x14ac:dyDescent="0.3">
      <c r="A17" t="s">
        <v>150</v>
      </c>
      <c r="B17" t="s">
        <v>5</v>
      </c>
      <c r="D17" s="48">
        <v>2012</v>
      </c>
      <c r="E17" s="48"/>
      <c r="F17" s="48"/>
      <c r="G17" s="11">
        <f t="shared" si="5"/>
        <v>421664.8</v>
      </c>
      <c r="H17" s="11"/>
      <c r="I17" s="11">
        <f t="shared" si="6"/>
        <v>461749.84022874752</v>
      </c>
      <c r="J17" s="11"/>
      <c r="K17" s="11"/>
      <c r="L17" s="11">
        <f t="shared" si="7"/>
        <v>451711.50621097855</v>
      </c>
      <c r="M17" s="11"/>
      <c r="N17" s="50">
        <f t="shared" si="8"/>
        <v>481258.47413640207</v>
      </c>
      <c r="O17" s="50"/>
      <c r="P17" s="57">
        <v>9</v>
      </c>
      <c r="Q17" s="57">
        <v>30</v>
      </c>
      <c r="R17" s="57">
        <v>36</v>
      </c>
      <c r="S17" s="68">
        <f t="shared" si="1"/>
        <v>0.20547945205479451</v>
      </c>
      <c r="T17" s="11">
        <f t="shared" si="2"/>
        <v>247</v>
      </c>
      <c r="U17" s="48" t="str">
        <f t="shared" si="9"/>
        <v>Bajo</v>
      </c>
      <c r="V17" s="48">
        <f t="shared" si="3"/>
        <v>100</v>
      </c>
      <c r="W17" s="49">
        <f t="shared" si="10"/>
        <v>140</v>
      </c>
      <c r="X17" s="48">
        <v>25</v>
      </c>
      <c r="Y17" s="48">
        <f t="shared" si="11"/>
        <v>25</v>
      </c>
      <c r="Z17" s="51">
        <f t="shared" si="12"/>
        <v>15</v>
      </c>
      <c r="AA17" s="48">
        <f t="shared" si="13"/>
        <v>115</v>
      </c>
      <c r="AB17" s="14">
        <f t="shared" si="14"/>
        <v>153.33333333333334</v>
      </c>
      <c r="AC17" s="14">
        <f t="shared" si="4"/>
        <v>0.43834876543209877</v>
      </c>
      <c r="AD17" s="57">
        <v>1.3</v>
      </c>
      <c r="AE17" s="15">
        <f t="shared" si="15"/>
        <v>0.56985339506172838</v>
      </c>
      <c r="AF17" s="57">
        <v>1.6</v>
      </c>
      <c r="AG17" s="14">
        <f t="shared" si="16"/>
        <v>0.91176543209876548</v>
      </c>
    </row>
    <row r="18" spans="1:33" x14ac:dyDescent="0.3">
      <c r="A18" t="s">
        <v>151</v>
      </c>
      <c r="B18" t="s">
        <v>152</v>
      </c>
      <c r="D18" s="48">
        <v>2013</v>
      </c>
      <c r="E18" s="48"/>
      <c r="F18" s="48"/>
      <c r="G18" s="11">
        <f t="shared" si="5"/>
        <v>430979.2</v>
      </c>
      <c r="H18" s="11"/>
      <c r="I18" s="11">
        <f t="shared" si="6"/>
        <v>479140.21353088197</v>
      </c>
      <c r="J18" s="11"/>
      <c r="K18" s="11"/>
      <c r="L18" s="11">
        <f t="shared" si="7"/>
        <v>468342.40388649696</v>
      </c>
      <c r="M18" s="11"/>
      <c r="N18" s="50">
        <f t="shared" si="8"/>
        <v>504083.46024026768</v>
      </c>
      <c r="O18" s="50"/>
      <c r="P18" s="57">
        <v>9</v>
      </c>
      <c r="Q18" s="57">
        <v>30</v>
      </c>
      <c r="R18" s="57">
        <v>36</v>
      </c>
      <c r="S18" s="68">
        <f t="shared" si="1"/>
        <v>0.20547945205479451</v>
      </c>
      <c r="T18" s="11">
        <f t="shared" si="2"/>
        <v>253</v>
      </c>
      <c r="U18" s="48" t="str">
        <f t="shared" si="9"/>
        <v>Bajo</v>
      </c>
      <c r="V18" s="48">
        <f t="shared" si="3"/>
        <v>100</v>
      </c>
      <c r="W18" s="49">
        <f t="shared" si="10"/>
        <v>140</v>
      </c>
      <c r="X18" s="48">
        <v>25</v>
      </c>
      <c r="Y18" s="48">
        <f t="shared" si="11"/>
        <v>25</v>
      </c>
      <c r="Z18" s="51">
        <f t="shared" si="12"/>
        <v>15</v>
      </c>
      <c r="AA18" s="48">
        <f t="shared" si="13"/>
        <v>115</v>
      </c>
      <c r="AB18" s="14">
        <f t="shared" si="14"/>
        <v>153.33333333333334</v>
      </c>
      <c r="AC18" s="14">
        <f t="shared" si="4"/>
        <v>0.44899691358024696</v>
      </c>
      <c r="AD18" s="57">
        <v>1.3</v>
      </c>
      <c r="AE18" s="15">
        <f t="shared" si="15"/>
        <v>0.58369598765432107</v>
      </c>
      <c r="AF18" s="57">
        <v>1.6</v>
      </c>
      <c r="AG18" s="14">
        <f t="shared" si="16"/>
        <v>0.93391358024691373</v>
      </c>
    </row>
    <row r="19" spans="1:33" x14ac:dyDescent="0.3">
      <c r="D19" s="48">
        <v>2014</v>
      </c>
      <c r="E19" s="48"/>
      <c r="F19" s="48"/>
      <c r="G19" s="11">
        <f t="shared" si="5"/>
        <v>440293.6</v>
      </c>
      <c r="H19" s="11"/>
      <c r="I19" s="11">
        <f t="shared" si="6"/>
        <v>497185.54122008831</v>
      </c>
      <c r="J19" s="11"/>
      <c r="K19" s="11"/>
      <c r="L19" s="11">
        <f t="shared" si="7"/>
        <v>485585.60997942463</v>
      </c>
      <c r="M19" s="11"/>
      <c r="N19" s="50">
        <f t="shared" si="8"/>
        <v>528566.0095866872</v>
      </c>
      <c r="O19" s="50"/>
      <c r="P19" s="57">
        <v>9</v>
      </c>
      <c r="Q19" s="57">
        <v>30</v>
      </c>
      <c r="R19" s="57">
        <v>36</v>
      </c>
      <c r="S19" s="68">
        <f t="shared" si="1"/>
        <v>0.20547945205479451</v>
      </c>
      <c r="T19" s="11">
        <f t="shared" si="2"/>
        <v>258</v>
      </c>
      <c r="U19" s="48" t="str">
        <f t="shared" si="9"/>
        <v>Bajo</v>
      </c>
      <c r="V19" s="48">
        <f t="shared" si="3"/>
        <v>100</v>
      </c>
      <c r="W19" s="49">
        <f t="shared" si="10"/>
        <v>140</v>
      </c>
      <c r="X19" s="48">
        <v>25</v>
      </c>
      <c r="Y19" s="48">
        <f t="shared" si="11"/>
        <v>25</v>
      </c>
      <c r="Z19" s="51">
        <f t="shared" si="12"/>
        <v>15</v>
      </c>
      <c r="AA19" s="48">
        <f t="shared" si="13"/>
        <v>115</v>
      </c>
      <c r="AB19" s="14">
        <f t="shared" si="14"/>
        <v>153.33333333333334</v>
      </c>
      <c r="AC19" s="14">
        <f t="shared" si="4"/>
        <v>0.45787037037037037</v>
      </c>
      <c r="AD19" s="57">
        <v>1.3</v>
      </c>
      <c r="AE19" s="15">
        <f t="shared" si="15"/>
        <v>0.59523148148148153</v>
      </c>
      <c r="AF19" s="57">
        <v>1.6</v>
      </c>
      <c r="AG19" s="14">
        <f t="shared" si="16"/>
        <v>0.95237037037037053</v>
      </c>
    </row>
    <row r="20" spans="1:33" x14ac:dyDescent="0.3">
      <c r="D20" s="48">
        <v>2015</v>
      </c>
      <c r="E20" s="48"/>
      <c r="F20" s="48"/>
      <c r="G20" s="11">
        <f t="shared" si="5"/>
        <v>449608</v>
      </c>
      <c r="H20" s="11"/>
      <c r="I20" s="11">
        <f t="shared" si="6"/>
        <v>515910.4901187339</v>
      </c>
      <c r="J20" s="11"/>
      <c r="K20" s="11"/>
      <c r="L20" s="11">
        <f t="shared" si="7"/>
        <v>503463.66816751991</v>
      </c>
      <c r="M20" s="11"/>
      <c r="N20" s="50">
        <f t="shared" si="8"/>
        <v>554893.48512993113</v>
      </c>
      <c r="O20" s="50"/>
      <c r="P20" s="57">
        <v>9</v>
      </c>
      <c r="Q20" s="57">
        <v>30</v>
      </c>
      <c r="R20" s="57">
        <v>36</v>
      </c>
      <c r="S20" s="68">
        <f t="shared" si="1"/>
        <v>0.20547945205479451</v>
      </c>
      <c r="T20" s="11">
        <f t="shared" si="2"/>
        <v>264</v>
      </c>
      <c r="U20" s="48" t="str">
        <f t="shared" si="9"/>
        <v>Bajo</v>
      </c>
      <c r="V20" s="48">
        <f t="shared" si="3"/>
        <v>100</v>
      </c>
      <c r="W20" s="49">
        <f t="shared" si="10"/>
        <v>140</v>
      </c>
      <c r="X20" s="48">
        <v>25</v>
      </c>
      <c r="Y20" s="48">
        <f t="shared" si="11"/>
        <v>25</v>
      </c>
      <c r="Z20" s="51">
        <f t="shared" si="12"/>
        <v>15</v>
      </c>
      <c r="AA20" s="48">
        <f t="shared" si="13"/>
        <v>115</v>
      </c>
      <c r="AB20" s="14">
        <f t="shared" si="14"/>
        <v>153.33333333333334</v>
      </c>
      <c r="AC20" s="14">
        <f t="shared" si="4"/>
        <v>0.4685185185185185</v>
      </c>
      <c r="AD20" s="57">
        <v>1.3</v>
      </c>
      <c r="AE20" s="15">
        <f t="shared" si="15"/>
        <v>0.6090740740740741</v>
      </c>
      <c r="AF20" s="57">
        <v>1.6</v>
      </c>
      <c r="AG20" s="14">
        <f t="shared" si="16"/>
        <v>0.97451851851851856</v>
      </c>
    </row>
    <row r="21" spans="1:33" x14ac:dyDescent="0.3">
      <c r="D21" s="48">
        <v>2016</v>
      </c>
      <c r="E21" s="48"/>
      <c r="F21" s="48"/>
      <c r="G21" s="11">
        <f t="shared" si="5"/>
        <v>458922.4</v>
      </c>
      <c r="H21" s="11"/>
      <c r="I21" s="11">
        <f t="shared" si="6"/>
        <v>535340.6560484228</v>
      </c>
      <c r="J21" s="11"/>
      <c r="K21" s="11"/>
      <c r="L21" s="11">
        <f t="shared" si="7"/>
        <v>521999.95213086082</v>
      </c>
      <c r="M21" s="11"/>
      <c r="N21" s="50">
        <f t="shared" si="8"/>
        <v>583282.59358973929</v>
      </c>
      <c r="O21" s="50"/>
      <c r="P21" s="57">
        <v>9</v>
      </c>
      <c r="Q21" s="57">
        <v>30</v>
      </c>
      <c r="R21" s="57">
        <v>36</v>
      </c>
      <c r="S21" s="68">
        <f t="shared" si="1"/>
        <v>0.20547945205479451</v>
      </c>
      <c r="T21" s="11">
        <f t="shared" si="2"/>
        <v>269</v>
      </c>
      <c r="U21" s="48" t="str">
        <f t="shared" si="9"/>
        <v>Bajo</v>
      </c>
      <c r="V21" s="48">
        <f t="shared" si="3"/>
        <v>100</v>
      </c>
      <c r="W21" s="49">
        <f t="shared" si="10"/>
        <v>140</v>
      </c>
      <c r="X21" s="48">
        <v>25</v>
      </c>
      <c r="Y21" s="48">
        <f t="shared" si="11"/>
        <v>25</v>
      </c>
      <c r="Z21" s="51">
        <f t="shared" si="12"/>
        <v>15</v>
      </c>
      <c r="AA21" s="48">
        <f t="shared" si="13"/>
        <v>115</v>
      </c>
      <c r="AB21" s="14">
        <f t="shared" si="14"/>
        <v>153.33333333333334</v>
      </c>
      <c r="AC21" s="14">
        <f t="shared" si="4"/>
        <v>0.47739197530864202</v>
      </c>
      <c r="AD21" s="57">
        <v>1.3</v>
      </c>
      <c r="AE21" s="15">
        <f t="shared" si="15"/>
        <v>0.62060956790123467</v>
      </c>
      <c r="AF21" s="57">
        <v>1.6</v>
      </c>
      <c r="AG21" s="14">
        <f t="shared" si="16"/>
        <v>0.99297530864197547</v>
      </c>
    </row>
    <row r="22" spans="1:33" x14ac:dyDescent="0.3">
      <c r="D22" s="48">
        <v>2017</v>
      </c>
      <c r="E22" s="48"/>
      <c r="F22" s="48"/>
      <c r="G22" s="11">
        <f t="shared" si="5"/>
        <v>468236.79999999999</v>
      </c>
      <c r="H22" s="11"/>
      <c r="I22" s="11">
        <f t="shared" si="6"/>
        <v>555502.59881786618</v>
      </c>
      <c r="J22" s="11"/>
      <c r="K22" s="11"/>
      <c r="L22" s="11">
        <f t="shared" si="7"/>
        <v>541218.69611047325</v>
      </c>
      <c r="M22" s="11"/>
      <c r="N22" s="50">
        <f t="shared" si="8"/>
        <v>613985.36411362025</v>
      </c>
      <c r="O22" s="50"/>
      <c r="P22" s="57">
        <v>9</v>
      </c>
      <c r="Q22" s="57">
        <v>30</v>
      </c>
      <c r="R22" s="57">
        <v>36</v>
      </c>
      <c r="S22" s="68">
        <f t="shared" si="1"/>
        <v>0.20547945205479451</v>
      </c>
      <c r="T22" s="11">
        <f t="shared" si="2"/>
        <v>275</v>
      </c>
      <c r="U22" s="48" t="str">
        <f t="shared" si="9"/>
        <v>Bajo</v>
      </c>
      <c r="V22" s="48">
        <f t="shared" si="3"/>
        <v>100</v>
      </c>
      <c r="W22" s="49">
        <f t="shared" si="10"/>
        <v>140</v>
      </c>
      <c r="X22" s="48">
        <v>25</v>
      </c>
      <c r="Y22" s="48">
        <f t="shared" si="11"/>
        <v>25</v>
      </c>
      <c r="Z22" s="51">
        <f t="shared" si="12"/>
        <v>15</v>
      </c>
      <c r="AA22" s="48">
        <f t="shared" si="13"/>
        <v>115</v>
      </c>
      <c r="AB22" s="14">
        <f t="shared" si="14"/>
        <v>153.33333333333334</v>
      </c>
      <c r="AC22" s="14">
        <f t="shared" si="4"/>
        <v>0.48804012345679015</v>
      </c>
      <c r="AD22" s="57">
        <v>1.3</v>
      </c>
      <c r="AE22" s="15">
        <f t="shared" si="15"/>
        <v>0.63445216049382724</v>
      </c>
      <c r="AF22" s="57">
        <v>1.6</v>
      </c>
      <c r="AG22" s="14">
        <f t="shared" si="16"/>
        <v>1.0151234567901237</v>
      </c>
    </row>
    <row r="23" spans="1:33" x14ac:dyDescent="0.3">
      <c r="D23" s="48">
        <v>2018</v>
      </c>
      <c r="E23" s="48"/>
      <c r="F23" s="48"/>
      <c r="G23" s="11">
        <f t="shared" si="5"/>
        <v>477551.2</v>
      </c>
      <c r="H23" s="11"/>
      <c r="I23" s="11">
        <f t="shared" si="6"/>
        <v>576423.87852846179</v>
      </c>
      <c r="J23" s="11"/>
      <c r="K23" s="11"/>
      <c r="L23" s="11">
        <f t="shared" si="7"/>
        <v>561145.0265920501</v>
      </c>
      <c r="M23" s="11"/>
      <c r="N23" s="50">
        <f t="shared" si="8"/>
        <v>647296.6507857166</v>
      </c>
      <c r="O23" s="70">
        <f>(232/IF($B$2="Aritmetico",G23,IF($B$2="Geometrico",I23,IF($B$2="Exponencial",L23, IF($B$2="Wappaus",N23,IF($B$2="Sin Seleccionar","",""))))))*100</f>
        <v>4.8581178311351746E-2</v>
      </c>
      <c r="P23" s="57">
        <v>9</v>
      </c>
      <c r="Q23" s="57">
        <v>30</v>
      </c>
      <c r="R23" s="57">
        <v>36</v>
      </c>
      <c r="S23" s="68">
        <f t="shared" si="1"/>
        <v>0.20547945205479451</v>
      </c>
      <c r="T23" s="11">
        <f t="shared" si="2"/>
        <v>280</v>
      </c>
      <c r="U23" s="48" t="str">
        <f t="shared" si="9"/>
        <v>Bajo</v>
      </c>
      <c r="V23" s="48">
        <f t="shared" si="3"/>
        <v>100</v>
      </c>
      <c r="W23" s="49">
        <f t="shared" si="10"/>
        <v>140</v>
      </c>
      <c r="X23" s="48">
        <v>25</v>
      </c>
      <c r="Y23" s="48">
        <f>IF(AND(D23=2018,X23&lt;&gt;""),25,"Error")</f>
        <v>25</v>
      </c>
      <c r="Z23" s="51">
        <f t="shared" si="12"/>
        <v>15</v>
      </c>
      <c r="AA23" s="48">
        <f t="shared" si="13"/>
        <v>115</v>
      </c>
      <c r="AB23" s="14">
        <f t="shared" si="14"/>
        <v>153.33333333333334</v>
      </c>
      <c r="AC23" s="14">
        <f t="shared" si="4"/>
        <v>0.49691358024691362</v>
      </c>
      <c r="AD23" s="57">
        <v>1.3</v>
      </c>
      <c r="AE23" s="15">
        <f t="shared" si="15"/>
        <v>0.6459876543209877</v>
      </c>
      <c r="AF23" s="57">
        <v>1.6</v>
      </c>
      <c r="AG23" s="14">
        <f t="shared" si="16"/>
        <v>1.0335802469135804</v>
      </c>
    </row>
    <row r="24" spans="1:33" x14ac:dyDescent="0.3">
      <c r="D24" s="48">
        <v>2019</v>
      </c>
      <c r="E24" s="48"/>
      <c r="F24" s="48"/>
      <c r="G24" s="11">
        <f t="shared" si="5"/>
        <v>486865.6</v>
      </c>
      <c r="H24" s="11"/>
      <c r="I24" s="11">
        <f t="shared" si="6"/>
        <v>598133.09324721119</v>
      </c>
      <c r="J24" s="11"/>
      <c r="K24" s="11"/>
      <c r="L24" s="11">
        <f t="shared" si="7"/>
        <v>581804.9951561885</v>
      </c>
      <c r="M24" s="11"/>
      <c r="N24" s="50">
        <f t="shared" si="8"/>
        <v>683563.63221789524</v>
      </c>
      <c r="O24" s="50"/>
      <c r="P24" s="57">
        <v>9</v>
      </c>
      <c r="Q24" s="57">
        <v>30</v>
      </c>
      <c r="R24" s="57">
        <v>36</v>
      </c>
      <c r="S24" s="68">
        <f t="shared" si="1"/>
        <v>0.20547945205479451</v>
      </c>
      <c r="T24" s="11">
        <f t="shared" si="2"/>
        <v>286</v>
      </c>
      <c r="U24" s="48" t="str">
        <f t="shared" si="9"/>
        <v>Bajo</v>
      </c>
      <c r="V24" s="48">
        <f t="shared" si="3"/>
        <v>100</v>
      </c>
      <c r="W24" s="49">
        <f t="shared" si="10"/>
        <v>140</v>
      </c>
      <c r="X24" s="48">
        <v>25</v>
      </c>
      <c r="Y24" s="48">
        <f>IF(AND(D24&gt;2018,X24&lt;&gt;""),Y23-0.8,"Error")</f>
        <v>24.2</v>
      </c>
      <c r="Z24" s="51">
        <f t="shared" si="12"/>
        <v>15</v>
      </c>
      <c r="AA24" s="48">
        <f t="shared" si="13"/>
        <v>115</v>
      </c>
      <c r="AB24" s="14">
        <f t="shared" si="14"/>
        <v>151.71503957783642</v>
      </c>
      <c r="AC24" s="14">
        <f t="shared" si="4"/>
        <v>0.50220487638033817</v>
      </c>
      <c r="AD24" s="57">
        <v>1.3</v>
      </c>
      <c r="AE24" s="15">
        <f t="shared" si="15"/>
        <v>0.6528663392944396</v>
      </c>
      <c r="AF24" s="57">
        <v>1.6</v>
      </c>
      <c r="AG24" s="14">
        <f t="shared" si="16"/>
        <v>1.0445861428711034</v>
      </c>
    </row>
    <row r="25" spans="1:33" x14ac:dyDescent="0.3">
      <c r="D25" s="48">
        <v>2020</v>
      </c>
      <c r="E25" s="48"/>
      <c r="F25" s="48"/>
      <c r="G25" s="11">
        <f t="shared" si="5"/>
        <v>496180</v>
      </c>
      <c r="H25" s="11"/>
      <c r="I25" s="11">
        <f t="shared" si="6"/>
        <v>620659.91809846926</v>
      </c>
      <c r="J25" s="11"/>
      <c r="K25" s="11"/>
      <c r="L25" s="11">
        <f t="shared" si="7"/>
        <v>603225.61253809067</v>
      </c>
      <c r="M25" s="11"/>
      <c r="N25" s="50">
        <f t="shared" si="8"/>
        <v>723197.95721605304</v>
      </c>
      <c r="O25" s="50"/>
      <c r="P25" s="57">
        <v>9</v>
      </c>
      <c r="Q25" s="57">
        <v>30</v>
      </c>
      <c r="R25" s="57">
        <v>36</v>
      </c>
      <c r="S25" s="68">
        <f t="shared" si="1"/>
        <v>0.20547945205479451</v>
      </c>
      <c r="T25" s="11">
        <f t="shared" si="2"/>
        <v>291</v>
      </c>
      <c r="U25" s="48" t="str">
        <f t="shared" si="9"/>
        <v>Bajo</v>
      </c>
      <c r="V25" s="48">
        <f t="shared" si="3"/>
        <v>100</v>
      </c>
      <c r="W25" s="49">
        <f t="shared" si="10"/>
        <v>140</v>
      </c>
      <c r="X25" s="48">
        <v>25</v>
      </c>
      <c r="Y25" s="48">
        <f t="shared" ref="Y25:Y48" si="17">IF(AND(D25&gt;2018,X25&lt;&gt;""),Y24-0.8,"Error")</f>
        <v>23.4</v>
      </c>
      <c r="Z25" s="51">
        <f t="shared" si="12"/>
        <v>15</v>
      </c>
      <c r="AA25" s="48">
        <f t="shared" si="13"/>
        <v>115</v>
      </c>
      <c r="AB25" s="14">
        <f t="shared" si="14"/>
        <v>150.13054830287206</v>
      </c>
      <c r="AC25" s="14">
        <f t="shared" si="4"/>
        <v>0.50564802727008995</v>
      </c>
      <c r="AD25" s="57">
        <v>1.3</v>
      </c>
      <c r="AE25" s="15">
        <f t="shared" si="15"/>
        <v>0.65734243545111692</v>
      </c>
      <c r="AF25" s="57">
        <v>1.6</v>
      </c>
      <c r="AG25" s="14">
        <f t="shared" si="16"/>
        <v>1.051747896721787</v>
      </c>
    </row>
    <row r="26" spans="1:33" x14ac:dyDescent="0.3">
      <c r="D26" s="48">
        <v>2021</v>
      </c>
      <c r="E26" s="48"/>
      <c r="F26" s="48"/>
      <c r="G26" s="11">
        <f t="shared" si="5"/>
        <v>505494.4</v>
      </c>
      <c r="H26" s="11"/>
      <c r="I26" s="11">
        <f t="shared" si="6"/>
        <v>644035.14582796348</v>
      </c>
      <c r="J26" s="11"/>
      <c r="K26" s="11"/>
      <c r="L26" s="11">
        <f t="shared" si="7"/>
        <v>625434.88394125749</v>
      </c>
      <c r="M26" s="11"/>
      <c r="N26" s="50">
        <f t="shared" si="8"/>
        <v>766691.43828192959</v>
      </c>
      <c r="O26" s="50"/>
      <c r="P26" s="57">
        <v>9</v>
      </c>
      <c r="Q26" s="57">
        <v>30</v>
      </c>
      <c r="R26" s="57">
        <v>36</v>
      </c>
      <c r="S26" s="68">
        <f t="shared" si="1"/>
        <v>0.20547945205479451</v>
      </c>
      <c r="T26" s="11">
        <f t="shared" si="2"/>
        <v>297</v>
      </c>
      <c r="U26" s="48" t="str">
        <f t="shared" si="9"/>
        <v>Bajo</v>
      </c>
      <c r="V26" s="48">
        <f t="shared" si="3"/>
        <v>100</v>
      </c>
      <c r="W26" s="49">
        <f t="shared" si="10"/>
        <v>140</v>
      </c>
      <c r="X26" s="48">
        <v>25</v>
      </c>
      <c r="Y26" s="48">
        <f t="shared" si="17"/>
        <v>22.599999999999998</v>
      </c>
      <c r="Z26" s="51">
        <f t="shared" si="12"/>
        <v>15</v>
      </c>
      <c r="AA26" s="48">
        <f t="shared" si="13"/>
        <v>115</v>
      </c>
      <c r="AB26" s="14">
        <f t="shared" si="14"/>
        <v>148.57881136950903</v>
      </c>
      <c r="AC26" s="14">
        <f t="shared" si="4"/>
        <v>0.51073966408268734</v>
      </c>
      <c r="AD26" s="57">
        <v>1.3</v>
      </c>
      <c r="AE26" s="15">
        <f t="shared" si="15"/>
        <v>0.66396156330749356</v>
      </c>
      <c r="AF26" s="57">
        <v>1.6</v>
      </c>
      <c r="AG26" s="14">
        <f t="shared" si="16"/>
        <v>1.0623385012919897</v>
      </c>
    </row>
    <row r="27" spans="1:33" x14ac:dyDescent="0.3">
      <c r="D27" s="48">
        <v>2022</v>
      </c>
      <c r="E27" s="48"/>
      <c r="F27" s="48"/>
      <c r="G27" s="11">
        <f t="shared" si="5"/>
        <v>514808.8</v>
      </c>
      <c r="H27" s="11"/>
      <c r="I27" s="11">
        <f t="shared" si="6"/>
        <v>668290.72889453138</v>
      </c>
      <c r="J27" s="11"/>
      <c r="K27" s="11"/>
      <c r="L27" s="11">
        <f t="shared" si="7"/>
        <v>648461.84565134626</v>
      </c>
      <c r="M27" s="11"/>
      <c r="N27" s="50">
        <f t="shared" si="8"/>
        <v>814636.56389857118</v>
      </c>
      <c r="O27" s="50"/>
      <c r="P27" s="57">
        <v>9</v>
      </c>
      <c r="Q27" s="57">
        <v>30</v>
      </c>
      <c r="R27" s="57">
        <v>36</v>
      </c>
      <c r="S27" s="68">
        <f t="shared" si="1"/>
        <v>0.20547945205479451</v>
      </c>
      <c r="T27" s="11">
        <f t="shared" si="2"/>
        <v>302</v>
      </c>
      <c r="U27" s="48" t="str">
        <f t="shared" si="9"/>
        <v>Bajo</v>
      </c>
      <c r="V27" s="48">
        <f t="shared" si="3"/>
        <v>100</v>
      </c>
      <c r="W27" s="49">
        <f t="shared" si="10"/>
        <v>140</v>
      </c>
      <c r="X27" s="48">
        <v>25</v>
      </c>
      <c r="Y27" s="48">
        <f t="shared" si="17"/>
        <v>21.799999999999997</v>
      </c>
      <c r="Z27" s="51">
        <f t="shared" si="12"/>
        <v>15</v>
      </c>
      <c r="AA27" s="48">
        <f t="shared" si="13"/>
        <v>115</v>
      </c>
      <c r="AB27" s="14">
        <f t="shared" si="14"/>
        <v>147.05882352941177</v>
      </c>
      <c r="AC27" s="14">
        <f t="shared" si="4"/>
        <v>0.51402505446623104</v>
      </c>
      <c r="AD27" s="57">
        <v>1.3</v>
      </c>
      <c r="AE27" s="15">
        <f t="shared" si="15"/>
        <v>0.66823257080610032</v>
      </c>
      <c r="AF27" s="57">
        <v>1.6</v>
      </c>
      <c r="AG27" s="14">
        <f t="shared" si="16"/>
        <v>1.0691721132897605</v>
      </c>
    </row>
    <row r="28" spans="1:33" x14ac:dyDescent="0.3">
      <c r="D28" s="48">
        <v>2023</v>
      </c>
      <c r="E28" s="48"/>
      <c r="F28" s="48"/>
      <c r="G28" s="11">
        <f t="shared" si="5"/>
        <v>524123.19999999995</v>
      </c>
      <c r="H28" s="11"/>
      <c r="I28" s="11">
        <f t="shared" si="6"/>
        <v>693459.82314711204</v>
      </c>
      <c r="J28" s="11"/>
      <c r="K28" s="11"/>
      <c r="L28" s="11">
        <f t="shared" si="7"/>
        <v>672336.60299805936</v>
      </c>
      <c r="M28" s="11"/>
      <c r="N28" s="50">
        <f t="shared" si="8"/>
        <v>867753.64894888503</v>
      </c>
      <c r="O28" s="50"/>
      <c r="P28" s="57">
        <v>9</v>
      </c>
      <c r="Q28" s="57">
        <v>30</v>
      </c>
      <c r="R28" s="57">
        <v>36</v>
      </c>
      <c r="S28" s="68">
        <f t="shared" si="1"/>
        <v>0.20547945205479451</v>
      </c>
      <c r="T28" s="11">
        <f t="shared" si="2"/>
        <v>307</v>
      </c>
      <c r="U28" s="48" t="str">
        <f t="shared" si="9"/>
        <v>Bajo</v>
      </c>
      <c r="V28" s="48">
        <f t="shared" si="3"/>
        <v>100</v>
      </c>
      <c r="W28" s="49">
        <f t="shared" si="10"/>
        <v>140</v>
      </c>
      <c r="X28" s="48">
        <v>25</v>
      </c>
      <c r="Y28" s="48">
        <f t="shared" si="17"/>
        <v>20.999999999999996</v>
      </c>
      <c r="Z28" s="51">
        <f t="shared" si="12"/>
        <v>15</v>
      </c>
      <c r="AA28" s="48">
        <f t="shared" si="13"/>
        <v>115</v>
      </c>
      <c r="AB28" s="14">
        <f t="shared" si="14"/>
        <v>145.56962025316454</v>
      </c>
      <c r="AC28" s="14">
        <f t="shared" si="4"/>
        <v>0.5172439052977027</v>
      </c>
      <c r="AD28" s="57">
        <v>1.3</v>
      </c>
      <c r="AE28" s="15">
        <f t="shared" si="15"/>
        <v>0.67241707688701358</v>
      </c>
      <c r="AF28" s="57">
        <v>1.6</v>
      </c>
      <c r="AG28" s="14">
        <f t="shared" si="16"/>
        <v>1.0758673230192217</v>
      </c>
    </row>
    <row r="29" spans="1:33" x14ac:dyDescent="0.3">
      <c r="D29" s="48">
        <v>2024</v>
      </c>
      <c r="E29" s="48"/>
      <c r="F29" s="48"/>
      <c r="G29" s="11">
        <f t="shared" si="5"/>
        <v>533437.6</v>
      </c>
      <c r="H29" s="11"/>
      <c r="I29" s="11">
        <f t="shared" si="6"/>
        <v>719576.83314669575</v>
      </c>
      <c r="J29" s="11"/>
      <c r="K29" s="11"/>
      <c r="L29" s="11">
        <f t="shared" si="7"/>
        <v>697090.36971469456</v>
      </c>
      <c r="M29" s="11"/>
      <c r="N29" s="50">
        <f t="shared" si="8"/>
        <v>926927.27240320621</v>
      </c>
      <c r="O29" s="50"/>
      <c r="P29" s="57">
        <v>9</v>
      </c>
      <c r="Q29" s="57">
        <v>30</v>
      </c>
      <c r="R29" s="57">
        <v>36</v>
      </c>
      <c r="S29" s="68">
        <f t="shared" si="1"/>
        <v>0.20547945205479451</v>
      </c>
      <c r="T29" s="11">
        <f t="shared" si="2"/>
        <v>313</v>
      </c>
      <c r="U29" s="48" t="str">
        <f t="shared" si="9"/>
        <v>Bajo</v>
      </c>
      <c r="V29" s="48">
        <f t="shared" si="3"/>
        <v>100</v>
      </c>
      <c r="W29" s="49">
        <f t="shared" si="10"/>
        <v>140</v>
      </c>
      <c r="X29" s="48">
        <v>25</v>
      </c>
      <c r="Y29" s="48">
        <f t="shared" si="17"/>
        <v>20.199999999999996</v>
      </c>
      <c r="Z29" s="51">
        <f t="shared" si="12"/>
        <v>15</v>
      </c>
      <c r="AA29" s="48">
        <f t="shared" si="13"/>
        <v>115</v>
      </c>
      <c r="AB29" s="14">
        <f t="shared" si="14"/>
        <v>144.11027568922304</v>
      </c>
      <c r="AC29" s="14">
        <f t="shared" si="4"/>
        <v>0.52206616077230106</v>
      </c>
      <c r="AD29" s="57">
        <v>1.3</v>
      </c>
      <c r="AE29" s="15">
        <f t="shared" si="15"/>
        <v>0.67868600900399145</v>
      </c>
      <c r="AF29" s="57">
        <v>1.6</v>
      </c>
      <c r="AG29" s="14">
        <f t="shared" si="16"/>
        <v>1.0858976144063863</v>
      </c>
    </row>
    <row r="30" spans="1:33" x14ac:dyDescent="0.3">
      <c r="D30" s="48">
        <v>2025</v>
      </c>
      <c r="E30" s="48"/>
      <c r="F30" s="48"/>
      <c r="G30" s="11">
        <f t="shared" si="5"/>
        <v>542752</v>
      </c>
      <c r="H30" s="11"/>
      <c r="I30" s="11">
        <f t="shared" si="6"/>
        <v>746677.45919518452</v>
      </c>
      <c r="J30" s="11"/>
      <c r="K30" s="11"/>
      <c r="L30" s="11">
        <f t="shared" si="7"/>
        <v>722755.50874681736</v>
      </c>
      <c r="M30" s="11"/>
      <c r="N30" s="50">
        <f t="shared" si="8"/>
        <v>993255.93270329246</v>
      </c>
      <c r="O30" s="50"/>
      <c r="P30" s="57">
        <v>9</v>
      </c>
      <c r="Q30" s="57">
        <v>30</v>
      </c>
      <c r="R30" s="57">
        <v>36</v>
      </c>
      <c r="S30" s="68">
        <f t="shared" si="1"/>
        <v>0.20547945205479451</v>
      </c>
      <c r="T30" s="11">
        <f t="shared" si="2"/>
        <v>318</v>
      </c>
      <c r="U30" s="48" t="str">
        <f t="shared" si="9"/>
        <v>Bajo</v>
      </c>
      <c r="V30" s="48">
        <f t="shared" si="3"/>
        <v>100</v>
      </c>
      <c r="W30" s="49">
        <f t="shared" si="10"/>
        <v>140</v>
      </c>
      <c r="X30" s="48">
        <v>25</v>
      </c>
      <c r="Y30" s="48">
        <f t="shared" si="17"/>
        <v>19.399999999999995</v>
      </c>
      <c r="Z30" s="51">
        <f t="shared" si="12"/>
        <v>15</v>
      </c>
      <c r="AA30" s="48">
        <f t="shared" si="13"/>
        <v>115</v>
      </c>
      <c r="AB30" s="14">
        <f t="shared" si="14"/>
        <v>142.67990074441687</v>
      </c>
      <c r="AC30" s="14">
        <f t="shared" si="4"/>
        <v>0.5251413013509787</v>
      </c>
      <c r="AD30" s="57">
        <v>1.3</v>
      </c>
      <c r="AE30" s="15">
        <f t="shared" si="15"/>
        <v>0.6826836917562723</v>
      </c>
      <c r="AF30" s="57">
        <v>1.6</v>
      </c>
      <c r="AG30" s="14">
        <f t="shared" si="16"/>
        <v>1.0922939068100357</v>
      </c>
    </row>
    <row r="31" spans="1:33" x14ac:dyDescent="0.3">
      <c r="D31" s="48">
        <v>2026</v>
      </c>
      <c r="E31" s="48"/>
      <c r="F31" s="48"/>
      <c r="G31" s="11">
        <f t="shared" si="5"/>
        <v>552066.4</v>
      </c>
      <c r="H31" s="11"/>
      <c r="I31" s="11">
        <f t="shared" si="6"/>
        <v>774798.74613544811</v>
      </c>
      <c r="J31" s="11"/>
      <c r="K31" s="11"/>
      <c r="L31" s="11">
        <f t="shared" si="7"/>
        <v>749365.57456340827</v>
      </c>
      <c r="M31" s="11"/>
      <c r="N31" s="50">
        <f t="shared" si="8"/>
        <v>1068120.8746027623</v>
      </c>
      <c r="O31" s="50"/>
      <c r="P31" s="57">
        <v>9</v>
      </c>
      <c r="Q31" s="57">
        <v>30</v>
      </c>
      <c r="R31" s="57">
        <v>36</v>
      </c>
      <c r="S31" s="68">
        <f t="shared" si="1"/>
        <v>0.20547945205479451</v>
      </c>
      <c r="T31" s="11">
        <f t="shared" si="2"/>
        <v>324</v>
      </c>
      <c r="U31" s="48" t="str">
        <f t="shared" si="9"/>
        <v>Bajo</v>
      </c>
      <c r="V31" s="48">
        <f t="shared" si="3"/>
        <v>100</v>
      </c>
      <c r="W31" s="49">
        <f t="shared" si="10"/>
        <v>140</v>
      </c>
      <c r="X31" s="48">
        <v>25</v>
      </c>
      <c r="Y31" s="48">
        <f t="shared" si="17"/>
        <v>18.599999999999994</v>
      </c>
      <c r="Z31" s="51">
        <f t="shared" si="12"/>
        <v>15</v>
      </c>
      <c r="AA31" s="48">
        <f t="shared" si="13"/>
        <v>115</v>
      </c>
      <c r="AB31" s="14">
        <f t="shared" si="14"/>
        <v>141.27764127764127</v>
      </c>
      <c r="AC31" s="14">
        <f t="shared" si="4"/>
        <v>0.52979115479115479</v>
      </c>
      <c r="AD31" s="57">
        <v>1.3</v>
      </c>
      <c r="AE31" s="15">
        <f t="shared" si="15"/>
        <v>0.68872850122850127</v>
      </c>
      <c r="AF31" s="57">
        <v>1.6</v>
      </c>
      <c r="AG31" s="14">
        <f t="shared" si="16"/>
        <v>1.1019656019656021</v>
      </c>
    </row>
    <row r="32" spans="1:33" x14ac:dyDescent="0.3">
      <c r="D32" s="48">
        <v>2027</v>
      </c>
      <c r="E32" s="48"/>
      <c r="F32" s="48"/>
      <c r="G32" s="11">
        <f t="shared" si="5"/>
        <v>561380.80000000005</v>
      </c>
      <c r="H32" s="11"/>
      <c r="I32" s="11">
        <f t="shared" si="6"/>
        <v>803979.13398928277</v>
      </c>
      <c r="J32" s="11"/>
      <c r="K32" s="11"/>
      <c r="L32" s="11">
        <f t="shared" si="7"/>
        <v>776955.35702579981</v>
      </c>
      <c r="M32" s="11"/>
      <c r="N32" s="50">
        <f t="shared" si="8"/>
        <v>1153283.3169279476</v>
      </c>
      <c r="O32" s="50"/>
      <c r="P32" s="57">
        <v>9</v>
      </c>
      <c r="Q32" s="57">
        <v>30</v>
      </c>
      <c r="R32" s="57">
        <v>36</v>
      </c>
      <c r="S32" s="68">
        <f t="shared" si="1"/>
        <v>0.20547945205479451</v>
      </c>
      <c r="T32" s="11">
        <f t="shared" si="2"/>
        <v>329</v>
      </c>
      <c r="U32" s="48" t="str">
        <f t="shared" si="9"/>
        <v>Bajo</v>
      </c>
      <c r="V32" s="48">
        <f t="shared" si="3"/>
        <v>100</v>
      </c>
      <c r="W32" s="49">
        <f t="shared" si="10"/>
        <v>140</v>
      </c>
      <c r="X32" s="48">
        <v>25</v>
      </c>
      <c r="Y32" s="48">
        <f t="shared" si="17"/>
        <v>17.799999999999994</v>
      </c>
      <c r="Z32" s="51">
        <f t="shared" si="12"/>
        <v>15</v>
      </c>
      <c r="AA32" s="48">
        <f t="shared" si="13"/>
        <v>115</v>
      </c>
      <c r="AB32" s="14">
        <f t="shared" si="14"/>
        <v>139.90267639902675</v>
      </c>
      <c r="AC32" s="14">
        <f t="shared" si="4"/>
        <v>0.5327312561953681</v>
      </c>
      <c r="AD32" s="57">
        <v>1.3</v>
      </c>
      <c r="AE32" s="15">
        <f t="shared" si="15"/>
        <v>0.69255063305397857</v>
      </c>
      <c r="AF32" s="57">
        <v>1.6</v>
      </c>
      <c r="AG32" s="14">
        <f t="shared" si="16"/>
        <v>1.1080810128863658</v>
      </c>
    </row>
    <row r="33" spans="4:33" x14ac:dyDescent="0.3">
      <c r="D33" s="48">
        <v>2028</v>
      </c>
      <c r="E33" s="48"/>
      <c r="F33" s="48"/>
      <c r="G33" s="11">
        <f t="shared" si="5"/>
        <v>570695.19999999995</v>
      </c>
      <c r="H33" s="11"/>
      <c r="I33" s="11">
        <f t="shared" si="6"/>
        <v>834258.51050249184</v>
      </c>
      <c r="J33" s="11"/>
      <c r="K33" s="11"/>
      <c r="L33" s="11">
        <f t="shared" si="7"/>
        <v>805560.92687175993</v>
      </c>
      <c r="M33" s="11"/>
      <c r="N33" s="50">
        <f t="shared" si="8"/>
        <v>1251024.7637122509</v>
      </c>
      <c r="O33" s="50"/>
      <c r="P33" s="57">
        <v>9</v>
      </c>
      <c r="Q33" s="57">
        <v>30</v>
      </c>
      <c r="R33" s="57">
        <v>36</v>
      </c>
      <c r="S33" s="68">
        <f t="shared" si="1"/>
        <v>0.20547945205479451</v>
      </c>
      <c r="T33" s="11">
        <f t="shared" si="2"/>
        <v>335</v>
      </c>
      <c r="U33" s="48" t="str">
        <f t="shared" si="9"/>
        <v>Bajo</v>
      </c>
      <c r="V33" s="48">
        <f t="shared" si="3"/>
        <v>100</v>
      </c>
      <c r="W33" s="49">
        <f t="shared" si="10"/>
        <v>140</v>
      </c>
      <c r="X33" s="48">
        <v>25</v>
      </c>
      <c r="Y33" s="48">
        <f t="shared" si="17"/>
        <v>16.999999999999993</v>
      </c>
      <c r="Z33" s="51">
        <f t="shared" si="12"/>
        <v>15</v>
      </c>
      <c r="AA33" s="48">
        <f t="shared" si="13"/>
        <v>115</v>
      </c>
      <c r="AB33" s="14">
        <f t="shared" si="14"/>
        <v>138.55421686746988</v>
      </c>
      <c r="AC33" s="14">
        <f t="shared" si="4"/>
        <v>0.5372183177153057</v>
      </c>
      <c r="AD33" s="57">
        <v>1.3</v>
      </c>
      <c r="AE33" s="15">
        <f t="shared" si="15"/>
        <v>0.69838381302989749</v>
      </c>
      <c r="AF33" s="57">
        <v>1.6</v>
      </c>
      <c r="AG33" s="14">
        <f t="shared" si="16"/>
        <v>1.117414100847836</v>
      </c>
    </row>
    <row r="34" spans="4:33" x14ac:dyDescent="0.3">
      <c r="D34" s="48">
        <v>2029</v>
      </c>
      <c r="E34" s="48"/>
      <c r="F34" s="48"/>
      <c r="G34" s="11">
        <f t="shared" si="5"/>
        <v>580009.6</v>
      </c>
      <c r="H34" s="11"/>
      <c r="I34" s="11">
        <f t="shared" si="6"/>
        <v>865678.26566891221</v>
      </c>
      <c r="J34" s="11"/>
      <c r="K34" s="11"/>
      <c r="L34" s="11">
        <f t="shared" si="7"/>
        <v>835219.68287418631</v>
      </c>
      <c r="M34" s="11"/>
      <c r="N34" s="50">
        <f t="shared" si="8"/>
        <v>1364354.4476467045</v>
      </c>
      <c r="O34" s="50"/>
      <c r="P34" s="57">
        <v>9</v>
      </c>
      <c r="Q34" s="57">
        <v>30</v>
      </c>
      <c r="R34" s="57">
        <v>36</v>
      </c>
      <c r="S34" s="68">
        <f t="shared" si="1"/>
        <v>0.20547945205479451</v>
      </c>
      <c r="T34" s="11">
        <f t="shared" si="2"/>
        <v>340</v>
      </c>
      <c r="U34" s="48" t="str">
        <f t="shared" si="9"/>
        <v>Bajo</v>
      </c>
      <c r="V34" s="48">
        <f t="shared" si="3"/>
        <v>100</v>
      </c>
      <c r="W34" s="49">
        <f t="shared" si="10"/>
        <v>140</v>
      </c>
      <c r="X34" s="48">
        <v>25</v>
      </c>
      <c r="Y34" s="48">
        <f t="shared" si="17"/>
        <v>16.199999999999992</v>
      </c>
      <c r="Z34" s="51">
        <f t="shared" si="12"/>
        <v>15</v>
      </c>
      <c r="AA34" s="48">
        <f t="shared" si="13"/>
        <v>115</v>
      </c>
      <c r="AB34" s="14">
        <f t="shared" si="14"/>
        <v>137.23150357995226</v>
      </c>
      <c r="AC34" s="14">
        <f t="shared" si="4"/>
        <v>0.54003137982851579</v>
      </c>
      <c r="AD34" s="57">
        <v>1.3</v>
      </c>
      <c r="AE34" s="15">
        <f t="shared" si="15"/>
        <v>0.70204079377707052</v>
      </c>
      <c r="AF34" s="57">
        <v>1.6</v>
      </c>
      <c r="AG34" s="14">
        <f t="shared" si="16"/>
        <v>1.1232652700433128</v>
      </c>
    </row>
    <row r="35" spans="4:33" x14ac:dyDescent="0.3">
      <c r="D35" s="48">
        <v>2030</v>
      </c>
      <c r="E35" s="48"/>
      <c r="F35" s="48"/>
      <c r="G35" s="11">
        <f t="shared" si="5"/>
        <v>589324</v>
      </c>
      <c r="H35" s="11"/>
      <c r="I35" s="11">
        <f t="shared" si="6"/>
        <v>898281.34830792039</v>
      </c>
      <c r="J35" s="11"/>
      <c r="K35" s="11"/>
      <c r="L35" s="11">
        <f t="shared" si="7"/>
        <v>865970.40073606849</v>
      </c>
      <c r="M35" s="11"/>
      <c r="N35" s="50">
        <f t="shared" si="8"/>
        <v>1497324.6259070437</v>
      </c>
      <c r="O35" s="50"/>
      <c r="P35" s="57">
        <v>9</v>
      </c>
      <c r="Q35" s="57">
        <v>30</v>
      </c>
      <c r="R35" s="57">
        <v>36</v>
      </c>
      <c r="S35" s="68">
        <f t="shared" si="1"/>
        <v>0.20547945205479451</v>
      </c>
      <c r="T35" s="11">
        <f t="shared" si="2"/>
        <v>346</v>
      </c>
      <c r="U35" s="48" t="str">
        <f t="shared" si="9"/>
        <v>Bajo</v>
      </c>
      <c r="V35" s="48">
        <f t="shared" si="3"/>
        <v>100</v>
      </c>
      <c r="W35" s="49">
        <f t="shared" si="10"/>
        <v>140</v>
      </c>
      <c r="X35" s="48">
        <v>25</v>
      </c>
      <c r="Y35" s="48">
        <f t="shared" si="17"/>
        <v>15.399999999999991</v>
      </c>
      <c r="Z35" s="51">
        <f t="shared" si="12"/>
        <v>15</v>
      </c>
      <c r="AA35" s="48">
        <f t="shared" si="13"/>
        <v>115</v>
      </c>
      <c r="AB35" s="14">
        <f t="shared" si="14"/>
        <v>135.9338061465721</v>
      </c>
      <c r="AC35" s="14">
        <f t="shared" si="4"/>
        <v>0.54436454776289289</v>
      </c>
      <c r="AD35" s="57">
        <v>1.3</v>
      </c>
      <c r="AE35" s="15">
        <f t="shared" si="15"/>
        <v>0.70767391209176078</v>
      </c>
      <c r="AF35" s="57">
        <v>1.6</v>
      </c>
      <c r="AG35" s="14">
        <f t="shared" si="16"/>
        <v>1.1322782593468173</v>
      </c>
    </row>
    <row r="36" spans="4:33" x14ac:dyDescent="0.3">
      <c r="D36" s="48">
        <v>2031</v>
      </c>
      <c r="E36" s="48"/>
      <c r="F36" s="48"/>
      <c r="G36" s="11">
        <f t="shared" si="5"/>
        <v>598638.4</v>
      </c>
      <c r="H36" s="11"/>
      <c r="I36" s="11">
        <f t="shared" si="6"/>
        <v>932112.32477275375</v>
      </c>
      <c r="J36" s="11"/>
      <c r="K36" s="11"/>
      <c r="L36" s="11">
        <f t="shared" si="7"/>
        <v>897853.28378563735</v>
      </c>
      <c r="M36" s="11"/>
      <c r="N36" s="50">
        <f t="shared" si="8"/>
        <v>1655525.3542804066</v>
      </c>
      <c r="O36" s="50"/>
      <c r="P36" s="57">
        <v>9</v>
      </c>
      <c r="Q36" s="57">
        <v>30</v>
      </c>
      <c r="R36" s="57">
        <v>36</v>
      </c>
      <c r="S36" s="68">
        <f t="shared" si="1"/>
        <v>0.20547945205479451</v>
      </c>
      <c r="T36" s="11">
        <f t="shared" si="2"/>
        <v>351</v>
      </c>
      <c r="U36" s="48" t="str">
        <f t="shared" si="9"/>
        <v>Bajo</v>
      </c>
      <c r="V36" s="48">
        <f t="shared" si="3"/>
        <v>100</v>
      </c>
      <c r="W36" s="49">
        <f t="shared" si="10"/>
        <v>140</v>
      </c>
      <c r="X36" s="48">
        <v>25</v>
      </c>
      <c r="Y36" s="48">
        <f t="shared" si="17"/>
        <v>14.599999999999991</v>
      </c>
      <c r="Z36" s="51">
        <f t="shared" si="12"/>
        <v>15</v>
      </c>
      <c r="AA36" s="48">
        <f t="shared" si="13"/>
        <v>115</v>
      </c>
      <c r="AB36" s="14">
        <f t="shared" si="14"/>
        <v>134.66042154566745</v>
      </c>
      <c r="AC36" s="14">
        <f t="shared" si="4"/>
        <v>0.54705796252927397</v>
      </c>
      <c r="AD36" s="57">
        <v>1.3</v>
      </c>
      <c r="AE36" s="15">
        <f t="shared" si="15"/>
        <v>0.7111753512880562</v>
      </c>
      <c r="AF36" s="57">
        <v>1.6</v>
      </c>
      <c r="AG36" s="14">
        <f t="shared" si="16"/>
        <v>1.1378805620608901</v>
      </c>
    </row>
    <row r="37" spans="4:33" x14ac:dyDescent="0.3">
      <c r="D37" s="48">
        <v>2032</v>
      </c>
      <c r="E37" s="48"/>
      <c r="F37" s="48"/>
      <c r="G37" s="11">
        <f t="shared" si="5"/>
        <v>607952.80000000005</v>
      </c>
      <c r="H37" s="11"/>
      <c r="I37" s="11">
        <f t="shared" si="6"/>
        <v>967217.43986989895</v>
      </c>
      <c r="J37" s="11"/>
      <c r="K37" s="11"/>
      <c r="L37" s="11">
        <f t="shared" si="7"/>
        <v>930910.01553798921</v>
      </c>
      <c r="M37" s="11"/>
      <c r="N37" s="50">
        <f t="shared" si="8"/>
        <v>1846890.4265972869</v>
      </c>
      <c r="O37" s="50"/>
      <c r="P37" s="57">
        <v>9</v>
      </c>
      <c r="Q37" s="57">
        <v>30</v>
      </c>
      <c r="R37" s="57">
        <v>36</v>
      </c>
      <c r="S37" s="68">
        <f t="shared" si="1"/>
        <v>0.20547945205479451</v>
      </c>
      <c r="T37" s="11">
        <f t="shared" si="2"/>
        <v>357</v>
      </c>
      <c r="U37" s="48" t="str">
        <f t="shared" si="9"/>
        <v>Bajo</v>
      </c>
      <c r="V37" s="48">
        <f t="shared" si="3"/>
        <v>100</v>
      </c>
      <c r="W37" s="49">
        <f t="shared" si="10"/>
        <v>140</v>
      </c>
      <c r="X37" s="48">
        <v>25</v>
      </c>
      <c r="Y37" s="48">
        <f t="shared" si="17"/>
        <v>13.79999999999999</v>
      </c>
      <c r="Z37" s="51">
        <f t="shared" si="12"/>
        <v>15</v>
      </c>
      <c r="AA37" s="48">
        <f t="shared" si="13"/>
        <v>115</v>
      </c>
      <c r="AB37" s="14">
        <f t="shared" si="14"/>
        <v>133.41067285382829</v>
      </c>
      <c r="AC37" s="14">
        <f t="shared" si="4"/>
        <v>0.55124548852797106</v>
      </c>
      <c r="AD37" s="57">
        <v>1.3</v>
      </c>
      <c r="AE37" s="15">
        <f t="shared" si="15"/>
        <v>0.71661913508636244</v>
      </c>
      <c r="AF37" s="57">
        <v>1.6</v>
      </c>
      <c r="AG37" s="14">
        <f t="shared" si="16"/>
        <v>1.14659061613818</v>
      </c>
    </row>
    <row r="38" spans="4:33" x14ac:dyDescent="0.3">
      <c r="D38" s="48">
        <v>2033</v>
      </c>
      <c r="E38" s="48"/>
      <c r="F38" s="48"/>
      <c r="G38" s="11">
        <f t="shared" si="5"/>
        <v>617267.19999999995</v>
      </c>
      <c r="H38" s="11"/>
      <c r="I38" s="11">
        <f t="shared" si="6"/>
        <v>1003644.6800728183</v>
      </c>
      <c r="J38" s="11"/>
      <c r="K38" s="11"/>
      <c r="L38" s="11">
        <f t="shared" si="7"/>
        <v>965183.81419189496</v>
      </c>
      <c r="M38" s="11"/>
      <c r="N38" s="50">
        <f t="shared" si="8"/>
        <v>2083069.5207369558</v>
      </c>
      <c r="O38" s="50"/>
      <c r="P38" s="57">
        <v>9</v>
      </c>
      <c r="Q38" s="57">
        <v>30</v>
      </c>
      <c r="R38" s="57">
        <v>36</v>
      </c>
      <c r="S38" s="68">
        <f t="shared" si="1"/>
        <v>0.20547945205479451</v>
      </c>
      <c r="T38" s="11">
        <f t="shared" si="2"/>
        <v>362</v>
      </c>
      <c r="U38" s="48" t="str">
        <f t="shared" si="9"/>
        <v>Bajo</v>
      </c>
      <c r="V38" s="48">
        <f t="shared" si="3"/>
        <v>100</v>
      </c>
      <c r="W38" s="49">
        <f t="shared" si="10"/>
        <v>140</v>
      </c>
      <c r="X38" s="48">
        <v>25</v>
      </c>
      <c r="Y38" s="48">
        <f t="shared" si="17"/>
        <v>12.999999999999989</v>
      </c>
      <c r="Z38" s="51">
        <f t="shared" si="12"/>
        <v>15</v>
      </c>
      <c r="AA38" s="48">
        <f t="shared" si="13"/>
        <v>115</v>
      </c>
      <c r="AB38" s="14">
        <f t="shared" si="14"/>
        <v>132.18390804597701</v>
      </c>
      <c r="AC38" s="14">
        <f t="shared" si="4"/>
        <v>0.55382609621115364</v>
      </c>
      <c r="AD38" s="57">
        <v>1.3</v>
      </c>
      <c r="AE38" s="15">
        <f t="shared" si="15"/>
        <v>0.71997392507449975</v>
      </c>
      <c r="AF38" s="57">
        <v>1.6</v>
      </c>
      <c r="AG38" s="14">
        <f t="shared" si="16"/>
        <v>1.1519582801191997</v>
      </c>
    </row>
    <row r="39" spans="4:33" x14ac:dyDescent="0.3">
      <c r="D39" s="48">
        <v>2034</v>
      </c>
      <c r="E39" s="48"/>
      <c r="F39" s="48"/>
      <c r="G39" s="11">
        <f t="shared" si="5"/>
        <v>626581.6</v>
      </c>
      <c r="H39" s="11"/>
      <c r="I39" s="11">
        <f t="shared" si="6"/>
        <v>1041443.8391164275</v>
      </c>
      <c r="J39" s="11"/>
      <c r="K39" s="11"/>
      <c r="L39" s="11">
        <f t="shared" si="7"/>
        <v>1000719.4891330481</v>
      </c>
      <c r="M39" s="11"/>
      <c r="N39" s="50">
        <f t="shared" si="8"/>
        <v>2381892.178556378</v>
      </c>
      <c r="O39" s="50"/>
      <c r="P39" s="57">
        <v>9</v>
      </c>
      <c r="Q39" s="57">
        <v>30</v>
      </c>
      <c r="R39" s="57">
        <v>36</v>
      </c>
      <c r="S39" s="68">
        <f t="shared" si="1"/>
        <v>0.20547945205479451</v>
      </c>
      <c r="T39" s="11">
        <f t="shared" si="2"/>
        <v>367</v>
      </c>
      <c r="U39" s="48" t="str">
        <f t="shared" si="9"/>
        <v>Bajo</v>
      </c>
      <c r="V39" s="48">
        <f t="shared" si="3"/>
        <v>100</v>
      </c>
      <c r="W39" s="49">
        <f t="shared" si="10"/>
        <v>140</v>
      </c>
      <c r="X39" s="48">
        <v>25</v>
      </c>
      <c r="Y39" s="48">
        <f t="shared" si="17"/>
        <v>12.199999999999989</v>
      </c>
      <c r="Z39" s="51">
        <f t="shared" si="12"/>
        <v>15</v>
      </c>
      <c r="AA39" s="48">
        <f t="shared" si="13"/>
        <v>115</v>
      </c>
      <c r="AB39" s="14">
        <f t="shared" si="14"/>
        <v>130.97949886104783</v>
      </c>
      <c r="AC39" s="14">
        <f t="shared" si="4"/>
        <v>0.55635967687505272</v>
      </c>
      <c r="AD39" s="57">
        <v>1.3</v>
      </c>
      <c r="AE39" s="15">
        <f t="shared" si="15"/>
        <v>0.72326757993756852</v>
      </c>
      <c r="AF39" s="57">
        <v>1.6</v>
      </c>
      <c r="AG39" s="14">
        <f t="shared" si="16"/>
        <v>1.1572281279001098</v>
      </c>
    </row>
    <row r="40" spans="4:33" x14ac:dyDescent="0.3">
      <c r="D40" s="48">
        <v>2035</v>
      </c>
      <c r="E40" s="48"/>
      <c r="F40" s="48"/>
      <c r="G40" s="11">
        <f t="shared" si="5"/>
        <v>635896</v>
      </c>
      <c r="H40" s="11"/>
      <c r="I40" s="11">
        <f t="shared" si="6"/>
        <v>1080666.5860619824</v>
      </c>
      <c r="J40" s="11"/>
      <c r="K40" s="11"/>
      <c r="L40" s="11">
        <f t="shared" si="7"/>
        <v>1037563.4995176218</v>
      </c>
      <c r="M40" s="11"/>
      <c r="N40" s="50">
        <f t="shared" si="8"/>
        <v>2772092.1759684831</v>
      </c>
      <c r="O40" s="50"/>
      <c r="P40" s="57">
        <v>9</v>
      </c>
      <c r="Q40" s="57">
        <v>30</v>
      </c>
      <c r="R40" s="57">
        <v>36</v>
      </c>
      <c r="S40" s="68">
        <f t="shared" si="1"/>
        <v>0.20547945205479451</v>
      </c>
      <c r="T40" s="11">
        <f t="shared" si="2"/>
        <v>373</v>
      </c>
      <c r="U40" s="48" t="str">
        <f t="shared" si="9"/>
        <v>Bajo</v>
      </c>
      <c r="V40" s="48">
        <f t="shared" si="3"/>
        <v>100</v>
      </c>
      <c r="W40" s="49">
        <f t="shared" si="10"/>
        <v>140</v>
      </c>
      <c r="X40" s="48">
        <v>25</v>
      </c>
      <c r="Y40" s="48">
        <f t="shared" si="17"/>
        <v>11.399999999999988</v>
      </c>
      <c r="Z40" s="51">
        <f t="shared" si="12"/>
        <v>15</v>
      </c>
      <c r="AA40" s="48">
        <f t="shared" si="13"/>
        <v>115</v>
      </c>
      <c r="AB40" s="14">
        <f t="shared" si="14"/>
        <v>129.79683972911963</v>
      </c>
      <c r="AC40" s="14">
        <f t="shared" si="4"/>
        <v>0.56034978262687063</v>
      </c>
      <c r="AD40" s="57">
        <v>1.3</v>
      </c>
      <c r="AE40" s="15">
        <f t="shared" si="15"/>
        <v>0.72845471741493184</v>
      </c>
      <c r="AF40" s="57">
        <v>1.6</v>
      </c>
      <c r="AG40" s="14">
        <f t="shared" si="16"/>
        <v>1.1655275478638909</v>
      </c>
    </row>
    <row r="41" spans="4:33" x14ac:dyDescent="0.3">
      <c r="D41" s="48">
        <v>2036</v>
      </c>
      <c r="E41" s="48"/>
      <c r="F41" s="48"/>
      <c r="G41" s="11">
        <f t="shared" si="5"/>
        <v>645210.39999999991</v>
      </c>
      <c r="H41" s="11"/>
      <c r="I41" s="11">
        <f t="shared" si="6"/>
        <v>1121366.5359254216</v>
      </c>
      <c r="J41" s="11"/>
      <c r="K41" s="11"/>
      <c r="L41" s="11">
        <f t="shared" si="7"/>
        <v>1075764.0150127285</v>
      </c>
      <c r="M41" s="11"/>
      <c r="N41" s="50">
        <f t="shared" si="8"/>
        <v>3303148.1601686669</v>
      </c>
      <c r="O41" s="50"/>
      <c r="P41" s="57">
        <v>9</v>
      </c>
      <c r="Q41" s="57">
        <v>30</v>
      </c>
      <c r="R41" s="57">
        <v>36</v>
      </c>
      <c r="S41" s="68">
        <f t="shared" si="1"/>
        <v>0.20547945205479451</v>
      </c>
      <c r="T41" s="11">
        <f t="shared" si="2"/>
        <v>378</v>
      </c>
      <c r="U41" s="48" t="str">
        <f t="shared" si="9"/>
        <v>Bajo</v>
      </c>
      <c r="V41" s="48">
        <f t="shared" si="3"/>
        <v>100</v>
      </c>
      <c r="W41" s="49">
        <f t="shared" si="10"/>
        <v>140</v>
      </c>
      <c r="X41" s="48">
        <v>25</v>
      </c>
      <c r="Y41" s="48">
        <f t="shared" si="17"/>
        <v>10.599999999999987</v>
      </c>
      <c r="Z41" s="51">
        <f t="shared" si="12"/>
        <v>15</v>
      </c>
      <c r="AA41" s="48">
        <f t="shared" si="13"/>
        <v>115</v>
      </c>
      <c r="AB41" s="14">
        <f t="shared" si="14"/>
        <v>128.6353467561521</v>
      </c>
      <c r="AC41" s="14">
        <f t="shared" si="4"/>
        <v>0.56277964205816544</v>
      </c>
      <c r="AD41" s="57">
        <v>1.3</v>
      </c>
      <c r="AE41" s="15">
        <f t="shared" si="15"/>
        <v>0.73161353467561507</v>
      </c>
      <c r="AF41" s="57">
        <v>1.6</v>
      </c>
      <c r="AG41" s="14">
        <f t="shared" si="16"/>
        <v>1.1705816554809843</v>
      </c>
    </row>
    <row r="42" spans="4:33" x14ac:dyDescent="0.3">
      <c r="D42" s="48">
        <v>2037</v>
      </c>
      <c r="E42" s="48"/>
      <c r="F42" s="48"/>
      <c r="G42" s="11">
        <f t="shared" si="5"/>
        <v>654524.80000000005</v>
      </c>
      <c r="H42" s="11"/>
      <c r="I42" s="11">
        <f t="shared" si="6"/>
        <v>1163599.3229657025</v>
      </c>
      <c r="J42" s="11"/>
      <c r="K42" s="11"/>
      <c r="L42" s="11">
        <f t="shared" si="7"/>
        <v>1115370.9787731897</v>
      </c>
      <c r="M42" s="11"/>
      <c r="N42" s="50">
        <f t="shared" si="8"/>
        <v>4068128.3583535133</v>
      </c>
      <c r="O42" s="50"/>
      <c r="P42" s="57">
        <v>9</v>
      </c>
      <c r="Q42" s="57">
        <v>30</v>
      </c>
      <c r="R42" s="57">
        <v>36</v>
      </c>
      <c r="S42" s="68">
        <f t="shared" si="1"/>
        <v>0.20547945205479451</v>
      </c>
      <c r="T42" s="11">
        <f t="shared" si="2"/>
        <v>384</v>
      </c>
      <c r="U42" s="48" t="str">
        <f t="shared" si="9"/>
        <v>Bajo</v>
      </c>
      <c r="V42" s="48">
        <f t="shared" si="3"/>
        <v>100</v>
      </c>
      <c r="W42" s="49">
        <f t="shared" si="10"/>
        <v>140</v>
      </c>
      <c r="X42" s="48">
        <v>25</v>
      </c>
      <c r="Y42" s="48">
        <f t="shared" si="17"/>
        <v>9.7999999999999865</v>
      </c>
      <c r="Z42" s="51">
        <f t="shared" si="12"/>
        <v>15</v>
      </c>
      <c r="AA42" s="48">
        <f t="shared" si="13"/>
        <v>115</v>
      </c>
      <c r="AB42" s="14">
        <f t="shared" si="14"/>
        <v>127.49445676274942</v>
      </c>
      <c r="AC42" s="14">
        <f t="shared" si="4"/>
        <v>0.56664203005666403</v>
      </c>
      <c r="AD42" s="57">
        <v>1.3</v>
      </c>
      <c r="AE42" s="15">
        <f t="shared" si="15"/>
        <v>0.73663463907366322</v>
      </c>
      <c r="AF42" s="57">
        <v>1.6</v>
      </c>
      <c r="AG42" s="14">
        <f t="shared" si="16"/>
        <v>1.1786154225178611</v>
      </c>
    </row>
    <row r="43" spans="4:33" x14ac:dyDescent="0.3">
      <c r="D43" s="48">
        <v>2038</v>
      </c>
      <c r="E43" s="48"/>
      <c r="F43" s="48"/>
      <c r="G43" s="11">
        <f t="shared" si="5"/>
        <v>663839.19999999995</v>
      </c>
      <c r="H43" s="11"/>
      <c r="I43" s="11">
        <f t="shared" si="6"/>
        <v>1207422.6767333183</v>
      </c>
      <c r="J43" s="11"/>
      <c r="K43" s="11"/>
      <c r="L43" s="11">
        <f t="shared" si="7"/>
        <v>1156436.1727369579</v>
      </c>
      <c r="M43" s="11"/>
      <c r="N43" s="50">
        <f t="shared" si="8"/>
        <v>5265250.6417602673</v>
      </c>
      <c r="O43" s="50"/>
      <c r="P43" s="57">
        <v>9</v>
      </c>
      <c r="Q43" s="57">
        <v>30</v>
      </c>
      <c r="R43" s="57">
        <v>36</v>
      </c>
      <c r="S43" s="68">
        <f t="shared" si="1"/>
        <v>0.20547945205479451</v>
      </c>
      <c r="T43" s="11">
        <f t="shared" si="2"/>
        <v>389</v>
      </c>
      <c r="U43" s="48" t="str">
        <f t="shared" si="9"/>
        <v>Bajo</v>
      </c>
      <c r="V43" s="48">
        <f t="shared" si="3"/>
        <v>100</v>
      </c>
      <c r="W43" s="49">
        <f t="shared" si="10"/>
        <v>140</v>
      </c>
      <c r="X43" s="48">
        <v>25</v>
      </c>
      <c r="Y43" s="48">
        <f t="shared" si="17"/>
        <v>8.9999999999999858</v>
      </c>
      <c r="Z43" s="51">
        <f t="shared" si="12"/>
        <v>15</v>
      </c>
      <c r="AA43" s="48">
        <f t="shared" si="13"/>
        <v>115</v>
      </c>
      <c r="AB43" s="14">
        <f t="shared" si="14"/>
        <v>126.37362637362635</v>
      </c>
      <c r="AC43" s="14">
        <f t="shared" si="4"/>
        <v>0.56897385022385005</v>
      </c>
      <c r="AD43" s="57">
        <v>1.3</v>
      </c>
      <c r="AE43" s="15">
        <f t="shared" si="15"/>
        <v>0.73966600529100512</v>
      </c>
      <c r="AF43" s="57">
        <v>1.6</v>
      </c>
      <c r="AG43" s="14">
        <f t="shared" si="16"/>
        <v>1.1834656084656083</v>
      </c>
    </row>
    <row r="44" spans="4:33" x14ac:dyDescent="0.3">
      <c r="D44" s="48">
        <v>2039</v>
      </c>
      <c r="E44" s="48"/>
      <c r="F44" s="48"/>
      <c r="G44" s="11">
        <f t="shared" si="5"/>
        <v>673153.6</v>
      </c>
      <c r="H44" s="11"/>
      <c r="I44" s="11">
        <f t="shared" si="6"/>
        <v>1252896.5009829437</v>
      </c>
      <c r="J44" s="11"/>
      <c r="K44" s="11"/>
      <c r="L44" s="11">
        <f t="shared" si="7"/>
        <v>1199013.2853245519</v>
      </c>
      <c r="M44" s="11"/>
      <c r="N44" s="50">
        <f t="shared" si="8"/>
        <v>7404836.5633917237</v>
      </c>
      <c r="O44" s="50"/>
      <c r="P44" s="57">
        <v>9</v>
      </c>
      <c r="Q44" s="57">
        <v>30</v>
      </c>
      <c r="R44" s="57">
        <v>36</v>
      </c>
      <c r="S44" s="68">
        <f t="shared" si="1"/>
        <v>0.20547945205479451</v>
      </c>
      <c r="T44" s="11">
        <f t="shared" si="2"/>
        <v>395</v>
      </c>
      <c r="U44" s="48" t="str">
        <f t="shared" si="9"/>
        <v>Bajo</v>
      </c>
      <c r="V44" s="48">
        <f t="shared" si="3"/>
        <v>100</v>
      </c>
      <c r="W44" s="49">
        <f t="shared" si="10"/>
        <v>140</v>
      </c>
      <c r="X44" s="48">
        <v>25</v>
      </c>
      <c r="Y44" s="48">
        <f t="shared" si="17"/>
        <v>8.1999999999999851</v>
      </c>
      <c r="Z44" s="51">
        <f t="shared" si="12"/>
        <v>15</v>
      </c>
      <c r="AA44" s="48">
        <f t="shared" si="13"/>
        <v>115</v>
      </c>
      <c r="AB44" s="14">
        <f t="shared" si="14"/>
        <v>125.27233115468408</v>
      </c>
      <c r="AC44" s="14">
        <f t="shared" si="4"/>
        <v>0.57271493988541911</v>
      </c>
      <c r="AD44" s="57">
        <v>1.3</v>
      </c>
      <c r="AE44" s="15">
        <f t="shared" si="15"/>
        <v>0.74452942185104487</v>
      </c>
      <c r="AF44" s="57">
        <v>1.6</v>
      </c>
      <c r="AG44" s="14">
        <f t="shared" si="16"/>
        <v>1.1912470749616719</v>
      </c>
    </row>
    <row r="45" spans="4:33" x14ac:dyDescent="0.3">
      <c r="D45" s="48">
        <v>2040</v>
      </c>
      <c r="E45" s="48"/>
      <c r="F45" s="48"/>
      <c r="G45" s="11">
        <f t="shared" si="5"/>
        <v>682468</v>
      </c>
      <c r="H45" s="11"/>
      <c r="I45" s="11">
        <f t="shared" si="6"/>
        <v>1300082.9555580826</v>
      </c>
      <c r="J45" s="11"/>
      <c r="K45" s="11"/>
      <c r="L45" s="11">
        <f t="shared" si="7"/>
        <v>1243157.9816310175</v>
      </c>
      <c r="M45" s="11"/>
      <c r="N45" s="50">
        <f t="shared" si="8"/>
        <v>12322364.931140248</v>
      </c>
      <c r="O45" s="50"/>
      <c r="P45" s="57">
        <v>9</v>
      </c>
      <c r="Q45" s="57">
        <v>30</v>
      </c>
      <c r="R45" s="57">
        <v>36</v>
      </c>
      <c r="S45" s="68">
        <f t="shared" si="1"/>
        <v>0.20547945205479451</v>
      </c>
      <c r="T45" s="11">
        <f t="shared" si="2"/>
        <v>400</v>
      </c>
      <c r="U45" s="48" t="str">
        <f t="shared" si="9"/>
        <v>Bajo</v>
      </c>
      <c r="V45" s="48">
        <f t="shared" si="3"/>
        <v>100</v>
      </c>
      <c r="W45" s="49">
        <f t="shared" si="10"/>
        <v>140</v>
      </c>
      <c r="X45" s="48">
        <v>25</v>
      </c>
      <c r="Y45" s="48">
        <f t="shared" si="17"/>
        <v>7.3999999999999853</v>
      </c>
      <c r="Z45" s="51">
        <f t="shared" si="12"/>
        <v>15</v>
      </c>
      <c r="AA45" s="48">
        <f t="shared" si="13"/>
        <v>115</v>
      </c>
      <c r="AB45" s="14">
        <f t="shared" si="14"/>
        <v>124.19006479481639</v>
      </c>
      <c r="AC45" s="14">
        <f t="shared" si="4"/>
        <v>0.57495400367970551</v>
      </c>
      <c r="AD45" s="57">
        <v>1.3</v>
      </c>
      <c r="AE45" s="15">
        <f t="shared" si="15"/>
        <v>0.74744020478361717</v>
      </c>
      <c r="AF45" s="57">
        <v>1.6</v>
      </c>
      <c r="AG45" s="14">
        <f t="shared" si="16"/>
        <v>1.1959043276537875</v>
      </c>
    </row>
    <row r="46" spans="4:33" x14ac:dyDescent="0.3">
      <c r="D46" s="48">
        <v>2041</v>
      </c>
      <c r="E46" s="48"/>
      <c r="F46" s="48"/>
      <c r="G46" s="11">
        <f t="shared" si="5"/>
        <v>691782.39999999991</v>
      </c>
      <c r="H46" s="11"/>
      <c r="I46" s="11">
        <f t="shared" si="6"/>
        <v>1349046.5413596432</v>
      </c>
      <c r="J46" s="11"/>
      <c r="K46" s="11"/>
      <c r="L46" s="11">
        <f t="shared" si="7"/>
        <v>1288927.9762021827</v>
      </c>
      <c r="M46" s="11"/>
      <c r="N46" s="50">
        <f t="shared" si="8"/>
        <v>35439124.953591831</v>
      </c>
      <c r="O46" s="50"/>
      <c r="P46" s="57">
        <v>9</v>
      </c>
      <c r="Q46" s="57">
        <v>30</v>
      </c>
      <c r="R46" s="57">
        <v>36</v>
      </c>
      <c r="S46" s="68">
        <f t="shared" si="1"/>
        <v>0.20547945205479451</v>
      </c>
      <c r="T46" s="11">
        <f t="shared" si="2"/>
        <v>406</v>
      </c>
      <c r="U46" s="48" t="str">
        <f t="shared" si="9"/>
        <v>Bajo</v>
      </c>
      <c r="V46" s="48">
        <f t="shared" si="3"/>
        <v>100</v>
      </c>
      <c r="W46" s="49">
        <f t="shared" si="10"/>
        <v>140</v>
      </c>
      <c r="X46" s="48">
        <v>25</v>
      </c>
      <c r="Y46" s="48">
        <f t="shared" si="17"/>
        <v>6.5999999999999854</v>
      </c>
      <c r="Z46" s="51">
        <f t="shared" si="12"/>
        <v>15</v>
      </c>
      <c r="AA46" s="48">
        <f t="shared" si="13"/>
        <v>115</v>
      </c>
      <c r="AB46" s="14">
        <f t="shared" si="14"/>
        <v>123.12633832976444</v>
      </c>
      <c r="AC46" s="14">
        <f t="shared" si="4"/>
        <v>0.57857978428106893</v>
      </c>
      <c r="AD46" s="57">
        <v>1.3</v>
      </c>
      <c r="AE46" s="15">
        <f t="shared" si="15"/>
        <v>0.75215371956538968</v>
      </c>
      <c r="AF46" s="57">
        <v>1.6</v>
      </c>
      <c r="AG46" s="14">
        <f t="shared" si="16"/>
        <v>1.2034459513046236</v>
      </c>
    </row>
    <row r="47" spans="4:33" x14ac:dyDescent="0.3">
      <c r="D47" s="51">
        <v>2042</v>
      </c>
      <c r="E47" s="8"/>
      <c r="F47" s="8"/>
      <c r="G47" s="11">
        <f t="shared" si="5"/>
        <v>701096.8</v>
      </c>
      <c r="H47" s="8"/>
      <c r="I47" s="11">
        <f t="shared" si="6"/>
        <v>1399854.1885145949</v>
      </c>
      <c r="J47" s="8"/>
      <c r="K47" s="8"/>
      <c r="L47" s="11">
        <f t="shared" si="7"/>
        <v>1336383.1084903555</v>
      </c>
      <c r="M47" s="8"/>
      <c r="N47" s="50" t="str">
        <f t="shared" si="8"/>
        <v>No cumple la condición (200-i*(Tf-Tci)&gt;0)</v>
      </c>
      <c r="O47" s="50"/>
      <c r="P47" s="57">
        <v>9</v>
      </c>
      <c r="Q47" s="57">
        <v>30</v>
      </c>
      <c r="R47" s="57">
        <v>36</v>
      </c>
      <c r="S47" s="68">
        <f t="shared" si="1"/>
        <v>0.20547945205479451</v>
      </c>
      <c r="T47" s="11">
        <f t="shared" si="2"/>
        <v>411</v>
      </c>
      <c r="U47" s="51" t="str">
        <f t="shared" si="9"/>
        <v>Bajo</v>
      </c>
      <c r="V47" s="51">
        <f t="shared" si="3"/>
        <v>100</v>
      </c>
      <c r="W47" s="49">
        <f t="shared" si="10"/>
        <v>140</v>
      </c>
      <c r="X47" s="48">
        <v>25</v>
      </c>
      <c r="Y47" s="48">
        <f t="shared" si="17"/>
        <v>5.7999999999999856</v>
      </c>
      <c r="Z47" s="51">
        <f t="shared" si="12"/>
        <v>15</v>
      </c>
      <c r="AA47" s="51">
        <f t="shared" si="13"/>
        <v>115</v>
      </c>
      <c r="AB47" s="14">
        <f t="shared" si="14"/>
        <v>122.08067940552014</v>
      </c>
      <c r="AC47" s="14">
        <f t="shared" si="4"/>
        <v>0.58073100967209235</v>
      </c>
      <c r="AD47" s="57">
        <v>1.3</v>
      </c>
      <c r="AE47" s="15">
        <f t="shared" si="15"/>
        <v>0.75495031257372003</v>
      </c>
      <c r="AF47" s="57">
        <v>1.6</v>
      </c>
      <c r="AG47" s="14">
        <f t="shared" si="16"/>
        <v>1.207920500117952</v>
      </c>
    </row>
    <row r="48" spans="4:33" x14ac:dyDescent="0.3">
      <c r="D48" s="51">
        <v>2043</v>
      </c>
      <c r="E48" s="8"/>
      <c r="F48" s="8"/>
      <c r="G48" s="11">
        <f t="shared" si="5"/>
        <v>710411.2</v>
      </c>
      <c r="H48" s="8"/>
      <c r="I48" s="11">
        <f t="shared" si="6"/>
        <v>1452575.3478652192</v>
      </c>
      <c r="J48" s="8"/>
      <c r="K48" s="8"/>
      <c r="L48" s="11">
        <f t="shared" si="7"/>
        <v>1385585.4210881081</v>
      </c>
      <c r="M48" s="8"/>
      <c r="N48" s="50" t="str">
        <f t="shared" si="8"/>
        <v>No cumple la condición (200-i*(Tf-Tci)&gt;0)</v>
      </c>
      <c r="O48" s="50"/>
      <c r="P48" s="57">
        <v>9</v>
      </c>
      <c r="Q48" s="57">
        <v>30</v>
      </c>
      <c r="R48" s="57">
        <v>36</v>
      </c>
      <c r="S48" s="68">
        <f>SUM(P48:R48)/365</f>
        <v>0.20547945205479451</v>
      </c>
      <c r="T48" s="11">
        <f>ROUNDUP((IF($B$2="Aritmetico",G48,IF($B$2="Geometrico",I48,IF($B$2="Exponencial",L48, IF($B$2="Wappaus",N48,IF($B$2="Sin Seleccionar","","")))))*($O$23/100))*(1+S48),0)</f>
        <v>417</v>
      </c>
      <c r="U48" s="51" t="str">
        <f t="shared" si="9"/>
        <v>Bajo</v>
      </c>
      <c r="V48" s="51">
        <f t="shared" si="3"/>
        <v>100</v>
      </c>
      <c r="W48" s="49">
        <f t="shared" si="10"/>
        <v>140</v>
      </c>
      <c r="X48" s="48">
        <v>25</v>
      </c>
      <c r="Y48" s="48">
        <f t="shared" si="17"/>
        <v>4.9999999999999858</v>
      </c>
      <c r="Z48" s="51">
        <f t="shared" si="12"/>
        <v>15</v>
      </c>
      <c r="AA48" s="51">
        <f t="shared" si="13"/>
        <v>115</v>
      </c>
      <c r="AB48" s="14">
        <f t="shared" si="14"/>
        <v>121.05263157894734</v>
      </c>
      <c r="AC48" s="14">
        <f t="shared" si="4"/>
        <v>0.58424707602339165</v>
      </c>
      <c r="AD48" s="57">
        <v>1.3</v>
      </c>
      <c r="AE48" s="15">
        <f t="shared" si="15"/>
        <v>0.75952119883040914</v>
      </c>
      <c r="AF48" s="57">
        <v>1.6</v>
      </c>
      <c r="AG48" s="14">
        <f t="shared" si="16"/>
        <v>1.2152339181286547</v>
      </c>
    </row>
  </sheetData>
  <mergeCells count="22">
    <mergeCell ref="Z5:Z7"/>
    <mergeCell ref="D5:D7"/>
    <mergeCell ref="E5:E7"/>
    <mergeCell ref="T5:T7"/>
    <mergeCell ref="U5:U7"/>
    <mergeCell ref="V5:V7"/>
    <mergeCell ref="X5:X7"/>
    <mergeCell ref="Y5:Y7"/>
    <mergeCell ref="F5:G6"/>
    <mergeCell ref="H5:I6"/>
    <mergeCell ref="J5:L6"/>
    <mergeCell ref="M5:N6"/>
    <mergeCell ref="P5:S6"/>
    <mergeCell ref="O5:O7"/>
    <mergeCell ref="W5:W7"/>
    <mergeCell ref="AG5:AG7"/>
    <mergeCell ref="AA5:AA7"/>
    <mergeCell ref="AB5:AB7"/>
    <mergeCell ref="AC5:AC7"/>
    <mergeCell ref="AD5:AD7"/>
    <mergeCell ref="AE5:AE7"/>
    <mergeCell ref="AF5:AF7"/>
  </mergeCells>
  <conditionalFormatting sqref="N11:O48">
    <cfRule type="cellIs" dxfId="7" priority="7" operator="lessThan">
      <formula>0</formula>
    </cfRule>
    <cfRule type="cellIs" dxfId="6" priority="8" operator="lessThan">
      <formula>0</formula>
    </cfRule>
  </conditionalFormatting>
  <conditionalFormatting sqref="N11:O48">
    <cfRule type="cellIs" dxfId="5" priority="6" operator="lessThan">
      <formula>0</formula>
    </cfRule>
  </conditionalFormatting>
  <dataValidations disablePrompts="1" xWindow="291" yWindow="357" count="3">
    <dataValidation allowBlank="1" showErrorMessage="1" promptTitle="Bienvenido" prompt="Por favor seleccione el método que considera acorde para la proyección de población. Recuerde que si el método Wappaus no cumple con la condicion &quot; i x (Tf-Tci) &lt; 200)&quot;, no podrá disponer de él." sqref="D2" xr:uid="{00000000-0002-0000-0000-000000000000}"/>
    <dataValidation type="list" showInputMessage="1" showErrorMessage="1" promptTitle="Bienvenido" prompt="Por favor seleccione el método que considera acorde para la proyección de población. Recuerde que si el método Wappaus no cumple con la condicion &quot; i x (Tf-Tci) &lt; 200)&quot;, no podrá disponer de él." sqref="B2" xr:uid="{00000000-0002-0000-0000-000001000000}">
      <formula1>$A$10:$A$13</formula1>
    </dataValidation>
    <dataValidation type="list" allowBlank="1" showInputMessage="1" showErrorMessage="1" sqref="B4" xr:uid="{00000000-0002-0000-0000-000002000000}">
      <formula1>$A$16:$A$18</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5" operator="equal" id="{465CE123-6710-4D35-BD3E-E7029006587F}">
            <xm:f>'C:\Users\luchi\Downloads\[Acueductos Cabuyaro (2).xlsx]Tasas'!#REF!</xm:f>
            <x14:dxf>
              <font>
                <color rgb="FF9C0006"/>
              </font>
              <fill>
                <patternFill>
                  <bgColor rgb="FFFFC7CE"/>
                </patternFill>
              </fill>
            </x14:dxf>
          </x14:cfRule>
          <xm:sqref>B2</xm:sqref>
        </x14:conditionalFormatting>
        <x14:conditionalFormatting xmlns:xm="http://schemas.microsoft.com/office/excel/2006/main">
          <x14:cfRule type="cellIs" priority="1" operator="between" id="{F43F13F0-B30C-4136-AEE0-E4CB732CB253}">
            <xm:f>('C:\Users\luchi\Downloads\[Acueductos Cabuyaro (2).xlsx]Tasas'!#REF!)</xm:f>
            <xm:f>('C:\Users\luchi\Downloads\[Acueductos Cabuyaro (2).xlsx]Tasas'!#REF!)</xm:f>
            <x14:dxf>
              <font>
                <color auto="1"/>
              </font>
              <fill>
                <patternFill>
                  <bgColor theme="9" tint="-0.24994659260841701"/>
                </patternFill>
              </fill>
            </x14:dxf>
          </x14:cfRule>
          <x14:cfRule type="containsText" priority="2" operator="containsText" id="{7127E383-2182-4111-BC36-99E5B59961B4}">
            <xm:f>NOT(ISERROR(SEARCH(('C:\Users\luchi\Downloads\[Acueductos Cabuyaro (2).xlsx]Tasas'!#REF!),B5)))</xm:f>
            <xm:f>('C:\Users\luchi\Downloads\[Acueductos Cabuyaro (2).xlsx]Tasas'!#REF!)</xm:f>
            <x14:dxf>
              <font>
                <color theme="1"/>
              </font>
              <fill>
                <patternFill>
                  <bgColor theme="9"/>
                </patternFill>
              </fill>
            </x14:dxf>
          </x14:cfRule>
          <x14:cfRule type="containsText" priority="3" operator="containsText" id="{AF32989A-D424-4E0A-B152-D22407D4EE70}">
            <xm:f>NOT(ISERROR(SEARCH(('C:\Users\luchi\Downloads\[Acueductos Cabuyaro (2).xlsx]Tasas'!#REF!),B5)))</xm:f>
            <xm:f>('C:\Users\luchi\Downloads\[Acueductos Cabuyaro (2).xlsx]Tasas'!#REF!)</xm:f>
            <x14:dxf>
              <font>
                <strike val="0"/>
                <color theme="1"/>
              </font>
              <fill>
                <patternFill>
                  <bgColor theme="9"/>
                </patternFill>
              </fill>
            </x14:dxf>
          </x14:cfRule>
          <x14:cfRule type="containsText" priority="4" operator="containsText" id="{DD1820FF-DA9F-4EFA-9CC7-4F076B3FAB36}">
            <xm:f>NOT(ISERROR(SEARCH(('C:\Users\luchi\Downloads\[Acueductos Cabuyaro (2).xlsx]Tasas'!#REF!),B5)))</xm:f>
            <xm:f>('C:\Users\luchi\Downloads\[Acueductos Cabuyaro (2).xlsx]Tasas'!#REF!)</xm:f>
            <x14:dxf>
              <fill>
                <patternFill>
                  <bgColor theme="9" tint="0.39994506668294322"/>
                </patternFill>
              </fill>
            </x14:dxf>
          </x14:cfRule>
          <xm:sqref>B5:B6</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T43"/>
  <sheetViews>
    <sheetView tabSelected="1" topLeftCell="X1" workbookViewId="0">
      <selection activeCell="AT19" sqref="AT19"/>
    </sheetView>
  </sheetViews>
  <sheetFormatPr baseColWidth="10" defaultColWidth="11.5546875" defaultRowHeight="14.4" x14ac:dyDescent="0.3"/>
  <cols>
    <col min="1" max="1" width="5.6640625" style="175" customWidth="1"/>
    <col min="2" max="2" width="10.44140625" style="175" bestFit="1" customWidth="1"/>
    <col min="3" max="3" width="7.44140625" style="175" customWidth="1"/>
    <col min="4" max="4" width="9.88671875" style="175" customWidth="1"/>
    <col min="5" max="5" width="6" style="175" customWidth="1"/>
    <col min="6" max="6" width="9.109375" style="175" customWidth="1"/>
    <col min="7" max="7" width="6.44140625" style="175" customWidth="1"/>
    <col min="8" max="8" width="6.5546875" style="175" customWidth="1"/>
    <col min="9" max="9" width="8.109375" style="175" customWidth="1"/>
    <col min="10" max="10" width="4.88671875" style="175" bestFit="1" customWidth="1"/>
    <col min="11" max="11" width="7" style="175" bestFit="1" customWidth="1"/>
    <col min="12" max="12" width="7.6640625" style="175" customWidth="1"/>
    <col min="13" max="13" width="9.5546875" style="175" customWidth="1"/>
    <col min="14" max="14" width="8" style="175" bestFit="1" customWidth="1"/>
    <col min="15" max="15" width="5" style="175" bestFit="1" customWidth="1"/>
    <col min="16" max="16" width="9.5546875" style="175" bestFit="1" customWidth="1"/>
    <col min="17" max="17" width="15.6640625" style="175" customWidth="1"/>
    <col min="18" max="18" width="10.5546875" style="175" bestFit="1" customWidth="1"/>
    <col min="19" max="20" width="7.5546875" style="175" bestFit="1" customWidth="1"/>
    <col min="21" max="21" width="8.5546875" style="175" bestFit="1" customWidth="1"/>
    <col min="22" max="22" width="5.6640625" style="175" customWidth="1"/>
    <col min="23" max="23" width="28.33203125" style="175" bestFit="1" customWidth="1"/>
    <col min="24" max="24" width="5.5546875" style="175" bestFit="1" customWidth="1"/>
    <col min="25" max="25" width="8.5546875" style="175" bestFit="1" customWidth="1"/>
    <col min="26" max="26" width="5.33203125" style="175" bestFit="1" customWidth="1"/>
    <col min="27" max="28" width="7.5546875" style="175" bestFit="1" customWidth="1"/>
    <col min="29" max="29" width="6.6640625" style="175" customWidth="1"/>
    <col min="30" max="30" width="8" style="175" customWidth="1"/>
    <col min="31" max="31" width="8.6640625" style="175" customWidth="1"/>
    <col min="32" max="32" width="7.33203125" style="175" customWidth="1"/>
    <col min="33" max="33" width="8.33203125" style="175" customWidth="1"/>
    <col min="34" max="34" width="9.33203125" style="175" customWidth="1"/>
    <col min="35" max="35" width="15.6640625" style="175" customWidth="1"/>
    <col min="36" max="36" width="10.5546875" style="175" bestFit="1" customWidth="1"/>
    <col min="37" max="38" width="9.5546875" style="175" bestFit="1" customWidth="1"/>
    <col min="39" max="39" width="6.5546875" style="175" bestFit="1" customWidth="1"/>
    <col min="40" max="40" width="4.5546875" style="175" bestFit="1" customWidth="1"/>
    <col min="41" max="41" width="6.5546875" style="175" bestFit="1" customWidth="1"/>
    <col min="42" max="42" width="10.33203125" style="175" customWidth="1"/>
    <col min="43" max="43" width="9.33203125" style="175" customWidth="1"/>
    <col min="44" max="44" width="5.6640625" style="175" customWidth="1"/>
    <col min="45" max="45" width="5.5546875" style="175" bestFit="1" customWidth="1"/>
    <col min="46" max="46" width="8.88671875" style="175" customWidth="1"/>
    <col min="47" max="16384" width="11.5546875" style="175"/>
  </cols>
  <sheetData>
    <row r="2" spans="2:46" x14ac:dyDescent="0.3">
      <c r="B2" s="316" t="s">
        <v>118</v>
      </c>
      <c r="C2" s="314" t="s">
        <v>433</v>
      </c>
      <c r="D2" s="314" t="s">
        <v>435</v>
      </c>
      <c r="E2" s="314" t="s">
        <v>434</v>
      </c>
      <c r="F2" s="314" t="s">
        <v>436</v>
      </c>
      <c r="G2" s="314"/>
      <c r="H2" s="314"/>
      <c r="I2" s="314" t="s">
        <v>204</v>
      </c>
      <c r="J2" s="304" t="s">
        <v>63</v>
      </c>
      <c r="K2" s="306"/>
      <c r="L2" s="314" t="s">
        <v>391</v>
      </c>
      <c r="M2" s="314" t="s">
        <v>380</v>
      </c>
      <c r="N2" s="314" t="s">
        <v>337</v>
      </c>
      <c r="O2" s="314" t="s">
        <v>110</v>
      </c>
      <c r="P2" s="314" t="s">
        <v>120</v>
      </c>
      <c r="Q2" s="314" t="s">
        <v>379</v>
      </c>
      <c r="R2" s="314" t="s">
        <v>438</v>
      </c>
      <c r="S2" s="276" t="s">
        <v>366</v>
      </c>
      <c r="T2" s="278"/>
      <c r="U2" s="247"/>
      <c r="W2" s="171" t="s">
        <v>74</v>
      </c>
      <c r="X2" s="167" t="s">
        <v>269</v>
      </c>
      <c r="Y2" s="166" t="s">
        <v>36</v>
      </c>
      <c r="Z2" s="166" t="s">
        <v>362</v>
      </c>
    </row>
    <row r="3" spans="2:46" x14ac:dyDescent="0.3">
      <c r="B3" s="272"/>
      <c r="C3" s="315"/>
      <c r="D3" s="315"/>
      <c r="E3" s="315"/>
      <c r="F3" s="315"/>
      <c r="G3" s="315"/>
      <c r="H3" s="315"/>
      <c r="I3" s="315"/>
      <c r="J3" s="169" t="s">
        <v>400</v>
      </c>
      <c r="K3" s="169" t="s">
        <v>106</v>
      </c>
      <c r="L3" s="315"/>
      <c r="M3" s="315"/>
      <c r="N3" s="315"/>
      <c r="O3" s="315"/>
      <c r="P3" s="315"/>
      <c r="Q3" s="315"/>
      <c r="R3" s="315"/>
      <c r="S3" s="282"/>
      <c r="T3" s="284"/>
      <c r="U3" s="247"/>
      <c r="W3" s="166" t="s">
        <v>38</v>
      </c>
      <c r="X3" s="68">
        <v>0.6</v>
      </c>
      <c r="Y3" s="102"/>
      <c r="Z3" s="176" t="str">
        <f>IF(Y3="","",X3*Y3)</f>
        <v/>
      </c>
      <c r="AB3" s="229" t="s">
        <v>118</v>
      </c>
      <c r="AC3" s="229" t="s">
        <v>364</v>
      </c>
      <c r="AD3" s="229"/>
      <c r="AE3" s="247" t="s">
        <v>390</v>
      </c>
      <c r="AF3" s="247" t="s">
        <v>391</v>
      </c>
      <c r="AG3" s="247" t="s">
        <v>337</v>
      </c>
      <c r="AH3" s="247" t="s">
        <v>380</v>
      </c>
      <c r="AI3" s="247" t="s">
        <v>379</v>
      </c>
      <c r="AJ3" s="247" t="s">
        <v>365</v>
      </c>
      <c r="AK3" s="247" t="s">
        <v>120</v>
      </c>
      <c r="AL3" s="247" t="s">
        <v>366</v>
      </c>
      <c r="AM3" s="247"/>
      <c r="AN3" s="314" t="s">
        <v>110</v>
      </c>
      <c r="AO3" s="247" t="s">
        <v>426</v>
      </c>
      <c r="AP3" s="247" t="s">
        <v>427</v>
      </c>
      <c r="AQ3" s="247" t="s">
        <v>428</v>
      </c>
      <c r="AS3" s="229" t="s">
        <v>305</v>
      </c>
      <c r="AT3" s="247" t="s">
        <v>439</v>
      </c>
    </row>
    <row r="4" spans="2:46" x14ac:dyDescent="0.3">
      <c r="B4" s="102" t="s">
        <v>324</v>
      </c>
      <c r="C4" s="102" t="s">
        <v>437</v>
      </c>
      <c r="D4" s="106">
        <v>435.85</v>
      </c>
      <c r="E4" s="102" t="s">
        <v>306</v>
      </c>
      <c r="F4" s="173">
        <f>VLOOKUP(E4,'Dotación tub. propuesta'!$B$5:$M$16,9,FALSE)</f>
        <v>424.03800000000001</v>
      </c>
      <c r="G4" s="102">
        <v>0</v>
      </c>
      <c r="H4" s="102">
        <v>0</v>
      </c>
      <c r="I4" s="23">
        <f ca="1">'Masa propuesta'!BE5+'Masa propuesta'!BE7+('Masa propuesta'!T4/1000)</f>
        <v>5.5387037037037037E-3</v>
      </c>
      <c r="J4" s="102">
        <v>3</v>
      </c>
      <c r="K4" s="168">
        <f>J4*0.0254</f>
        <v>7.619999999999999E-2</v>
      </c>
      <c r="L4" s="168">
        <f>PI()*((K4^2)/4)</f>
        <v>4.5603673118774788E-3</v>
      </c>
      <c r="M4" s="170">
        <f ca="1">I4/L4</f>
        <v>1.2145301737599397</v>
      </c>
      <c r="N4" s="168">
        <f>VLOOKUP(B4,'Dotación tub. propuesta'!$N$5:$T$20,2,FALSE)</f>
        <v>28.0383</v>
      </c>
      <c r="O4" s="102">
        <v>7.45</v>
      </c>
      <c r="P4" s="189">
        <v>1.5E-6</v>
      </c>
      <c r="Q4" s="102">
        <v>1.207E-6</v>
      </c>
      <c r="R4" s="174">
        <f ca="1">(M4*K4)/Q4</f>
        <v>76675.392908456823</v>
      </c>
      <c r="S4" s="23">
        <f ca="1">-2*LOG10((P4/(3.7*K4))+((2.51/R4)*S4))</f>
        <v>7.2321290066839694</v>
      </c>
      <c r="T4" s="23">
        <f ca="1">(1/S4)^2</f>
        <v>1.9119109963113133E-2</v>
      </c>
      <c r="U4" s="173">
        <f ca="1">(D4-F4)-(((I4^2)/(2*9.81*(L4^2)))*(1+((T4*N4)/K4)+O4))</f>
        <v>10.647796367905675</v>
      </c>
      <c r="W4" s="166" t="s">
        <v>39</v>
      </c>
      <c r="X4" s="68">
        <v>0.8</v>
      </c>
      <c r="Y4" s="102"/>
      <c r="Z4" s="176" t="str">
        <f t="shared" ref="Z4:Z22" si="0">IF(Y4="","",X4*Y4)</f>
        <v/>
      </c>
      <c r="AB4" s="229"/>
      <c r="AC4" s="168" t="s">
        <v>249</v>
      </c>
      <c r="AD4" s="168" t="s">
        <v>226</v>
      </c>
      <c r="AE4" s="247"/>
      <c r="AF4" s="247"/>
      <c r="AG4" s="247"/>
      <c r="AH4" s="247"/>
      <c r="AI4" s="247"/>
      <c r="AJ4" s="247"/>
      <c r="AK4" s="247"/>
      <c r="AL4" s="247"/>
      <c r="AM4" s="247"/>
      <c r="AN4" s="315"/>
      <c r="AO4" s="247"/>
      <c r="AP4" s="247"/>
      <c r="AQ4" s="247"/>
      <c r="AS4" s="229"/>
      <c r="AT4" s="247"/>
    </row>
    <row r="5" spans="2:46" x14ac:dyDescent="0.3">
      <c r="W5" s="166" t="s">
        <v>40</v>
      </c>
      <c r="X5" s="68">
        <v>0.9</v>
      </c>
      <c r="Y5" s="102">
        <v>2</v>
      </c>
      <c r="Z5" s="176">
        <f t="shared" si="0"/>
        <v>1.8</v>
      </c>
      <c r="AB5" s="168" t="str">
        <f>'Masa propuesta'!BA5</f>
        <v>A - B</v>
      </c>
      <c r="AC5" s="173">
        <f ca="1">'Masa propuesta'!BC5</f>
        <v>3.5294346056201946</v>
      </c>
      <c r="AD5" s="23">
        <f ca="1">AC5/1000</f>
        <v>3.5294346056201947E-3</v>
      </c>
      <c r="AE5" s="173">
        <f>'Masa propuesta'!Z5</f>
        <v>7.619999999999999E-2</v>
      </c>
      <c r="AF5" s="173">
        <f>(PI()*(AE5^2))/4</f>
        <v>4.5603673118774788E-3</v>
      </c>
      <c r="AG5" s="170">
        <f>'Masa propuesta'!AB5</f>
        <v>65</v>
      </c>
      <c r="AH5" s="173">
        <f ca="1">AD5/AF5</f>
        <v>0.77393647578075142</v>
      </c>
      <c r="AI5" s="43">
        <f>'Masa propuesta'!AD5</f>
        <v>1.207E-6</v>
      </c>
      <c r="AJ5" s="173">
        <f ca="1">(AH5*AE5)/AI5</f>
        <v>48859.94983802257</v>
      </c>
      <c r="AK5" s="179">
        <f>'Masa propuesta'!AF5</f>
        <v>1.5E-6</v>
      </c>
      <c r="AL5" s="179">
        <f ca="1">-2*LOG10((AK5/(3.7*AE5))+((2.51/AJ5)*AL5))</f>
        <v>6.8892539919398441</v>
      </c>
      <c r="AM5" s="173">
        <f ca="1">(1/AL5)^2</f>
        <v>2.1069566824155121E-2</v>
      </c>
      <c r="AN5" s="176">
        <f>VLOOKUP(AB5,'Masa propuesta'!$V$5:$AG$19,12,FALSE)</f>
        <v>3.3</v>
      </c>
      <c r="AO5" s="173">
        <f ca="1">((AD5^2)/(2*9.81*(AF5^2)))*((AN5)+(AM5*(AG5/AE5)))</f>
        <v>0.64943367915168326</v>
      </c>
      <c r="AP5" s="188">
        <f ca="1">U4</f>
        <v>10.647796367905675</v>
      </c>
      <c r="AQ5" s="176">
        <f t="shared" ref="AQ5:AQ19" ca="1" si="1">AP5+AO5</f>
        <v>11.297230047057358</v>
      </c>
      <c r="AS5" s="102" t="s">
        <v>306</v>
      </c>
      <c r="AT5" s="176">
        <f ca="1">U4</f>
        <v>10.647796367905675</v>
      </c>
    </row>
    <row r="6" spans="2:46" x14ac:dyDescent="0.3">
      <c r="W6" s="166" t="s">
        <v>271</v>
      </c>
      <c r="X6" s="68">
        <v>0.4</v>
      </c>
      <c r="Y6" s="102"/>
      <c r="Z6" s="176" t="str">
        <f t="shared" si="0"/>
        <v/>
      </c>
      <c r="AB6" s="168" t="str">
        <f>'Masa propuesta'!BA6</f>
        <v>B - Hidr.</v>
      </c>
      <c r="AC6" s="173">
        <f ca="1">'Masa propuesta'!BC6</f>
        <v>3.8653014260483416</v>
      </c>
      <c r="AD6" s="23">
        <f t="shared" ref="AD6:AD19" ca="1" si="2">AC6/1000</f>
        <v>3.8653014260483414E-3</v>
      </c>
      <c r="AE6" s="173">
        <f>'Masa propuesta'!Z6</f>
        <v>7.619999999999999E-2</v>
      </c>
      <c r="AF6" s="173">
        <f t="shared" ref="AF6:AF19" si="3">(PI()*(AE6^2))/4</f>
        <v>4.5603673118774788E-3</v>
      </c>
      <c r="AG6" s="170">
        <f>'Masa propuesta'!AB6</f>
        <v>37.6</v>
      </c>
      <c r="AH6" s="173">
        <f t="shared" ref="AH6:AH19" ca="1" si="4">AD6/AF6</f>
        <v>0.8475855477652342</v>
      </c>
      <c r="AI6" s="43">
        <f>'Masa propuesta'!AD6</f>
        <v>1.207E-6</v>
      </c>
      <c r="AJ6" s="173">
        <f t="shared" ref="AJ6:AJ19" ca="1" si="5">(AH6*AE6)/AI6</f>
        <v>53509.543280622071</v>
      </c>
      <c r="AK6" s="179">
        <f>'Masa propuesta'!AF6</f>
        <v>1.5E-6</v>
      </c>
      <c r="AL6" s="179">
        <f t="shared" ref="AL6:AL19" ca="1" si="6">-2*LOG10((AK6/(3.7*AE6))+((2.51/AJ6)*AL6))</f>
        <v>6.9584468203642462</v>
      </c>
      <c r="AM6" s="173">
        <f t="shared" ref="AM6:AM19" ca="1" si="7">(1/AL6)^2</f>
        <v>2.0652630495900649E-2</v>
      </c>
      <c r="AN6" s="176">
        <f>VLOOKUP(AB6,'Masa propuesta'!$V$5:$AG$19,12,FALSE)</f>
        <v>3.6</v>
      </c>
      <c r="AO6" s="173">
        <f t="shared" ref="AO6:AO19" ca="1" si="8">((AD6^2)/(2*9.81*(AF6^2)))*((AN6)+(AM6*(AG6/AE6)))</f>
        <v>0.50496063222005405</v>
      </c>
      <c r="AP6" s="187">
        <f ca="1">AQ5</f>
        <v>11.297230047057358</v>
      </c>
      <c r="AQ6" s="176">
        <f t="shared" ca="1" si="1"/>
        <v>11.802190679277412</v>
      </c>
      <c r="AS6" s="102" t="s">
        <v>307</v>
      </c>
      <c r="AT6" s="176">
        <f ca="1">MIN(AQ5,AQ9)</f>
        <v>10.866407868976973</v>
      </c>
    </row>
    <row r="7" spans="2:46" x14ac:dyDescent="0.3">
      <c r="W7" s="166" t="s">
        <v>272</v>
      </c>
      <c r="X7" s="68">
        <v>0.2</v>
      </c>
      <c r="Y7" s="102"/>
      <c r="Z7" s="176" t="str">
        <f t="shared" si="0"/>
        <v/>
      </c>
      <c r="AB7" s="168" t="str">
        <f>'Masa propuesta'!BA7</f>
        <v>A - G</v>
      </c>
      <c r="AC7" s="173">
        <f ca="1">'Masa propuesta'!BC7</f>
        <v>1.9305653943798056</v>
      </c>
      <c r="AD7" s="23">
        <f t="shared" ca="1" si="2"/>
        <v>1.9305653943798055E-3</v>
      </c>
      <c r="AE7" s="173">
        <f>'Masa propuesta'!Z7</f>
        <v>7.619999999999999E-2</v>
      </c>
      <c r="AF7" s="173">
        <f t="shared" si="3"/>
        <v>4.5603673118774788E-3</v>
      </c>
      <c r="AG7" s="170">
        <f>'Masa propuesta'!AB7</f>
        <v>27.6</v>
      </c>
      <c r="AH7" s="173">
        <f t="shared" ca="1" si="4"/>
        <v>0.42333550399583975</v>
      </c>
      <c r="AI7" s="43">
        <f>'Masa propuesta'!AD7</f>
        <v>1.207E-6</v>
      </c>
      <c r="AJ7" s="173">
        <f t="shared" ca="1" si="5"/>
        <v>26725.903400565854</v>
      </c>
      <c r="AK7" s="179">
        <f>'Masa propuesta'!AF7</f>
        <v>1.5E-6</v>
      </c>
      <c r="AL7" s="179">
        <f t="shared" ca="1" si="6"/>
        <v>6.4304202590664392</v>
      </c>
      <c r="AM7" s="173">
        <f t="shared" ca="1" si="7"/>
        <v>2.4183618646984283E-2</v>
      </c>
      <c r="AN7" s="176">
        <f>VLOOKUP(AB7,'Masa propuesta'!$V$5:$AG$19,12,FALSE)</f>
        <v>3.3</v>
      </c>
      <c r="AO7" s="173">
        <f t="shared" ca="1" si="8"/>
        <v>0.11015312879322672</v>
      </c>
      <c r="AP7" s="187">
        <f ca="1">AP5</f>
        <v>10.647796367905675</v>
      </c>
      <c r="AQ7" s="176">
        <f t="shared" ca="1" si="1"/>
        <v>10.757949496698902</v>
      </c>
      <c r="AS7" s="102" t="s">
        <v>341</v>
      </c>
      <c r="AT7" s="176">
        <f ca="1">MIN(AQ6,AQ19)</f>
        <v>10.947338874594465</v>
      </c>
    </row>
    <row r="8" spans="2:46" x14ac:dyDescent="0.3">
      <c r="W8" s="166" t="s">
        <v>41</v>
      </c>
      <c r="X8" s="68">
        <v>0.5</v>
      </c>
      <c r="Y8" s="102">
        <v>1</v>
      </c>
      <c r="Z8" s="176">
        <f t="shared" si="0"/>
        <v>0.5</v>
      </c>
      <c r="AB8" s="168" t="str">
        <f>'Masa propuesta'!BA8</f>
        <v>G - F</v>
      </c>
      <c r="AC8" s="173">
        <f ca="1">'Masa propuesta'!BC8</f>
        <v>1.1770162676220268</v>
      </c>
      <c r="AD8" s="23">
        <f t="shared" ca="1" si="2"/>
        <v>1.1770162676220269E-3</v>
      </c>
      <c r="AE8" s="173">
        <f>'Masa propuesta'!Z8</f>
        <v>7.619999999999999E-2</v>
      </c>
      <c r="AF8" s="173">
        <f t="shared" si="3"/>
        <v>4.5603673118774788E-3</v>
      </c>
      <c r="AG8" s="170">
        <f>'Masa propuesta'!AB8</f>
        <v>65</v>
      </c>
      <c r="AH8" s="173">
        <f t="shared" ca="1" si="4"/>
        <v>0.25809681263096668</v>
      </c>
      <c r="AI8" s="43">
        <f>'Masa propuesta'!AD8</f>
        <v>1.207E-6</v>
      </c>
      <c r="AJ8" s="173">
        <f t="shared" ca="1" si="5"/>
        <v>16294.098693023741</v>
      </c>
      <c r="AK8" s="179">
        <f>'Masa propuesta'!AF8</f>
        <v>1.5E-6</v>
      </c>
      <c r="AL8" s="179">
        <f t="shared" ca="1" si="6"/>
        <v>6.0554766371900302</v>
      </c>
      <c r="AM8" s="173">
        <f t="shared" ca="1" si="7"/>
        <v>2.7271142593571534E-2</v>
      </c>
      <c r="AN8" s="176">
        <f>VLOOKUP(AB8,'Masa propuesta'!$V$5:$AG$19,12,FALSE)</f>
        <v>6.6</v>
      </c>
      <c r="AO8" s="173">
        <f t="shared" ca="1" si="8"/>
        <v>0.10139034406911417</v>
      </c>
      <c r="AP8" s="187">
        <f ca="1">AQ7</f>
        <v>10.757949496698902</v>
      </c>
      <c r="AQ8" s="176">
        <f t="shared" ca="1" si="1"/>
        <v>10.859339840768017</v>
      </c>
      <c r="AS8" s="102" t="s">
        <v>16</v>
      </c>
      <c r="AT8" s="176">
        <f ca="1">MIN(AQ18)</f>
        <v>10.91920131937461</v>
      </c>
    </row>
    <row r="9" spans="2:46" x14ac:dyDescent="0.3">
      <c r="W9" s="166" t="s">
        <v>42</v>
      </c>
      <c r="X9" s="68">
        <v>0.9</v>
      </c>
      <c r="Y9" s="102"/>
      <c r="Z9" s="176" t="str">
        <f t="shared" si="0"/>
        <v/>
      </c>
      <c r="AB9" s="168" t="str">
        <f>'Masa propuesta'!BA9</f>
        <v>F - B</v>
      </c>
      <c r="AC9" s="173">
        <f ca="1">'Masa propuesta'!BC9</f>
        <v>0.42541655915119941</v>
      </c>
      <c r="AD9" s="23">
        <f t="shared" ca="1" si="2"/>
        <v>4.2541655915119943E-4</v>
      </c>
      <c r="AE9" s="173">
        <f>'Masa propuesta'!Z9</f>
        <v>7.619999999999999E-2</v>
      </c>
      <c r="AF9" s="173">
        <f t="shared" si="3"/>
        <v>4.5603673118774788E-3</v>
      </c>
      <c r="AG9" s="170">
        <f>'Masa propuesta'!AB9</f>
        <v>27.6</v>
      </c>
      <c r="AH9" s="173">
        <f t="shared" ca="1" si="4"/>
        <v>9.3285590843351987E-2</v>
      </c>
      <c r="AI9" s="43">
        <f>'Masa propuesta'!AD9</f>
        <v>1.207E-6</v>
      </c>
      <c r="AJ9" s="173">
        <f t="shared" ca="1" si="5"/>
        <v>5889.2808800856837</v>
      </c>
      <c r="AK9" s="179">
        <f>'Masa propuesta'!AF9</f>
        <v>1.5E-6</v>
      </c>
      <c r="AL9" s="179">
        <f t="shared" ca="1" si="6"/>
        <v>5.2915625784416234</v>
      </c>
      <c r="AM9" s="173">
        <f t="shared" ca="1" si="7"/>
        <v>3.5713476393896826E-2</v>
      </c>
      <c r="AN9" s="176">
        <f>VLOOKUP(AB9,'Masa propuesta'!$V$5:$AG$19,12,FALSE)</f>
        <v>3</v>
      </c>
      <c r="AO9" s="173">
        <f t="shared" ca="1" si="8"/>
        <v>7.0680282089576833E-3</v>
      </c>
      <c r="AP9" s="176">
        <f ca="1">AQ8</f>
        <v>10.859339840768017</v>
      </c>
      <c r="AQ9" s="176">
        <f t="shared" ca="1" si="1"/>
        <v>10.866407868976975</v>
      </c>
      <c r="AS9" s="102" t="s">
        <v>308</v>
      </c>
      <c r="AT9" s="176">
        <f ca="1">MIN(AQ17)</f>
        <v>10.854585663098611</v>
      </c>
    </row>
    <row r="10" spans="2:46" x14ac:dyDescent="0.3">
      <c r="W10" s="166" t="s">
        <v>363</v>
      </c>
      <c r="X10" s="176">
        <v>0.3</v>
      </c>
      <c r="Y10" s="102">
        <v>4</v>
      </c>
      <c r="Z10" s="168">
        <f t="shared" si="0"/>
        <v>1.2</v>
      </c>
      <c r="AB10" s="168" t="str">
        <f>'Masa propuesta'!BA10</f>
        <v>F - E</v>
      </c>
      <c r="AC10" s="173">
        <f ca="1">'Masa propuesta'!BC10</f>
        <v>0.66180635398547638</v>
      </c>
      <c r="AD10" s="23">
        <f t="shared" ca="1" si="2"/>
        <v>6.6180635398547637E-4</v>
      </c>
      <c r="AE10" s="173">
        <f>'Masa propuesta'!Z10</f>
        <v>7.619999999999999E-2</v>
      </c>
      <c r="AF10" s="173">
        <f t="shared" si="3"/>
        <v>4.5603673118774788E-3</v>
      </c>
      <c r="AG10" s="170">
        <f>'Masa propuesta'!AB10</f>
        <v>34.61</v>
      </c>
      <c r="AH10" s="173">
        <f t="shared" ca="1" si="4"/>
        <v>0.1451212827225126</v>
      </c>
      <c r="AI10" s="43">
        <f>'Masa propuesta'!AD10</f>
        <v>1.207E-6</v>
      </c>
      <c r="AJ10" s="173">
        <f t="shared" ca="1" si="5"/>
        <v>9161.7578653317796</v>
      </c>
      <c r="AK10" s="179">
        <f>'Masa propuesta'!AF10</f>
        <v>1.5E-6</v>
      </c>
      <c r="AL10" s="179">
        <f t="shared" ca="1" si="6"/>
        <v>5.6218556066101621</v>
      </c>
      <c r="AM10" s="173">
        <f t="shared" ca="1" si="7"/>
        <v>3.1640302449518071E-2</v>
      </c>
      <c r="AN10" s="176">
        <f>VLOOKUP(AB10,'Masa propuesta'!$V$5:$AG$19,12,FALSE)</f>
        <v>3.3</v>
      </c>
      <c r="AO10" s="173">
        <f t="shared" ca="1" si="8"/>
        <v>1.8968131688033477E-2</v>
      </c>
      <c r="AP10" s="176">
        <f ca="1">AQ8</f>
        <v>10.859339840768017</v>
      </c>
      <c r="AQ10" s="176">
        <f t="shared" ca="1" si="1"/>
        <v>10.878307972456051</v>
      </c>
      <c r="AS10" s="102" t="s">
        <v>309</v>
      </c>
      <c r="AT10" s="176">
        <f ca="1">MIN(AQ10,AQ16)</f>
        <v>10.798244761853034</v>
      </c>
    </row>
    <row r="11" spans="2:46" x14ac:dyDescent="0.3">
      <c r="W11" s="166" t="s">
        <v>43</v>
      </c>
      <c r="X11" s="68">
        <v>0.2</v>
      </c>
      <c r="Y11" s="102"/>
      <c r="Z11" s="176" t="str">
        <f t="shared" si="0"/>
        <v/>
      </c>
      <c r="AB11" s="168" t="str">
        <f>'Masa propuesta'!BA11</f>
        <v>G - K</v>
      </c>
      <c r="AC11" s="173">
        <f ca="1">'Masa propuesta'!BC11</f>
        <v>0.66309886548083052</v>
      </c>
      <c r="AD11" s="23">
        <f t="shared" ca="1" si="2"/>
        <v>6.6309886548083054E-4</v>
      </c>
      <c r="AE11" s="173">
        <f>'Masa propuesta'!Z11</f>
        <v>7.619999999999999E-2</v>
      </c>
      <c r="AF11" s="173">
        <f t="shared" si="3"/>
        <v>4.5603673118774788E-3</v>
      </c>
      <c r="AG11" s="170">
        <f>'Masa propuesta'!AB11</f>
        <v>19.399999999999999</v>
      </c>
      <c r="AH11" s="173">
        <f t="shared" ca="1" si="4"/>
        <v>0.14540470539594239</v>
      </c>
      <c r="AI11" s="43">
        <f>'Masa propuesta'!AD11</f>
        <v>1.207E-6</v>
      </c>
      <c r="AJ11" s="173">
        <f t="shared" ca="1" si="5"/>
        <v>9179.650829470429</v>
      </c>
      <c r="AK11" s="179">
        <f>'Masa propuesta'!AF11</f>
        <v>1.5E-6</v>
      </c>
      <c r="AL11" s="179">
        <f t="shared" ca="1" si="6"/>
        <v>5.6233191589250833</v>
      </c>
      <c r="AM11" s="173">
        <f t="shared" ca="1" si="7"/>
        <v>3.1623834875648224E-2</v>
      </c>
      <c r="AN11" s="176">
        <f>VLOOKUP(AB11,'Masa propuesta'!$V$5:$AG$19,12,FALSE)</f>
        <v>3</v>
      </c>
      <c r="AO11" s="173">
        <f t="shared" ca="1" si="8"/>
        <v>1.190879585787062E-2</v>
      </c>
      <c r="AP11" s="176">
        <f ca="1">AQ7</f>
        <v>10.757949496698902</v>
      </c>
      <c r="AQ11" s="176">
        <f t="shared" ca="1" si="1"/>
        <v>10.769858292556773</v>
      </c>
      <c r="AS11" s="102" t="s">
        <v>310</v>
      </c>
      <c r="AT11" s="176">
        <f ca="1">MIN(AQ8)</f>
        <v>10.859339840768017</v>
      </c>
    </row>
    <row r="12" spans="2:46" x14ac:dyDescent="0.3">
      <c r="W12" s="166" t="s">
        <v>345</v>
      </c>
      <c r="X12" s="68">
        <v>0.05</v>
      </c>
      <c r="Y12" s="102">
        <v>1</v>
      </c>
      <c r="Z12" s="176">
        <f t="shared" si="0"/>
        <v>0.05</v>
      </c>
      <c r="AB12" s="168" t="str">
        <f>'Masa propuesta'!BA12</f>
        <v>K - J</v>
      </c>
      <c r="AC12" s="173">
        <f ca="1">'Masa propuesta'!BC12</f>
        <v>0.15393224278802189</v>
      </c>
      <c r="AD12" s="23">
        <f t="shared" ca="1" si="2"/>
        <v>1.5393224278802191E-4</v>
      </c>
      <c r="AE12" s="173">
        <f>'Masa propuesta'!Z12</f>
        <v>7.619999999999999E-2</v>
      </c>
      <c r="AF12" s="173">
        <f t="shared" si="3"/>
        <v>4.5603673118774788E-3</v>
      </c>
      <c r="AG12" s="170">
        <f>'Masa propuesta'!AB12</f>
        <v>27.9</v>
      </c>
      <c r="AH12" s="173">
        <f t="shared" ca="1" si="4"/>
        <v>3.3754351845103642E-2</v>
      </c>
      <c r="AI12" s="43">
        <f>'Masa propuesta'!AD12</f>
        <v>1.207E-6</v>
      </c>
      <c r="AJ12" s="173">
        <f t="shared" ca="1" si="5"/>
        <v>2130.970679864869</v>
      </c>
      <c r="AK12" s="179">
        <f>'Masa propuesta'!AF12</f>
        <v>1.5E-6</v>
      </c>
      <c r="AL12" s="179">
        <f t="shared" ca="1" si="6"/>
        <v>4.542377729971566</v>
      </c>
      <c r="AM12" s="173">
        <f t="shared" ca="1" si="7"/>
        <v>4.8465590452216968E-2</v>
      </c>
      <c r="AN12" s="176">
        <f>VLOOKUP(AB12,'Masa propuesta'!$V$5:$AG$19,12,FALSE)</f>
        <v>2.1</v>
      </c>
      <c r="AO12" s="173">
        <f t="shared" ca="1" si="8"/>
        <v>1.1524382644945248E-3</v>
      </c>
      <c r="AP12" s="176">
        <f ca="1">AQ11</f>
        <v>10.769858292556773</v>
      </c>
      <c r="AQ12" s="176">
        <f t="shared" ca="1" si="1"/>
        <v>10.771010730821267</v>
      </c>
      <c r="AS12" s="102" t="s">
        <v>311</v>
      </c>
      <c r="AT12" s="176">
        <f ca="1">MIN(AQ7)</f>
        <v>10.757949496698902</v>
      </c>
    </row>
    <row r="13" spans="2:46" x14ac:dyDescent="0.3">
      <c r="W13" s="166" t="s">
        <v>44</v>
      </c>
      <c r="X13" s="68">
        <v>10</v>
      </c>
      <c r="Y13" s="102"/>
      <c r="Z13" s="176" t="str">
        <f t="shared" si="0"/>
        <v/>
      </c>
      <c r="AB13" s="168" t="str">
        <f>'Masa propuesta'!BA13</f>
        <v>K - H</v>
      </c>
      <c r="AC13" s="173">
        <f ca="1">'Masa propuesta'!BC13</f>
        <v>0.49926773763880472</v>
      </c>
      <c r="AD13" s="23">
        <f t="shared" ca="1" si="2"/>
        <v>4.9926773763880471E-4</v>
      </c>
      <c r="AE13" s="173">
        <f>'Masa propuesta'!Z13</f>
        <v>7.619999999999999E-2</v>
      </c>
      <c r="AF13" s="173">
        <f t="shared" si="3"/>
        <v>4.5603673118774788E-3</v>
      </c>
      <c r="AG13" s="170">
        <f>'Masa propuesta'!AB13</f>
        <v>15.21</v>
      </c>
      <c r="AH13" s="173">
        <f t="shared" ca="1" si="4"/>
        <v>0.10947972027131711</v>
      </c>
      <c r="AI13" s="43">
        <f>'Masa propuesta'!AD13</f>
        <v>1.207E-6</v>
      </c>
      <c r="AJ13" s="173">
        <f t="shared" ca="1" si="5"/>
        <v>6911.6443120748645</v>
      </c>
      <c r="AK13" s="179">
        <f>'Masa propuesta'!AF13</f>
        <v>1.5E-6</v>
      </c>
      <c r="AL13" s="179">
        <f t="shared" ca="1" si="6"/>
        <v>5.4109239227367665</v>
      </c>
      <c r="AM13" s="173">
        <f t="shared" ca="1" si="7"/>
        <v>3.4155224506967688E-2</v>
      </c>
      <c r="AN13" s="176">
        <f>VLOOKUP(AB13,'Masa propuesta'!$V$5:$AG$19,12,FALSE)</f>
        <v>2.4</v>
      </c>
      <c r="AO13" s="173">
        <f t="shared" ca="1" si="8"/>
        <v>5.6310076456477717E-3</v>
      </c>
      <c r="AP13" s="176">
        <f ca="1">AQ11</f>
        <v>10.769858292556773</v>
      </c>
      <c r="AQ13" s="176">
        <f t="shared" ca="1" si="1"/>
        <v>10.77548930020242</v>
      </c>
      <c r="AS13" s="102" t="s">
        <v>18</v>
      </c>
      <c r="AT13" s="176">
        <f ca="1">MIN(AQ13,AQ15)</f>
        <v>10.772226416268127</v>
      </c>
    </row>
    <row r="14" spans="2:46" x14ac:dyDescent="0.3">
      <c r="W14" s="166" t="s">
        <v>45</v>
      </c>
      <c r="X14" s="68">
        <v>5</v>
      </c>
      <c r="Y14" s="102"/>
      <c r="Z14" s="176" t="str">
        <f t="shared" si="0"/>
        <v/>
      </c>
      <c r="AB14" s="168" t="str">
        <f>'Masa propuesta'!BA14</f>
        <v>J - I</v>
      </c>
      <c r="AC14" s="173">
        <f ca="1">'Masa propuesta'!BC14</f>
        <v>0.1536244823273768</v>
      </c>
      <c r="AD14" s="23">
        <f t="shared" ca="1" si="2"/>
        <v>1.5362448232737679E-4</v>
      </c>
      <c r="AE14" s="173">
        <f>'Masa propuesta'!Z14</f>
        <v>7.619999999999999E-2</v>
      </c>
      <c r="AF14" s="173">
        <f t="shared" si="3"/>
        <v>4.5603673118774788E-3</v>
      </c>
      <c r="AG14" s="170">
        <f>'Masa propuesta'!AB14</f>
        <v>15.21</v>
      </c>
      <c r="AH14" s="173">
        <f t="shared" ca="1" si="4"/>
        <v>3.3686865952060871E-2</v>
      </c>
      <c r="AI14" s="43">
        <f>'Masa propuesta'!AD14</f>
        <v>1.207E-6</v>
      </c>
      <c r="AJ14" s="173">
        <f t="shared" ca="1" si="5"/>
        <v>2126.7101785808104</v>
      </c>
      <c r="AK14" s="179">
        <f>'Masa propuesta'!AF14</f>
        <v>1.5E-6</v>
      </c>
      <c r="AL14" s="179">
        <f t="shared" ca="1" si="6"/>
        <v>4.5409196975914892</v>
      </c>
      <c r="AM14" s="173">
        <f t="shared" ca="1" si="7"/>
        <v>4.8496718835730465E-2</v>
      </c>
      <c r="AN14" s="176">
        <f>VLOOKUP(AB14,'Masa propuesta'!$V$5:$AG$19,12,FALSE)</f>
        <v>1.5</v>
      </c>
      <c r="AO14" s="173">
        <f t="shared" ca="1" si="8"/>
        <v>6.4665665403176528E-4</v>
      </c>
      <c r="AP14" s="176">
        <f ca="1">AQ12</f>
        <v>10.771010730821267</v>
      </c>
      <c r="AQ14" s="176">
        <f t="shared" ca="1" si="1"/>
        <v>10.771657387475299</v>
      </c>
      <c r="AS14" s="102" t="s">
        <v>312</v>
      </c>
      <c r="AT14" s="176">
        <f ca="1">MIN(AQ14)</f>
        <v>10.771657387475299</v>
      </c>
    </row>
    <row r="15" spans="2:46" x14ac:dyDescent="0.3">
      <c r="W15" s="166" t="s">
        <v>46</v>
      </c>
      <c r="X15" s="68">
        <v>0.3</v>
      </c>
      <c r="Y15" s="102">
        <v>1</v>
      </c>
      <c r="Z15" s="176">
        <f t="shared" si="0"/>
        <v>0.3</v>
      </c>
      <c r="AB15" s="168" t="str">
        <f>'Masa propuesta'!BA15</f>
        <v>I - H</v>
      </c>
      <c r="AC15" s="173">
        <f ca="1">'Masa propuesta'!BC15</f>
        <v>0.12362448232737681</v>
      </c>
      <c r="AD15" s="23">
        <f t="shared" ca="1" si="2"/>
        <v>1.2362448232737682E-4</v>
      </c>
      <c r="AE15" s="173">
        <f>'Masa propuesta'!Z15</f>
        <v>7.619999999999999E-2</v>
      </c>
      <c r="AF15" s="173">
        <f t="shared" si="3"/>
        <v>4.5603673118774788E-3</v>
      </c>
      <c r="AG15" s="170">
        <f>'Masa propuesta'!AB15</f>
        <v>27.9</v>
      </c>
      <c r="AH15" s="173">
        <f t="shared" ca="1" si="4"/>
        <v>2.7108448480760924E-2</v>
      </c>
      <c r="AI15" s="43">
        <f>'Masa propuesta'!AD15</f>
        <v>1.207E-6</v>
      </c>
      <c r="AJ15" s="173">
        <f t="shared" ca="1" si="5"/>
        <v>1711.4032926545005</v>
      </c>
      <c r="AK15" s="179">
        <f>'Masa propuesta'!AF15</f>
        <v>1.5E-6</v>
      </c>
      <c r="AL15" s="179"/>
      <c r="AM15" s="173">
        <f ca="1">64/AJ15</f>
        <v>3.7396211795719836E-2</v>
      </c>
      <c r="AN15" s="176">
        <f>VLOOKUP(AB15,'Masa propuesta'!$V$5:$AG$19,12,FALSE)</f>
        <v>1.5</v>
      </c>
      <c r="AO15" s="173">
        <f t="shared" ca="1" si="8"/>
        <v>5.6902879283073093E-4</v>
      </c>
      <c r="AP15" s="176">
        <f ca="1">AQ14</f>
        <v>10.771657387475299</v>
      </c>
      <c r="AQ15" s="176">
        <f t="shared" ca="1" si="1"/>
        <v>10.772226416268129</v>
      </c>
      <c r="AS15" s="102" t="s">
        <v>29</v>
      </c>
      <c r="AT15" s="176">
        <f ca="1">MIN(AQ12)</f>
        <v>10.771010730821267</v>
      </c>
    </row>
    <row r="16" spans="2:46" x14ac:dyDescent="0.3">
      <c r="W16" s="166" t="s">
        <v>47</v>
      </c>
      <c r="X16" s="68">
        <v>1.8</v>
      </c>
      <c r="Y16" s="102">
        <v>2</v>
      </c>
      <c r="Z16" s="176">
        <f t="shared" si="0"/>
        <v>3.6</v>
      </c>
      <c r="AB16" s="168" t="str">
        <f>'Masa propuesta'!BA16</f>
        <v>H - E</v>
      </c>
      <c r="AC16" s="173">
        <f ca="1">'Masa propuesta'!BC16</f>
        <v>0.58309886548083056</v>
      </c>
      <c r="AD16" s="23">
        <f t="shared" ca="1" si="2"/>
        <v>5.8309886548083055E-4</v>
      </c>
      <c r="AE16" s="173">
        <f>'Masa propuesta'!Z16</f>
        <v>7.619999999999999E-2</v>
      </c>
      <c r="AF16" s="173">
        <f t="shared" si="3"/>
        <v>4.5603673118774788E-3</v>
      </c>
      <c r="AG16" s="170">
        <f>'Masa propuesta'!AB16</f>
        <v>65</v>
      </c>
      <c r="AH16" s="173">
        <f t="shared" ca="1" si="4"/>
        <v>0.1278622588058092</v>
      </c>
      <c r="AI16" s="43">
        <f>'Masa propuesta'!AD16</f>
        <v>1.207E-6</v>
      </c>
      <c r="AJ16" s="173">
        <f t="shared" ca="1" si="5"/>
        <v>8072.1658003336033</v>
      </c>
      <c r="AK16" s="179">
        <f>'Masa propuesta'!AF16</f>
        <v>1.5E-6</v>
      </c>
      <c r="AL16" s="179">
        <f t="shared" ca="1" si="6"/>
        <v>5.5269732177072299</v>
      </c>
      <c r="AM16" s="173">
        <f t="shared" ca="1" si="7"/>
        <v>3.2735974956103586E-2</v>
      </c>
      <c r="AN16" s="176">
        <f>VLOOKUP(AB16,'Masa propuesta'!$V$5:$AG$19,12,FALSE)</f>
        <v>3.3</v>
      </c>
      <c r="AO16" s="173">
        <f t="shared" ca="1" si="8"/>
        <v>2.6018345584907048E-2</v>
      </c>
      <c r="AP16" s="176">
        <f ca="1">MIN(AQ15,AQ13)</f>
        <v>10.772226416268129</v>
      </c>
      <c r="AQ16" s="176">
        <f t="shared" ca="1" si="1"/>
        <v>10.798244761853036</v>
      </c>
      <c r="AS16" s="102" t="s">
        <v>269</v>
      </c>
      <c r="AT16" s="176">
        <f ca="1">MIN(AQ11)</f>
        <v>10.769858292556773</v>
      </c>
    </row>
    <row r="17" spans="23:43" x14ac:dyDescent="0.3">
      <c r="W17" s="166" t="s">
        <v>48</v>
      </c>
      <c r="X17" s="68">
        <v>1.8</v>
      </c>
      <c r="Y17" s="102"/>
      <c r="Z17" s="176" t="str">
        <f t="shared" si="0"/>
        <v/>
      </c>
      <c r="AB17" s="168" t="str">
        <f>'Masa propuesta'!BA17</f>
        <v>E - D</v>
      </c>
      <c r="AC17" s="173">
        <f ca="1">'Masa propuesta'!BC17</f>
        <v>1.1946985739516578</v>
      </c>
      <c r="AD17" s="23">
        <f t="shared" ca="1" si="2"/>
        <v>1.1946985739516578E-3</v>
      </c>
      <c r="AE17" s="173">
        <f>'Masa propuesta'!Z17</f>
        <v>7.619999999999999E-2</v>
      </c>
      <c r="AF17" s="173">
        <f t="shared" si="3"/>
        <v>4.5603673118774788E-3</v>
      </c>
      <c r="AG17" s="170">
        <f>'Masa propuesta'!AB17</f>
        <v>37.6</v>
      </c>
      <c r="AH17" s="173">
        <f t="shared" ca="1" si="4"/>
        <v>0.26197419906069075</v>
      </c>
      <c r="AI17" s="43">
        <f>'Masa propuesta'!AD17</f>
        <v>1.207E-6</v>
      </c>
      <c r="AJ17" s="173">
        <f t="shared" ca="1" si="5"/>
        <v>16538.884812282213</v>
      </c>
      <c r="AK17" s="179">
        <f>'Masa propuesta'!AF17</f>
        <v>1.5E-6</v>
      </c>
      <c r="AL17" s="179">
        <f t="shared" ca="1" si="6"/>
        <v>6.0667483864154521</v>
      </c>
      <c r="AM17" s="173">
        <f t="shared" ca="1" si="7"/>
        <v>2.7169899588547045E-2</v>
      </c>
      <c r="AN17" s="176">
        <f>VLOOKUP(AB17,'Masa propuesta'!$V$5:$AG$19,12,FALSE)</f>
        <v>2.7</v>
      </c>
      <c r="AO17" s="173">
        <f t="shared" ca="1" si="8"/>
        <v>5.6340901245575815E-2</v>
      </c>
      <c r="AP17" s="176">
        <f ca="1">MIN(AQ16,AQ10)</f>
        <v>10.798244761853036</v>
      </c>
      <c r="AQ17" s="176">
        <f t="shared" ca="1" si="1"/>
        <v>10.854585663098613</v>
      </c>
    </row>
    <row r="18" spans="23:43" x14ac:dyDescent="0.3">
      <c r="W18" s="166" t="s">
        <v>49</v>
      </c>
      <c r="X18" s="68">
        <v>3</v>
      </c>
      <c r="Y18" s="102"/>
      <c r="Z18" s="176" t="str">
        <f t="shared" si="0"/>
        <v/>
      </c>
      <c r="AB18" s="168" t="str">
        <f>'Masa propuesta'!BA18</f>
        <v>D - C</v>
      </c>
      <c r="AC18" s="173">
        <f ca="1">'Masa propuesta'!BC18</f>
        <v>1.174698573951658</v>
      </c>
      <c r="AD18" s="23">
        <f t="shared" ca="1" si="2"/>
        <v>1.174698573951658E-3</v>
      </c>
      <c r="AE18" s="173">
        <f>'Masa propuesta'!Z18</f>
        <v>7.619999999999999E-2</v>
      </c>
      <c r="AF18" s="173">
        <f t="shared" si="3"/>
        <v>4.5603673118774788E-3</v>
      </c>
      <c r="AG18" s="170">
        <f>'Masa propuesta'!AB18</f>
        <v>46.658000000000001</v>
      </c>
      <c r="AH18" s="173">
        <f t="shared" ca="1" si="4"/>
        <v>0.25758858741315749</v>
      </c>
      <c r="AI18" s="43">
        <f>'Masa propuesta'!AD18</f>
        <v>1.207E-6</v>
      </c>
      <c r="AJ18" s="173">
        <f t="shared" ca="1" si="5"/>
        <v>16262.01355499801</v>
      </c>
      <c r="AK18" s="179">
        <f>'Masa propuesta'!AF18</f>
        <v>1.5E-6</v>
      </c>
      <c r="AL18" s="179">
        <f t="shared" ca="1" si="6"/>
        <v>6.0539868052814709</v>
      </c>
      <c r="AM18" s="173">
        <f t="shared" ca="1" si="7"/>
        <v>2.728456661281493E-2</v>
      </c>
      <c r="AN18" s="176">
        <f>VLOOKUP(AB18,'Masa propuesta'!$V$5:$AG$19,12,FALSE)</f>
        <v>2.4</v>
      </c>
      <c r="AO18" s="173">
        <f t="shared" ca="1" si="8"/>
        <v>6.461565627599869E-2</v>
      </c>
      <c r="AP18" s="176">
        <f ca="1">AQ17</f>
        <v>10.854585663098613</v>
      </c>
      <c r="AQ18" s="176">
        <f t="shared" ca="1" si="1"/>
        <v>10.919201319374611</v>
      </c>
    </row>
    <row r="19" spans="23:43" x14ac:dyDescent="0.3">
      <c r="W19" s="166" t="s">
        <v>50</v>
      </c>
      <c r="X19" s="68">
        <v>2.5</v>
      </c>
      <c r="Y19" s="102"/>
      <c r="Z19" s="176" t="str">
        <f t="shared" si="0"/>
        <v/>
      </c>
      <c r="AB19" s="168" t="str">
        <f>'Masa propuesta'!BA19</f>
        <v>C - Hidr.</v>
      </c>
      <c r="AC19" s="173">
        <f ca="1">'Masa propuesta'!BC19</f>
        <v>1.134698573951658</v>
      </c>
      <c r="AD19" s="23">
        <f t="shared" ca="1" si="2"/>
        <v>1.1346985739516579E-3</v>
      </c>
      <c r="AE19" s="173">
        <f>'Masa propuesta'!Z19</f>
        <v>7.619999999999999E-2</v>
      </c>
      <c r="AF19" s="173">
        <f t="shared" si="3"/>
        <v>4.5603673118774788E-3</v>
      </c>
      <c r="AG19" s="170">
        <f>'Masa propuesta'!AB19</f>
        <v>15.552</v>
      </c>
      <c r="AH19" s="173">
        <f t="shared" ca="1" si="4"/>
        <v>0.24881736411809086</v>
      </c>
      <c r="AI19" s="43">
        <f>'Masa propuesta'!AD19</f>
        <v>1.207E-6</v>
      </c>
      <c r="AJ19" s="173">
        <f t="shared" ca="1" si="5"/>
        <v>15708.271040429592</v>
      </c>
      <c r="AK19" s="179">
        <f>'Masa propuesta'!AF19</f>
        <v>1.5E-6</v>
      </c>
      <c r="AL19" s="179">
        <f t="shared" ca="1" si="6"/>
        <v>6.0278061534049581</v>
      </c>
      <c r="AM19" s="173">
        <f t="shared" ca="1" si="7"/>
        <v>2.7522092172374543E-2</v>
      </c>
      <c r="AN19" s="176">
        <f>VLOOKUP(AB19,'Masa propuesta'!$V$5:$AG$19,12,FALSE)</f>
        <v>3.3</v>
      </c>
      <c r="AO19" s="173">
        <f t="shared" ca="1" si="8"/>
        <v>2.8137555219855847E-2</v>
      </c>
      <c r="AP19" s="176">
        <f ca="1">AQ18</f>
        <v>10.919201319374611</v>
      </c>
      <c r="AQ19" s="176">
        <f t="shared" ca="1" si="1"/>
        <v>10.947338874594466</v>
      </c>
    </row>
    <row r="20" spans="23:43" x14ac:dyDescent="0.3">
      <c r="W20" s="166" t="s">
        <v>51</v>
      </c>
      <c r="X20" s="68">
        <v>0.35</v>
      </c>
      <c r="Y20" s="102"/>
      <c r="Z20" s="176" t="str">
        <f t="shared" si="0"/>
        <v/>
      </c>
      <c r="AI20" s="74"/>
      <c r="AJ20" s="74"/>
      <c r="AK20" s="74"/>
      <c r="AL20" s="74"/>
      <c r="AM20" s="73"/>
      <c r="AN20" s="73"/>
      <c r="AO20" s="74"/>
    </row>
    <row r="21" spans="23:43" x14ac:dyDescent="0.3">
      <c r="W21" s="166" t="s">
        <v>52</v>
      </c>
      <c r="X21" s="68">
        <v>0.3</v>
      </c>
      <c r="Y21" s="102"/>
      <c r="Z21" s="176" t="str">
        <f t="shared" si="0"/>
        <v/>
      </c>
    </row>
    <row r="22" spans="23:43" x14ac:dyDescent="0.3">
      <c r="W22" s="166" t="s">
        <v>37</v>
      </c>
      <c r="X22" s="68">
        <v>1</v>
      </c>
      <c r="Y22" s="102"/>
      <c r="Z22" s="176" t="str">
        <f t="shared" si="0"/>
        <v/>
      </c>
      <c r="AI22" s="178"/>
      <c r="AJ22" s="178"/>
      <c r="AK22" s="178"/>
    </row>
    <row r="23" spans="23:43" x14ac:dyDescent="0.3">
      <c r="W23" s="172" t="s">
        <v>15</v>
      </c>
      <c r="X23" s="129"/>
      <c r="Y23" s="19"/>
      <c r="Z23" s="176">
        <f>SUM(Z3:Z22)</f>
        <v>7.4499999999999993</v>
      </c>
      <c r="AI23" s="178"/>
      <c r="AJ23" s="178"/>
      <c r="AK23" s="178"/>
    </row>
    <row r="24" spans="23:43" x14ac:dyDescent="0.3">
      <c r="AI24" s="178"/>
      <c r="AJ24" s="178"/>
      <c r="AK24" s="178"/>
    </row>
    <row r="25" spans="23:43" x14ac:dyDescent="0.3">
      <c r="AI25" s="178"/>
      <c r="AJ25" s="178"/>
      <c r="AK25" s="178"/>
    </row>
    <row r="26" spans="23:43" x14ac:dyDescent="0.3">
      <c r="AI26" s="178"/>
      <c r="AJ26" s="178"/>
      <c r="AK26" s="178"/>
    </row>
    <row r="27" spans="23:43" x14ac:dyDescent="0.3">
      <c r="AI27" s="178"/>
      <c r="AJ27" s="178"/>
      <c r="AK27" s="178"/>
    </row>
    <row r="28" spans="23:43" x14ac:dyDescent="0.3">
      <c r="AI28" s="178"/>
      <c r="AJ28" s="178"/>
      <c r="AK28" s="178"/>
    </row>
    <row r="29" spans="23:43" x14ac:dyDescent="0.3">
      <c r="AI29" s="178"/>
      <c r="AJ29" s="178"/>
      <c r="AK29" s="178"/>
    </row>
    <row r="30" spans="23:43" x14ac:dyDescent="0.3">
      <c r="AI30" s="178"/>
      <c r="AJ30" s="178"/>
      <c r="AK30" s="178"/>
    </row>
    <row r="31" spans="23:43" x14ac:dyDescent="0.3">
      <c r="W31" s="73"/>
      <c r="X31" s="73"/>
      <c r="Y31" s="73"/>
      <c r="Z31" s="73"/>
      <c r="AI31" s="178"/>
      <c r="AJ31" s="178"/>
      <c r="AK31" s="178"/>
    </row>
    <row r="32" spans="23:43" x14ac:dyDescent="0.3">
      <c r="W32" s="73"/>
      <c r="X32" s="73"/>
      <c r="Y32" s="73"/>
      <c r="Z32" s="73"/>
      <c r="AI32" s="178"/>
      <c r="AJ32" s="178"/>
      <c r="AK32" s="178"/>
    </row>
    <row r="33" spans="23:37" x14ac:dyDescent="0.3">
      <c r="W33" s="73"/>
      <c r="X33" s="73"/>
      <c r="Y33" s="73"/>
      <c r="Z33" s="73"/>
      <c r="AI33" s="178"/>
      <c r="AJ33" s="178"/>
      <c r="AK33" s="178"/>
    </row>
    <row r="34" spans="23:37" x14ac:dyDescent="0.3">
      <c r="W34" s="73"/>
      <c r="X34" s="73"/>
      <c r="Y34" s="73"/>
      <c r="Z34" s="73"/>
      <c r="AI34" s="178"/>
      <c r="AJ34" s="178"/>
      <c r="AK34" s="178"/>
    </row>
    <row r="35" spans="23:37" x14ac:dyDescent="0.3">
      <c r="AI35" s="178"/>
      <c r="AJ35" s="178"/>
      <c r="AK35" s="178"/>
    </row>
    <row r="36" spans="23:37" x14ac:dyDescent="0.3">
      <c r="AI36" s="178"/>
      <c r="AJ36" s="178"/>
      <c r="AK36" s="178"/>
    </row>
    <row r="37" spans="23:37" x14ac:dyDescent="0.3">
      <c r="AI37" s="178"/>
      <c r="AJ37" s="178"/>
      <c r="AK37" s="178"/>
    </row>
    <row r="38" spans="23:37" x14ac:dyDescent="0.3">
      <c r="AI38" s="178"/>
      <c r="AJ38" s="178"/>
      <c r="AK38" s="178"/>
    </row>
    <row r="39" spans="23:37" x14ac:dyDescent="0.3">
      <c r="AI39" s="178"/>
      <c r="AJ39" s="178"/>
      <c r="AK39" s="178"/>
    </row>
    <row r="40" spans="23:37" x14ac:dyDescent="0.3">
      <c r="AI40" s="178"/>
      <c r="AJ40" s="178"/>
      <c r="AK40" s="178"/>
    </row>
    <row r="41" spans="23:37" x14ac:dyDescent="0.3">
      <c r="AI41" s="76"/>
      <c r="AJ41" s="73"/>
      <c r="AK41" s="73"/>
    </row>
    <row r="42" spans="23:37" x14ac:dyDescent="0.3">
      <c r="AI42" s="76"/>
      <c r="AJ42" s="73"/>
      <c r="AK42" s="73"/>
    </row>
    <row r="43" spans="23:37" x14ac:dyDescent="0.3">
      <c r="AI43" s="76"/>
      <c r="AJ43" s="73"/>
      <c r="AK43" s="73"/>
    </row>
  </sheetData>
  <mergeCells count="34">
    <mergeCell ref="AS3:AS4"/>
    <mergeCell ref="AT3:AT4"/>
    <mergeCell ref="O2:O3"/>
    <mergeCell ref="P2:P3"/>
    <mergeCell ref="Q2:Q3"/>
    <mergeCell ref="R2:R3"/>
    <mergeCell ref="S2:T3"/>
    <mergeCell ref="U2:U3"/>
    <mergeCell ref="AN3:AN4"/>
    <mergeCell ref="AQ3:AQ4"/>
    <mergeCell ref="AP3:AP4"/>
    <mergeCell ref="AL3:AM4"/>
    <mergeCell ref="AO3:AO4"/>
    <mergeCell ref="AC3:AD3"/>
    <mergeCell ref="AE3:AE4"/>
    <mergeCell ref="AF3:AF4"/>
    <mergeCell ref="B2:B3"/>
    <mergeCell ref="C2:C3"/>
    <mergeCell ref="D2:D3"/>
    <mergeCell ref="E2:E3"/>
    <mergeCell ref="F2:F3"/>
    <mergeCell ref="AG3:AG4"/>
    <mergeCell ref="AH3:AH4"/>
    <mergeCell ref="AI3:AI4"/>
    <mergeCell ref="AJ3:AJ4"/>
    <mergeCell ref="AK3:AK4"/>
    <mergeCell ref="G2:G3"/>
    <mergeCell ref="H2:H3"/>
    <mergeCell ref="I2:I3"/>
    <mergeCell ref="J2:K2"/>
    <mergeCell ref="AB3:AB4"/>
    <mergeCell ref="M2:M3"/>
    <mergeCell ref="N2:N3"/>
    <mergeCell ref="L2:L3"/>
  </mergeCells>
  <pageMargins left="0.7" right="0.7" top="0.75" bottom="0.75" header="0.3" footer="0.3"/>
  <pageSetup paperSize="9" orientation="portrait" horizontalDpi="0" verticalDpi="0" r:id="rId1"/>
  <ignoredErrors>
    <ignoredError sqref="AP5:AQ6 AP8:AQ15 AQ7 AP18:AQ19 AQ16 AQ17" evalError="1"/>
    <ignoredError sqref="AP7" evalError="1"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G14"/>
  <sheetViews>
    <sheetView topLeftCell="L1" workbookViewId="0">
      <selection activeCell="T23" sqref="T23"/>
    </sheetView>
  </sheetViews>
  <sheetFormatPr baseColWidth="10" defaultColWidth="11.5546875" defaultRowHeight="14.4" x14ac:dyDescent="0.3"/>
  <cols>
    <col min="1" max="1" width="5.6640625" style="165" customWidth="1"/>
    <col min="2" max="2" width="5.6640625" style="165" bestFit="1" customWidth="1"/>
    <col min="3" max="3" width="10.33203125" style="165" bestFit="1" customWidth="1"/>
    <col min="4" max="4" width="9.44140625" style="165" bestFit="1" customWidth="1"/>
    <col min="5" max="5" width="4.5546875" style="165" bestFit="1" customWidth="1"/>
    <col min="6" max="6" width="8.5546875" style="165" bestFit="1" customWidth="1"/>
    <col min="7" max="7" width="13.88671875" style="165" customWidth="1"/>
    <col min="8" max="8" width="7.44140625" style="165" bestFit="1" customWidth="1"/>
    <col min="9" max="9" width="7.33203125" style="165" bestFit="1" customWidth="1"/>
    <col min="10" max="10" width="5.33203125" style="198" bestFit="1" customWidth="1"/>
    <col min="11" max="11" width="5.5546875" style="165" bestFit="1" customWidth="1"/>
    <col min="12" max="12" width="6.109375" style="165" customWidth="1"/>
    <col min="13" max="13" width="11.109375" style="165" customWidth="1"/>
    <col min="14" max="14" width="12.33203125" style="165" customWidth="1"/>
    <col min="15" max="15" width="8.5546875" style="165" customWidth="1"/>
    <col min="16" max="16" width="16.44140625" style="165" customWidth="1"/>
    <col min="17" max="17" width="5.6640625" style="165" customWidth="1"/>
    <col min="18" max="18" width="13.6640625" style="165" customWidth="1"/>
    <col min="19" max="19" width="6.44140625" style="165" bestFit="1" customWidth="1"/>
    <col min="20" max="20" width="6.33203125" style="165" bestFit="1" customWidth="1"/>
    <col min="21" max="21" width="12.44140625" style="165" bestFit="1" customWidth="1"/>
    <col min="22" max="22" width="10.6640625" style="165" customWidth="1"/>
    <col min="23" max="23" width="7.44140625" style="165" bestFit="1" customWidth="1"/>
    <col min="24" max="24" width="7.6640625" style="165" customWidth="1"/>
    <col min="25" max="25" width="9.6640625" style="165" bestFit="1" customWidth="1"/>
    <col min="26" max="30" width="5.6640625" style="165" customWidth="1"/>
    <col min="31" max="31" width="6.44140625" style="165" bestFit="1" customWidth="1"/>
    <col min="32" max="32" width="6.33203125" style="165" bestFit="1" customWidth="1"/>
    <col min="33" max="33" width="6.5546875" style="165" bestFit="1" customWidth="1"/>
    <col min="34" max="16384" width="11.5546875" style="165"/>
  </cols>
  <sheetData>
    <row r="2" spans="2:33" ht="14.4" customHeight="1" x14ac:dyDescent="0.3">
      <c r="B2" s="204" t="s">
        <v>367</v>
      </c>
      <c r="C2" s="204"/>
      <c r="D2" s="204" t="s">
        <v>368</v>
      </c>
      <c r="E2" s="204" t="s">
        <v>386</v>
      </c>
      <c r="F2" s="204"/>
      <c r="G2" s="203" t="s">
        <v>388</v>
      </c>
      <c r="H2" s="204" t="s">
        <v>370</v>
      </c>
      <c r="I2" s="203" t="s">
        <v>389</v>
      </c>
      <c r="J2" s="203" t="s">
        <v>63</v>
      </c>
      <c r="K2" s="203"/>
      <c r="L2" s="203" t="s">
        <v>391</v>
      </c>
      <c r="M2" s="203" t="s">
        <v>371</v>
      </c>
      <c r="N2" s="203" t="s">
        <v>372</v>
      </c>
      <c r="O2" s="203" t="s">
        <v>373</v>
      </c>
      <c r="P2" s="203" t="s">
        <v>392</v>
      </c>
      <c r="Q2" s="203" t="s">
        <v>374</v>
      </c>
      <c r="R2" s="203" t="s">
        <v>393</v>
      </c>
      <c r="S2" s="204" t="s">
        <v>394</v>
      </c>
      <c r="T2" s="204"/>
      <c r="U2" s="204"/>
      <c r="V2" s="203" t="s">
        <v>395</v>
      </c>
      <c r="W2" s="223" t="s">
        <v>396</v>
      </c>
      <c r="X2" s="203" t="s">
        <v>397</v>
      </c>
      <c r="Y2" s="203" t="s">
        <v>398</v>
      </c>
      <c r="AA2" s="204" t="s">
        <v>443</v>
      </c>
      <c r="AB2" s="204"/>
      <c r="AC2" s="204"/>
      <c r="AD2" s="204"/>
      <c r="AE2" s="204" t="s">
        <v>394</v>
      </c>
      <c r="AF2" s="204"/>
      <c r="AG2" s="204"/>
    </row>
    <row r="3" spans="2:33" x14ac:dyDescent="0.3">
      <c r="B3" s="161" t="s">
        <v>305</v>
      </c>
      <c r="C3" s="161" t="s">
        <v>385</v>
      </c>
      <c r="D3" s="204"/>
      <c r="E3" s="161" t="s">
        <v>387</v>
      </c>
      <c r="F3" s="161" t="s">
        <v>369</v>
      </c>
      <c r="G3" s="203"/>
      <c r="H3" s="204"/>
      <c r="I3" s="203"/>
      <c r="J3" s="195" t="s">
        <v>400</v>
      </c>
      <c r="K3" s="195" t="s">
        <v>106</v>
      </c>
      <c r="L3" s="203"/>
      <c r="M3" s="203"/>
      <c r="N3" s="203"/>
      <c r="O3" s="203"/>
      <c r="P3" s="203"/>
      <c r="Q3" s="203"/>
      <c r="R3" s="203"/>
      <c r="S3" s="161" t="s">
        <v>377</v>
      </c>
      <c r="T3" s="161" t="s">
        <v>376</v>
      </c>
      <c r="U3" s="161" t="s">
        <v>445</v>
      </c>
      <c r="V3" s="203"/>
      <c r="W3" s="225"/>
      <c r="X3" s="203"/>
      <c r="Y3" s="203"/>
      <c r="AA3" s="204"/>
      <c r="AB3" s="204"/>
      <c r="AC3" s="204"/>
      <c r="AD3" s="204"/>
      <c r="AE3" s="194" t="s">
        <v>375</v>
      </c>
      <c r="AF3" s="194" t="s">
        <v>376</v>
      </c>
      <c r="AG3" s="194" t="s">
        <v>377</v>
      </c>
    </row>
    <row r="4" spans="2:33" x14ac:dyDescent="0.3">
      <c r="B4" s="200" t="s">
        <v>306</v>
      </c>
      <c r="C4" s="200" t="s">
        <v>381</v>
      </c>
      <c r="D4" s="102" t="s">
        <v>378</v>
      </c>
      <c r="E4" s="102"/>
      <c r="F4" s="162" t="str">
        <f>IF(E4="","",RADIANS(E4))</f>
        <v/>
      </c>
      <c r="G4" s="102">
        <v>999.4</v>
      </c>
      <c r="H4" s="163">
        <f ca="1">VLOOKUP(B4,'Energia propuesta'!$AS$5:$AT$16,2,FALSE)</f>
        <v>10.647796367905674</v>
      </c>
      <c r="I4" s="164">
        <f ca="1">'Masa propuesta'!I15</f>
        <v>1.2145301737599397</v>
      </c>
      <c r="J4" s="135">
        <v>3</v>
      </c>
      <c r="K4" s="163">
        <f>J4*0.0254</f>
        <v>7.619999999999999E-2</v>
      </c>
      <c r="L4" s="163">
        <f t="shared" ref="L4:L14" si="0">PI()*((K4^2)/4)</f>
        <v>4.5603673118774788E-3</v>
      </c>
      <c r="M4" s="163">
        <f ca="1">G4*H4*L4</f>
        <v>48.528727782224948</v>
      </c>
      <c r="N4" s="163">
        <f t="shared" ref="N4:N14" ca="1" si="1">(2*G4*L4*(I4^2))/9.81</f>
        <v>1.3706190862387524</v>
      </c>
      <c r="O4" s="163">
        <f ca="1">M4+N4</f>
        <v>49.899346868463702</v>
      </c>
      <c r="P4" s="102">
        <v>4.7690000000000001</v>
      </c>
      <c r="Q4" s="102">
        <v>0.6</v>
      </c>
      <c r="R4" s="163">
        <f ca="1">O4/P4</f>
        <v>10.463272566253659</v>
      </c>
      <c r="S4" s="133">
        <v>5</v>
      </c>
      <c r="T4" s="115">
        <f ca="1">ROUNDUP(R4/S4,0)</f>
        <v>3</v>
      </c>
      <c r="U4" s="102">
        <v>10</v>
      </c>
      <c r="V4" s="164">
        <f ca="1">S4*T4*U4*0.0023</f>
        <v>0.34499999999999997</v>
      </c>
      <c r="W4" s="163">
        <f t="shared" ref="W4:W13" ca="1" si="2">R4</f>
        <v>10.463272566253659</v>
      </c>
      <c r="X4" s="163">
        <f ca="1">(V4*Q4)+(S4*T4*(P4/2))</f>
        <v>35.974499999999999</v>
      </c>
      <c r="Y4" s="162" t="str">
        <f ca="1">IF(W4&lt;X4,"Cumple","No cumple")</f>
        <v>Cumple</v>
      </c>
      <c r="AA4" s="196" t="s">
        <v>306</v>
      </c>
      <c r="AB4" s="196" t="s">
        <v>311</v>
      </c>
      <c r="AC4" s="293" t="s">
        <v>269</v>
      </c>
      <c r="AD4" s="318"/>
      <c r="AE4" s="201">
        <f>S4</f>
        <v>5</v>
      </c>
      <c r="AF4" s="201">
        <f ca="1">T4</f>
        <v>3</v>
      </c>
      <c r="AG4" s="7">
        <f>U4</f>
        <v>10</v>
      </c>
    </row>
    <row r="5" spans="2:33" x14ac:dyDescent="0.3">
      <c r="B5" s="200" t="s">
        <v>307</v>
      </c>
      <c r="C5" s="200" t="s">
        <v>382</v>
      </c>
      <c r="D5" s="102" t="s">
        <v>378</v>
      </c>
      <c r="E5" s="102"/>
      <c r="F5" s="162" t="str">
        <f t="shared" ref="F5:F13" si="3">IF(E5="","",RADIANS(E5))</f>
        <v/>
      </c>
      <c r="G5" s="102">
        <v>999.4</v>
      </c>
      <c r="H5" s="197">
        <f ca="1">VLOOKUP(B5,'Energia propuesta'!$AS$5:$AT$16,2,FALSE)</f>
        <v>10.866407868976975</v>
      </c>
      <c r="I5" s="164">
        <f ca="1">MAX('Masa propuesta'!BF5,'Masa propuesta'!BF9)</f>
        <v>0.77393647578075142</v>
      </c>
      <c r="J5" s="135">
        <v>3</v>
      </c>
      <c r="K5" s="197">
        <f t="shared" ref="K5:K14" si="4">J5*0.0254</f>
        <v>7.619999999999999E-2</v>
      </c>
      <c r="L5" s="163">
        <f t="shared" si="0"/>
        <v>4.5603673118774788E-3</v>
      </c>
      <c r="M5" s="163">
        <f ca="1">G5*H5*L5</f>
        <v>49.525078356464881</v>
      </c>
      <c r="N5" s="163">
        <f t="shared" ca="1" si="1"/>
        <v>0.55655845978883101</v>
      </c>
      <c r="O5" s="163">
        <f t="shared" ref="O5:O13" ca="1" si="5">M5+N5</f>
        <v>50.081636816253713</v>
      </c>
      <c r="P5" s="200">
        <v>4.7690000000000001</v>
      </c>
      <c r="Q5" s="102">
        <v>0.6</v>
      </c>
      <c r="R5" s="163">
        <f t="shared" ref="R5:R13" ca="1" si="6">O5/P5</f>
        <v>10.501496501625857</v>
      </c>
      <c r="S5" s="133">
        <v>5</v>
      </c>
      <c r="T5" s="115">
        <f t="shared" ref="T5:T13" ca="1" si="7">ROUNDUP(R5/S5,0)</f>
        <v>3</v>
      </c>
      <c r="U5" s="102">
        <v>10</v>
      </c>
      <c r="V5" s="199">
        <f t="shared" ref="V5:V13" ca="1" si="8">S5*T5*U5*0.0023</f>
        <v>0.34499999999999997</v>
      </c>
      <c r="W5" s="163">
        <f t="shared" ca="1" si="2"/>
        <v>10.501496501625857</v>
      </c>
      <c r="X5" s="197">
        <f t="shared" ref="X5:X13" ca="1" si="9">(V5*Q5)+(S5*T5*(P5/2))</f>
        <v>35.974499999999999</v>
      </c>
      <c r="Y5" s="162" t="str">
        <f t="shared" ref="Y5:Y13" ca="1" si="10">IF(W5&lt;X5,"Cumple","No cumple")</f>
        <v>Cumple</v>
      </c>
      <c r="AA5" s="196" t="s">
        <v>29</v>
      </c>
      <c r="AB5" s="196" t="s">
        <v>312</v>
      </c>
      <c r="AC5" s="293" t="s">
        <v>308</v>
      </c>
      <c r="AD5" s="318"/>
      <c r="AE5" s="201">
        <f>S6</f>
        <v>5</v>
      </c>
      <c r="AF5" s="201">
        <f ca="1">T6</f>
        <v>3</v>
      </c>
      <c r="AG5" s="7">
        <f>U6</f>
        <v>10</v>
      </c>
    </row>
    <row r="6" spans="2:33" x14ac:dyDescent="0.3">
      <c r="B6" s="200" t="s">
        <v>308</v>
      </c>
      <c r="C6" s="200" t="s">
        <v>383</v>
      </c>
      <c r="D6" s="102" t="s">
        <v>378</v>
      </c>
      <c r="E6" s="133">
        <v>90</v>
      </c>
      <c r="F6" s="163">
        <f t="shared" si="3"/>
        <v>1.5707963267948966</v>
      </c>
      <c r="G6" s="102">
        <v>999.4</v>
      </c>
      <c r="H6" s="197">
        <f ca="1">VLOOKUP(B6,'Energia propuesta'!$AS$5:$AT$16,2,FALSE)</f>
        <v>10.854585663098613</v>
      </c>
      <c r="I6" s="164">
        <f ca="1">MAX('Masa propuesta'!BF17)</f>
        <v>0.26197419906069075</v>
      </c>
      <c r="J6" s="135">
        <v>3</v>
      </c>
      <c r="K6" s="197">
        <f t="shared" si="4"/>
        <v>7.619999999999999E-2</v>
      </c>
      <c r="L6" s="163">
        <f t="shared" si="0"/>
        <v>4.5603673118774788E-3</v>
      </c>
      <c r="M6" s="163">
        <f ca="1">2*G6*H6*L6*SIN(F6/2)</f>
        <v>69.96283789043774</v>
      </c>
      <c r="N6" s="163">
        <f t="shared" ca="1" si="1"/>
        <v>6.3770114966099273E-2</v>
      </c>
      <c r="O6" s="163">
        <f t="shared" ca="1" si="5"/>
        <v>70.026608005403844</v>
      </c>
      <c r="P6" s="200">
        <v>4.7690000000000001</v>
      </c>
      <c r="Q6" s="102">
        <v>0.6</v>
      </c>
      <c r="R6" s="163">
        <f t="shared" ca="1" si="6"/>
        <v>14.683708954792166</v>
      </c>
      <c r="S6" s="133">
        <v>5</v>
      </c>
      <c r="T6" s="115">
        <f t="shared" ca="1" si="7"/>
        <v>3</v>
      </c>
      <c r="U6" s="102">
        <v>10</v>
      </c>
      <c r="V6" s="199">
        <f t="shared" ca="1" si="8"/>
        <v>0.34499999999999997</v>
      </c>
      <c r="W6" s="163">
        <f t="shared" ca="1" si="2"/>
        <v>14.683708954792166</v>
      </c>
      <c r="X6" s="197">
        <f t="shared" ca="1" si="9"/>
        <v>35.974499999999999</v>
      </c>
      <c r="Y6" s="162" t="str">
        <f t="shared" ca="1" si="10"/>
        <v>Cumple</v>
      </c>
      <c r="AA6" s="196" t="s">
        <v>18</v>
      </c>
      <c r="AB6" s="196" t="s">
        <v>309</v>
      </c>
      <c r="AC6" s="196" t="s">
        <v>310</v>
      </c>
      <c r="AD6" s="196" t="s">
        <v>307</v>
      </c>
      <c r="AE6" s="200">
        <v>5</v>
      </c>
      <c r="AF6" s="133">
        <v>6</v>
      </c>
      <c r="AG6" s="200">
        <v>15</v>
      </c>
    </row>
    <row r="7" spans="2:33" x14ac:dyDescent="0.3">
      <c r="B7" s="200" t="s">
        <v>309</v>
      </c>
      <c r="C7" s="200" t="s">
        <v>382</v>
      </c>
      <c r="D7" s="102" t="s">
        <v>378</v>
      </c>
      <c r="E7" s="102"/>
      <c r="F7" s="162" t="str">
        <f t="shared" si="3"/>
        <v/>
      </c>
      <c r="G7" s="102">
        <v>999.4</v>
      </c>
      <c r="H7" s="197">
        <f ca="1">VLOOKUP(B7,'Energia propuesta'!$AS$5:$AT$16,2,FALSE)</f>
        <v>10.798244761853036</v>
      </c>
      <c r="I7" s="164">
        <f ca="1">MAX('Masa propuesta'!BF10,'Masa propuesta'!BF16)</f>
        <v>0.14512128272251268</v>
      </c>
      <c r="J7" s="135">
        <v>3</v>
      </c>
      <c r="K7" s="197">
        <f t="shared" si="4"/>
        <v>7.619999999999999E-2</v>
      </c>
      <c r="L7" s="163">
        <f t="shared" si="0"/>
        <v>4.5603673118774788E-3</v>
      </c>
      <c r="M7" s="163">
        <f ca="1">G7*H7*L7</f>
        <v>49.214416060144231</v>
      </c>
      <c r="N7" s="163">
        <f t="shared" ca="1" si="1"/>
        <v>1.9568717980036513E-2</v>
      </c>
      <c r="O7" s="163">
        <f t="shared" ca="1" si="5"/>
        <v>49.233984778124267</v>
      </c>
      <c r="P7" s="200">
        <v>4.7690000000000001</v>
      </c>
      <c r="Q7" s="102">
        <v>0.6</v>
      </c>
      <c r="R7" s="163">
        <f t="shared" ca="1" si="6"/>
        <v>10.323754409336185</v>
      </c>
      <c r="S7" s="133">
        <v>5</v>
      </c>
      <c r="T7" s="115">
        <f t="shared" ca="1" si="7"/>
        <v>3</v>
      </c>
      <c r="U7" s="102">
        <v>10</v>
      </c>
      <c r="V7" s="199">
        <f t="shared" ca="1" si="8"/>
        <v>0.34499999999999997</v>
      </c>
      <c r="W7" s="163">
        <f t="shared" ca="1" si="2"/>
        <v>10.323754409336185</v>
      </c>
      <c r="X7" s="197">
        <f t="shared" ca="1" si="9"/>
        <v>35.974499999999999</v>
      </c>
      <c r="Y7" s="162" t="str">
        <f t="shared" ca="1" si="10"/>
        <v>Cumple</v>
      </c>
      <c r="AA7" s="293" t="s">
        <v>341</v>
      </c>
      <c r="AB7" s="294"/>
      <c r="AC7" s="294"/>
      <c r="AD7" s="318"/>
      <c r="AE7" s="200">
        <v>5</v>
      </c>
      <c r="AF7" s="133">
        <v>8</v>
      </c>
      <c r="AG7" s="200">
        <v>15</v>
      </c>
    </row>
    <row r="8" spans="2:33" x14ac:dyDescent="0.3">
      <c r="B8" s="200" t="s">
        <v>310</v>
      </c>
      <c r="C8" s="200" t="s">
        <v>381</v>
      </c>
      <c r="D8" s="102" t="s">
        <v>378</v>
      </c>
      <c r="E8" s="102"/>
      <c r="F8" s="162" t="str">
        <f t="shared" si="3"/>
        <v/>
      </c>
      <c r="G8" s="102">
        <v>999.4</v>
      </c>
      <c r="H8" s="197">
        <f ca="1">VLOOKUP(B8,'Energia propuesta'!$AS$5:$AT$16,2,FALSE)</f>
        <v>10.859339840768016</v>
      </c>
      <c r="I8" s="164">
        <f ca="1">MAX('Masa propuesta'!BF8)</f>
        <v>0.25809681263096657</v>
      </c>
      <c r="J8" s="135">
        <v>3</v>
      </c>
      <c r="K8" s="197">
        <f t="shared" si="4"/>
        <v>7.619999999999999E-2</v>
      </c>
      <c r="L8" s="163">
        <f t="shared" si="0"/>
        <v>4.5603673118774788E-3</v>
      </c>
      <c r="M8" s="163">
        <f ca="1">G8*H8*L8</f>
        <v>49.492864891344198</v>
      </c>
      <c r="N8" s="163">
        <f t="shared" ca="1" si="1"/>
        <v>6.1896407053983457E-2</v>
      </c>
      <c r="O8" s="163">
        <f t="shared" ca="1" si="5"/>
        <v>49.554761298398184</v>
      </c>
      <c r="P8" s="200">
        <v>4.7690000000000001</v>
      </c>
      <c r="Q8" s="102">
        <v>0.6</v>
      </c>
      <c r="R8" s="163">
        <f t="shared" ca="1" si="6"/>
        <v>10.391017256950761</v>
      </c>
      <c r="S8" s="133">
        <v>5</v>
      </c>
      <c r="T8" s="115">
        <f t="shared" ca="1" si="7"/>
        <v>3</v>
      </c>
      <c r="U8" s="102">
        <v>10</v>
      </c>
      <c r="V8" s="199">
        <f t="shared" ca="1" si="8"/>
        <v>0.34499999999999997</v>
      </c>
      <c r="W8" s="163">
        <f t="shared" ca="1" si="2"/>
        <v>10.391017256950761</v>
      </c>
      <c r="X8" s="197">
        <f t="shared" ca="1" si="9"/>
        <v>35.974499999999999</v>
      </c>
      <c r="Y8" s="162" t="str">
        <f t="shared" ca="1" si="10"/>
        <v>Cumple</v>
      </c>
      <c r="AA8" s="293" t="s">
        <v>444</v>
      </c>
      <c r="AB8" s="294"/>
      <c r="AC8" s="294"/>
      <c r="AD8" s="318"/>
      <c r="AE8" s="200">
        <v>5</v>
      </c>
      <c r="AF8" s="200">
        <v>8.5</v>
      </c>
      <c r="AG8" s="200">
        <v>15</v>
      </c>
    </row>
    <row r="9" spans="2:33" x14ac:dyDescent="0.3">
      <c r="B9" s="200" t="s">
        <v>311</v>
      </c>
      <c r="C9" s="200" t="s">
        <v>381</v>
      </c>
      <c r="D9" s="102" t="s">
        <v>378</v>
      </c>
      <c r="E9" s="102"/>
      <c r="F9" s="162" t="str">
        <f t="shared" si="3"/>
        <v/>
      </c>
      <c r="G9" s="102">
        <v>999.4</v>
      </c>
      <c r="H9" s="197">
        <f ca="1">VLOOKUP(B9,'Energia propuesta'!$AS$5:$AT$16,2,FALSE)</f>
        <v>10.757949496698901</v>
      </c>
      <c r="I9" s="164">
        <f ca="1">MAX('Masa propuesta'!BF7)</f>
        <v>0.42333550399583975</v>
      </c>
      <c r="J9" s="135">
        <v>3</v>
      </c>
      <c r="K9" s="197">
        <f t="shared" si="4"/>
        <v>7.619999999999999E-2</v>
      </c>
      <c r="L9" s="163">
        <f t="shared" si="0"/>
        <v>4.5603673118774788E-3</v>
      </c>
      <c r="M9" s="163">
        <f ca="1">G9*H9*L9</f>
        <v>49.030765106837897</v>
      </c>
      <c r="N9" s="163">
        <f t="shared" ca="1" si="1"/>
        <v>0.1665212045060481</v>
      </c>
      <c r="O9" s="163">
        <f t="shared" ca="1" si="5"/>
        <v>49.197286311343944</v>
      </c>
      <c r="P9" s="200">
        <v>4.7690000000000001</v>
      </c>
      <c r="Q9" s="102">
        <v>0.6</v>
      </c>
      <c r="R9" s="163">
        <f t="shared" ca="1" si="6"/>
        <v>10.316059197178433</v>
      </c>
      <c r="S9" s="133">
        <v>5</v>
      </c>
      <c r="T9" s="115">
        <f t="shared" ca="1" si="7"/>
        <v>3</v>
      </c>
      <c r="U9" s="102">
        <v>10</v>
      </c>
      <c r="V9" s="199">
        <f t="shared" ca="1" si="8"/>
        <v>0.34499999999999997</v>
      </c>
      <c r="W9" s="163">
        <f t="shared" ca="1" si="2"/>
        <v>10.316059197178433</v>
      </c>
      <c r="X9" s="197">
        <f t="shared" ca="1" si="9"/>
        <v>35.974499999999999</v>
      </c>
      <c r="Y9" s="162" t="str">
        <f t="shared" ca="1" si="10"/>
        <v>Cumple</v>
      </c>
    </row>
    <row r="10" spans="2:33" x14ac:dyDescent="0.3">
      <c r="B10" s="200" t="s">
        <v>18</v>
      </c>
      <c r="C10" s="200" t="s">
        <v>382</v>
      </c>
      <c r="D10" s="102" t="s">
        <v>378</v>
      </c>
      <c r="E10" s="102"/>
      <c r="F10" s="162" t="str">
        <f t="shared" si="3"/>
        <v/>
      </c>
      <c r="G10" s="102">
        <v>999.4</v>
      </c>
      <c r="H10" s="197">
        <f ca="1">VLOOKUP(B10,'Energia propuesta'!$AS$5:$AT$16,2,FALSE)</f>
        <v>10.772226416268129</v>
      </c>
      <c r="I10" s="164">
        <f ca="1">MAX('Masa propuesta'!BF13,'Masa propuesta'!BF15)</f>
        <v>0.10947972027131701</v>
      </c>
      <c r="J10" s="135">
        <v>3</v>
      </c>
      <c r="K10" s="197">
        <f t="shared" si="4"/>
        <v>7.619999999999999E-2</v>
      </c>
      <c r="L10" s="163">
        <f t="shared" si="0"/>
        <v>4.5603673118774788E-3</v>
      </c>
      <c r="M10" s="163">
        <f ca="1">G10*H10*L10</f>
        <v>49.095834039357321</v>
      </c>
      <c r="N10" s="163">
        <f t="shared" ca="1" si="1"/>
        <v>1.1136981945328292E-2</v>
      </c>
      <c r="O10" s="163">
        <f t="shared" ca="1" si="5"/>
        <v>49.106971021302648</v>
      </c>
      <c r="P10" s="200">
        <v>4.7690000000000001</v>
      </c>
      <c r="Q10" s="102">
        <v>0.6</v>
      </c>
      <c r="R10" s="163">
        <f t="shared" ca="1" si="6"/>
        <v>10.297121203879774</v>
      </c>
      <c r="S10" s="133">
        <v>5</v>
      </c>
      <c r="T10" s="115">
        <f t="shared" ca="1" si="7"/>
        <v>3</v>
      </c>
      <c r="U10" s="102">
        <v>10</v>
      </c>
      <c r="V10" s="199">
        <f t="shared" ca="1" si="8"/>
        <v>0.34499999999999997</v>
      </c>
      <c r="W10" s="163">
        <f t="shared" ca="1" si="2"/>
        <v>10.297121203879774</v>
      </c>
      <c r="X10" s="197">
        <f t="shared" ca="1" si="9"/>
        <v>35.974499999999999</v>
      </c>
      <c r="Y10" s="162" t="str">
        <f t="shared" ca="1" si="10"/>
        <v>Cumple</v>
      </c>
    </row>
    <row r="11" spans="2:33" x14ac:dyDescent="0.3">
      <c r="B11" s="200" t="s">
        <v>312</v>
      </c>
      <c r="C11" s="200" t="s">
        <v>383</v>
      </c>
      <c r="D11" s="102" t="s">
        <v>378</v>
      </c>
      <c r="E11" s="133">
        <v>90</v>
      </c>
      <c r="F11" s="163">
        <f t="shared" si="3"/>
        <v>1.5707963267948966</v>
      </c>
      <c r="G11" s="102">
        <v>999.4</v>
      </c>
      <c r="H11" s="197">
        <f ca="1">VLOOKUP(B11,'Energia propuesta'!$AS$5:$AT$16,2,FALSE)</f>
        <v>10.771657387475297</v>
      </c>
      <c r="I11" s="164">
        <f ca="1">MAX('Masa propuesta'!BF14)</f>
        <v>3.3686865952060871E-2</v>
      </c>
      <c r="J11" s="135">
        <v>3</v>
      </c>
      <c r="K11" s="197">
        <f t="shared" si="4"/>
        <v>7.619999999999999E-2</v>
      </c>
      <c r="L11" s="163">
        <f t="shared" si="0"/>
        <v>4.5603673118774788E-3</v>
      </c>
      <c r="M11" s="163">
        <f ca="1">2*G11*H11*L11*SIN(F11/2)</f>
        <v>69.428326700048245</v>
      </c>
      <c r="N11" s="163">
        <f t="shared" ca="1" si="1"/>
        <v>1.0544387903590653E-3</v>
      </c>
      <c r="O11" s="163">
        <f t="shared" ca="1" si="5"/>
        <v>69.429381138838608</v>
      </c>
      <c r="P11" s="200">
        <v>4.7690000000000001</v>
      </c>
      <c r="Q11" s="102">
        <v>0.6</v>
      </c>
      <c r="R11" s="163">
        <f t="shared" ca="1" si="6"/>
        <v>14.558477907074566</v>
      </c>
      <c r="S11" s="133">
        <v>5</v>
      </c>
      <c r="T11" s="115">
        <f t="shared" ca="1" si="7"/>
        <v>3</v>
      </c>
      <c r="U11" s="102">
        <v>10</v>
      </c>
      <c r="V11" s="199">
        <f t="shared" ca="1" si="8"/>
        <v>0.34499999999999997</v>
      </c>
      <c r="W11" s="163">
        <f t="shared" ca="1" si="2"/>
        <v>14.558477907074566</v>
      </c>
      <c r="X11" s="197">
        <f t="shared" ca="1" si="9"/>
        <v>35.974499999999999</v>
      </c>
      <c r="Y11" s="162" t="str">
        <f t="shared" ca="1" si="10"/>
        <v>Cumple</v>
      </c>
    </row>
    <row r="12" spans="2:33" x14ac:dyDescent="0.3">
      <c r="B12" s="200" t="s">
        <v>29</v>
      </c>
      <c r="C12" s="200" t="s">
        <v>383</v>
      </c>
      <c r="D12" s="102" t="s">
        <v>378</v>
      </c>
      <c r="E12" s="133">
        <v>90</v>
      </c>
      <c r="F12" s="163">
        <f t="shared" si="3"/>
        <v>1.5707963267948966</v>
      </c>
      <c r="G12" s="102">
        <v>999.4</v>
      </c>
      <c r="H12" s="197">
        <f ca="1">VLOOKUP(B12,'Energia propuesta'!$AS$5:$AT$16,2,FALSE)</f>
        <v>10.771010730821265</v>
      </c>
      <c r="I12" s="164">
        <f ca="1">MAX('Masa propuesta'!BF12)</f>
        <v>3.3754351845103635E-2</v>
      </c>
      <c r="J12" s="135">
        <v>3</v>
      </c>
      <c r="K12" s="197">
        <f t="shared" si="4"/>
        <v>7.619999999999999E-2</v>
      </c>
      <c r="L12" s="163">
        <f t="shared" si="0"/>
        <v>4.5603673118774788E-3</v>
      </c>
      <c r="M12" s="163">
        <f ca="1">2*G12*H12*L12*SIN(F12/2)</f>
        <v>69.424158698057113</v>
      </c>
      <c r="N12" s="163">
        <f t="shared" ca="1" si="1"/>
        <v>1.0586677988833398E-3</v>
      </c>
      <c r="O12" s="163">
        <f t="shared" ca="1" si="5"/>
        <v>69.425217365856</v>
      </c>
      <c r="P12" s="200">
        <v>4.7690000000000001</v>
      </c>
      <c r="Q12" s="102">
        <v>0.6</v>
      </c>
      <c r="R12" s="163">
        <f t="shared" ca="1" si="6"/>
        <v>14.557604815654434</v>
      </c>
      <c r="S12" s="133">
        <v>5</v>
      </c>
      <c r="T12" s="115">
        <f t="shared" ca="1" si="7"/>
        <v>3</v>
      </c>
      <c r="U12" s="102">
        <v>10</v>
      </c>
      <c r="V12" s="199">
        <f t="shared" ca="1" si="8"/>
        <v>0.34499999999999997</v>
      </c>
      <c r="W12" s="163">
        <f t="shared" ca="1" si="2"/>
        <v>14.557604815654434</v>
      </c>
      <c r="X12" s="197">
        <f t="shared" ca="1" si="9"/>
        <v>35.974499999999999</v>
      </c>
      <c r="Y12" s="162" t="str">
        <f t="shared" ca="1" si="10"/>
        <v>Cumple</v>
      </c>
    </row>
    <row r="13" spans="2:33" x14ac:dyDescent="0.3">
      <c r="B13" s="200" t="s">
        <v>269</v>
      </c>
      <c r="C13" s="200" t="s">
        <v>381</v>
      </c>
      <c r="D13" s="102" t="s">
        <v>378</v>
      </c>
      <c r="E13" s="102"/>
      <c r="F13" s="197" t="str">
        <f t="shared" si="3"/>
        <v/>
      </c>
      <c r="G13" s="102">
        <v>999.4</v>
      </c>
      <c r="H13" s="197">
        <f ca="1">VLOOKUP(B13,'Energia propuesta'!$AS$5:$AT$16,2,FALSE)</f>
        <v>10.769858292556771</v>
      </c>
      <c r="I13" s="164">
        <f ca="1">MAX('Masa propuesta'!BF11)</f>
        <v>0.14540470539594236</v>
      </c>
      <c r="J13" s="135">
        <v>3</v>
      </c>
      <c r="K13" s="197">
        <f t="shared" si="4"/>
        <v>7.619999999999999E-2</v>
      </c>
      <c r="L13" s="163">
        <f t="shared" si="0"/>
        <v>4.5603673118774788E-3</v>
      </c>
      <c r="M13" s="163">
        <f ca="1">G13*H13*L13</f>
        <v>49.085041005101942</v>
      </c>
      <c r="N13" s="163">
        <f t="shared" ca="1" si="1"/>
        <v>1.9645228250053735E-2</v>
      </c>
      <c r="O13" s="163">
        <f t="shared" ca="1" si="5"/>
        <v>49.104686233351998</v>
      </c>
      <c r="P13" s="200">
        <v>4.7690000000000001</v>
      </c>
      <c r="Q13" s="102">
        <v>0.6</v>
      </c>
      <c r="R13" s="163">
        <f t="shared" ca="1" si="6"/>
        <v>10.296642112256658</v>
      </c>
      <c r="S13" s="133">
        <v>5</v>
      </c>
      <c r="T13" s="115">
        <f t="shared" ca="1" si="7"/>
        <v>3</v>
      </c>
      <c r="U13" s="102">
        <v>10</v>
      </c>
      <c r="V13" s="199">
        <f t="shared" ca="1" si="8"/>
        <v>0.34499999999999997</v>
      </c>
      <c r="W13" s="163">
        <f t="shared" ca="1" si="2"/>
        <v>10.296642112256658</v>
      </c>
      <c r="X13" s="197">
        <f t="shared" ca="1" si="9"/>
        <v>35.974499999999999</v>
      </c>
      <c r="Y13" s="162" t="str">
        <f t="shared" ca="1" si="10"/>
        <v>Cumple</v>
      </c>
    </row>
    <row r="14" spans="2:33" x14ac:dyDescent="0.3">
      <c r="B14" s="200" t="s">
        <v>341</v>
      </c>
      <c r="C14" s="200" t="s">
        <v>383</v>
      </c>
      <c r="D14" s="200" t="s">
        <v>442</v>
      </c>
      <c r="E14" s="133">
        <v>90</v>
      </c>
      <c r="F14" s="197">
        <f>IF(E14="","",RADIANS(E14))</f>
        <v>1.5707963267948966</v>
      </c>
      <c r="G14" s="200">
        <v>999.4</v>
      </c>
      <c r="H14" s="197">
        <f ca="1">VLOOKUP(B14,'Energia propuesta'!$AS$5:$AT$16,2,FALSE)</f>
        <v>10.947338874594466</v>
      </c>
      <c r="I14" s="199">
        <f ca="1">MAX('Masa propuesta'!BF6,'Masa propuesta'!BF19)</f>
        <v>0.84758554776523432</v>
      </c>
      <c r="J14" s="135">
        <v>3</v>
      </c>
      <c r="K14" s="197">
        <f t="shared" si="4"/>
        <v>7.619999999999999E-2</v>
      </c>
      <c r="L14" s="196">
        <f t="shared" si="0"/>
        <v>4.5603673118774788E-3</v>
      </c>
      <c r="M14" s="197">
        <f ca="1">2*G14*H14*L14*SIN(F14/2)</f>
        <v>70.560675348366956</v>
      </c>
      <c r="N14" s="197">
        <f t="shared" ca="1" si="1"/>
        <v>0.66752455092742913</v>
      </c>
      <c r="O14" s="197">
        <f ca="1">M14+N14</f>
        <v>71.228199899294381</v>
      </c>
      <c r="P14" s="200">
        <v>4.7690000000000001</v>
      </c>
      <c r="Q14" s="200">
        <v>0.6</v>
      </c>
      <c r="R14" s="197">
        <f ca="1">O14/P14</f>
        <v>14.935667833779489</v>
      </c>
      <c r="S14" s="133">
        <v>5</v>
      </c>
      <c r="T14" s="115">
        <f ca="1">ROUNDUP(R14/S14,0)</f>
        <v>3</v>
      </c>
      <c r="U14" s="200">
        <v>10</v>
      </c>
      <c r="V14" s="199">
        <f ca="1">S14*T14*U14*0.0023</f>
        <v>0.34499999999999997</v>
      </c>
      <c r="W14" s="196">
        <f ca="1">R14</f>
        <v>14.935667833779489</v>
      </c>
      <c r="X14" s="197">
        <f ca="1">(V14*Q14)+(S14*T14*(P14/2))</f>
        <v>35.974499999999999</v>
      </c>
      <c r="Y14" s="196" t="str">
        <f ca="1">IF(W14&lt;X14,"Cumple","No cumple")</f>
        <v>Cumple</v>
      </c>
    </row>
  </sheetData>
  <mergeCells count="25">
    <mergeCell ref="AE2:AG2"/>
    <mergeCell ref="AA2:AD3"/>
    <mergeCell ref="AA8:AD8"/>
    <mergeCell ref="AA7:AD7"/>
    <mergeCell ref="AC5:AD5"/>
    <mergeCell ref="AC4:AD4"/>
    <mergeCell ref="J2:K2"/>
    <mergeCell ref="N2:N3"/>
    <mergeCell ref="B2:C2"/>
    <mergeCell ref="D2:D3"/>
    <mergeCell ref="E2:F2"/>
    <mergeCell ref="G2:G3"/>
    <mergeCell ref="H2:H3"/>
    <mergeCell ref="I2:I3"/>
    <mergeCell ref="L2:L3"/>
    <mergeCell ref="M2:M3"/>
    <mergeCell ref="V2:V3"/>
    <mergeCell ref="X2:X3"/>
    <mergeCell ref="W2:W3"/>
    <mergeCell ref="Y2:Y3"/>
    <mergeCell ref="O2:O3"/>
    <mergeCell ref="P2:P3"/>
    <mergeCell ref="Q2:Q3"/>
    <mergeCell ref="R2:R3"/>
    <mergeCell ref="S2:U2"/>
  </mergeCells>
  <pageMargins left="0.7" right="0.7" top="0.75" bottom="0.75" header="0.3" footer="0.3"/>
  <pageSetup paperSize="9" orientation="portrait" horizontalDpi="0" verticalDpi="0" r:id="rId1"/>
  <ignoredErrors>
    <ignoredError sqref="M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DU234"/>
  <sheetViews>
    <sheetView zoomScale="90" zoomScaleNormal="90" workbookViewId="0">
      <selection activeCell="BS20" sqref="BS20"/>
    </sheetView>
  </sheetViews>
  <sheetFormatPr baseColWidth="10" defaultColWidth="11.5546875" defaultRowHeight="14.4" x14ac:dyDescent="0.3"/>
  <cols>
    <col min="1" max="1" width="5.6640625" style="87" customWidth="1"/>
    <col min="2" max="2" width="34.33203125" style="87" bestFit="1" customWidth="1"/>
    <col min="3" max="3" width="7.6640625" style="87" bestFit="1" customWidth="1"/>
    <col min="4" max="4" width="5.6640625" style="87" customWidth="1"/>
    <col min="5" max="5" width="37.44140625" style="87" bestFit="1" customWidth="1"/>
    <col min="6" max="6" width="8.33203125" style="87" bestFit="1" customWidth="1"/>
    <col min="7" max="7" width="5.6640625" style="87" customWidth="1"/>
    <col min="8" max="8" width="27.109375" style="87" bestFit="1" customWidth="1"/>
    <col min="9" max="9" width="7.109375" style="87" bestFit="1" customWidth="1"/>
    <col min="10" max="10" width="39.33203125" style="87" bestFit="1" customWidth="1"/>
    <col min="11" max="11" width="5.6640625" style="105" customWidth="1"/>
    <col min="12" max="12" width="51.44140625" style="105" bestFit="1" customWidth="1"/>
    <col min="13" max="13" width="13.33203125" style="105" bestFit="1" customWidth="1"/>
    <col min="14" max="14" width="5.6640625" style="105" customWidth="1"/>
    <col min="15" max="15" width="32.6640625" style="87" bestFit="1" customWidth="1"/>
    <col min="16" max="16" width="10.6640625" style="96" customWidth="1"/>
    <col min="17" max="17" width="8.6640625" style="87" bestFit="1" customWidth="1"/>
    <col min="18" max="18" width="8.33203125" style="87" bestFit="1" customWidth="1"/>
    <col min="19" max="19" width="8.6640625" style="87" bestFit="1" customWidth="1"/>
    <col min="20" max="20" width="8.88671875" style="87" bestFit="1" customWidth="1"/>
    <col min="21" max="21" width="7.109375" style="96" customWidth="1"/>
    <col min="22" max="22" width="11.33203125" style="87" bestFit="1" customWidth="1"/>
    <col min="23" max="23" width="12.5546875" style="87" bestFit="1" customWidth="1"/>
    <col min="24" max="24" width="5.5546875" style="87" bestFit="1" customWidth="1"/>
    <col min="25" max="25" width="8.6640625" style="87" bestFit="1" customWidth="1"/>
    <col min="26" max="26" width="7.6640625" style="87" bestFit="1" customWidth="1"/>
    <col min="27" max="27" width="8.6640625" style="87" bestFit="1" customWidth="1"/>
    <col min="28" max="28" width="7.6640625" style="87" bestFit="1" customWidth="1"/>
    <col min="29" max="29" width="5.5546875" style="87" bestFit="1" customWidth="1"/>
    <col min="30" max="30" width="4.6640625" style="87" bestFit="1" customWidth="1"/>
    <col min="31" max="31" width="4.44140625" style="87" bestFit="1" customWidth="1"/>
    <col min="32" max="32" width="7.109375" style="87" bestFit="1" customWidth="1"/>
    <col min="33" max="33" width="4.88671875" style="87" bestFit="1" customWidth="1"/>
    <col min="34" max="34" width="7.109375" style="87" bestFit="1" customWidth="1"/>
    <col min="35" max="35" width="8.109375" style="87" bestFit="1" customWidth="1"/>
    <col min="36" max="36" width="6" style="87" bestFit="1" customWidth="1"/>
    <col min="37" max="37" width="8.88671875" style="87" bestFit="1" customWidth="1"/>
    <col min="38" max="38" width="8.33203125" style="87" bestFit="1" customWidth="1"/>
    <col min="39" max="39" width="4.6640625" style="87" customWidth="1"/>
    <col min="40" max="46" width="11.5546875" style="87"/>
    <col min="47" max="47" width="11.88671875" style="87" customWidth="1"/>
    <col min="48" max="48" width="11.44140625" style="87" customWidth="1"/>
    <col min="49" max="49" width="11" style="87" customWidth="1"/>
    <col min="50" max="50" width="4.88671875" style="87" customWidth="1"/>
    <col min="51" max="51" width="25.44140625" style="87" customWidth="1"/>
    <col min="52" max="52" width="6.6640625" style="87" bestFit="1" customWidth="1"/>
    <col min="53" max="53" width="5.6640625" style="87" customWidth="1"/>
    <col min="54" max="54" width="9.88671875" style="87" bestFit="1" customWidth="1"/>
    <col min="55" max="55" width="7.5546875" style="87" bestFit="1" customWidth="1"/>
    <col min="56" max="56" width="9.6640625" style="87" bestFit="1" customWidth="1"/>
    <col min="57" max="57" width="7.5546875" style="87" bestFit="1" customWidth="1"/>
    <col min="58" max="58" width="9.6640625" style="87" bestFit="1" customWidth="1"/>
    <col min="59" max="59" width="18.6640625" style="87" customWidth="1"/>
    <col min="60" max="61" width="8.88671875" style="87" bestFit="1" customWidth="1"/>
    <col min="62" max="62" width="8.33203125" style="87" bestFit="1" customWidth="1"/>
    <col min="63" max="63" width="9.5546875" style="87" bestFit="1" customWidth="1"/>
    <col min="64" max="64" width="8.33203125" style="87" bestFit="1" customWidth="1"/>
    <col min="65" max="65" width="17.44140625" style="87" customWidth="1"/>
    <col min="66" max="66" width="5.6640625" style="87" customWidth="1"/>
    <col min="67" max="67" width="8.33203125" style="87" bestFit="1" customWidth="1"/>
    <col min="68" max="69" width="7.109375" style="87" bestFit="1" customWidth="1"/>
    <col min="70" max="70" width="5.6640625" style="87" customWidth="1"/>
    <col min="71" max="71" width="28.88671875" style="87" bestFit="1" customWidth="1"/>
    <col min="72" max="72" width="8.33203125" style="87" bestFit="1" customWidth="1"/>
    <col min="73" max="73" width="5.6640625" style="87" customWidth="1"/>
    <col min="74" max="74" width="13.109375" style="87" customWidth="1"/>
    <col min="75" max="75" width="15.109375" style="87" customWidth="1"/>
    <col min="76" max="76" width="8.33203125" style="87" bestFit="1" customWidth="1"/>
    <col min="77" max="77" width="37" style="87" customWidth="1"/>
    <col min="78" max="16384" width="11.5546875" style="87"/>
  </cols>
  <sheetData>
    <row r="1" spans="2:77" ht="15" thickBot="1" x14ac:dyDescent="0.35">
      <c r="BH1" s="87" t="s">
        <v>282</v>
      </c>
      <c r="BI1" s="87" t="s">
        <v>282</v>
      </c>
    </row>
    <row r="2" spans="2:77" ht="15" customHeight="1" thickBot="1" x14ac:dyDescent="0.35">
      <c r="B2" s="204" t="s">
        <v>19</v>
      </c>
      <c r="C2" s="204"/>
      <c r="D2" s="17"/>
      <c r="E2" s="203" t="s">
        <v>26</v>
      </c>
      <c r="F2" s="203"/>
      <c r="G2" s="99"/>
      <c r="H2" s="204" t="s">
        <v>28</v>
      </c>
      <c r="I2" s="204"/>
      <c r="J2" s="204"/>
      <c r="K2" s="16"/>
      <c r="L2" s="204" t="s">
        <v>242</v>
      </c>
      <c r="M2" s="204"/>
      <c r="N2" s="16"/>
      <c r="O2" s="231" t="s">
        <v>74</v>
      </c>
      <c r="P2" s="262" t="s">
        <v>269</v>
      </c>
      <c r="Q2" s="204" t="s">
        <v>65</v>
      </c>
      <c r="R2" s="204"/>
      <c r="S2" s="204" t="s">
        <v>66</v>
      </c>
      <c r="T2" s="204"/>
      <c r="U2" s="26"/>
      <c r="V2" s="232" t="s">
        <v>76</v>
      </c>
      <c r="W2" s="203" t="s">
        <v>54</v>
      </c>
      <c r="X2" s="204" t="s">
        <v>59</v>
      </c>
      <c r="Y2" s="204" t="s">
        <v>55</v>
      </c>
      <c r="Z2" s="204"/>
      <c r="AA2" s="204" t="s">
        <v>56</v>
      </c>
      <c r="AB2" s="204"/>
      <c r="AC2" s="90" t="s">
        <v>59</v>
      </c>
      <c r="AD2" s="204" t="s">
        <v>115</v>
      </c>
      <c r="AE2" s="204"/>
      <c r="AF2" s="204"/>
      <c r="AG2" s="204" t="s">
        <v>112</v>
      </c>
      <c r="AH2" s="261"/>
      <c r="AI2" s="204" t="s">
        <v>60</v>
      </c>
      <c r="AJ2" s="204"/>
      <c r="AK2" s="204"/>
      <c r="AL2" s="204"/>
      <c r="AY2" s="203" t="s">
        <v>73</v>
      </c>
      <c r="AZ2" s="260">
        <v>10</v>
      </c>
      <c r="BB2" s="203" t="s">
        <v>67</v>
      </c>
      <c r="BC2" s="203" t="s">
        <v>29</v>
      </c>
      <c r="BD2" s="203"/>
      <c r="BE2" s="204" t="s">
        <v>68</v>
      </c>
      <c r="BF2" s="204"/>
      <c r="BG2" s="203" t="s">
        <v>283</v>
      </c>
      <c r="BH2" s="204" t="s">
        <v>71</v>
      </c>
      <c r="BI2" s="204"/>
      <c r="BJ2" s="204" t="s">
        <v>72</v>
      </c>
      <c r="BK2" s="204"/>
      <c r="BL2" s="204"/>
      <c r="BM2" s="223" t="s">
        <v>77</v>
      </c>
      <c r="BO2" s="23">
        <f>BB9-BB8</f>
        <v>1.2798935997400916E-3</v>
      </c>
      <c r="BP2" s="38">
        <f>BJ9-BJ8</f>
        <v>0.13213754599820993</v>
      </c>
      <c r="BQ2" s="38">
        <f>BL9-BL8</f>
        <v>0.13213754599820948</v>
      </c>
      <c r="BR2" s="28"/>
      <c r="BS2" s="90" t="s">
        <v>78</v>
      </c>
      <c r="BT2" s="38">
        <v>9.81</v>
      </c>
      <c r="BV2" s="226" t="s">
        <v>85</v>
      </c>
      <c r="BW2" s="227"/>
      <c r="BX2" s="227"/>
      <c r="BY2" s="228"/>
    </row>
    <row r="3" spans="2:77" x14ac:dyDescent="0.3">
      <c r="B3" s="79" t="s">
        <v>20</v>
      </c>
      <c r="C3" s="10">
        <v>25</v>
      </c>
      <c r="D3" s="108"/>
      <c r="E3" s="78" t="s">
        <v>229</v>
      </c>
      <c r="F3" s="88">
        <f>(C7/24)*100</f>
        <v>37.5</v>
      </c>
      <c r="G3" s="9"/>
      <c r="H3" s="79" t="s">
        <v>233</v>
      </c>
      <c r="I3" s="146">
        <v>4</v>
      </c>
      <c r="J3" s="107"/>
      <c r="K3" s="101"/>
      <c r="L3" s="204" t="s">
        <v>248</v>
      </c>
      <c r="M3" s="204"/>
      <c r="N3" s="101"/>
      <c r="O3" s="231"/>
      <c r="P3" s="263"/>
      <c r="Q3" s="79" t="s">
        <v>36</v>
      </c>
      <c r="R3" s="79" t="s">
        <v>35</v>
      </c>
      <c r="S3" s="79" t="s">
        <v>36</v>
      </c>
      <c r="T3" s="79" t="s">
        <v>35</v>
      </c>
      <c r="U3" s="26"/>
      <c r="V3" s="232"/>
      <c r="W3" s="203"/>
      <c r="X3" s="204"/>
      <c r="Y3" s="90" t="s">
        <v>57</v>
      </c>
      <c r="Z3" s="90" t="s">
        <v>58</v>
      </c>
      <c r="AA3" s="90" t="s">
        <v>57</v>
      </c>
      <c r="AB3" s="90" t="s">
        <v>58</v>
      </c>
      <c r="AC3" s="264">
        <f>X4</f>
        <v>3600</v>
      </c>
      <c r="AD3" s="90" t="s">
        <v>113</v>
      </c>
      <c r="AE3" s="90" t="s">
        <v>114</v>
      </c>
      <c r="AF3" s="90" t="s">
        <v>106</v>
      </c>
      <c r="AG3" s="90" t="s">
        <v>107</v>
      </c>
      <c r="AH3" s="98" t="s">
        <v>116</v>
      </c>
      <c r="AI3" s="90" t="s">
        <v>84</v>
      </c>
      <c r="AJ3" s="90" t="s">
        <v>62</v>
      </c>
      <c r="AK3" s="90" t="s">
        <v>61</v>
      </c>
      <c r="AL3" s="90" t="s">
        <v>17</v>
      </c>
      <c r="AY3" s="203"/>
      <c r="AZ3" s="260"/>
      <c r="BB3" s="203"/>
      <c r="BC3" s="90" t="s">
        <v>65</v>
      </c>
      <c r="BD3" s="90" t="s">
        <v>66</v>
      </c>
      <c r="BE3" s="90" t="s">
        <v>65</v>
      </c>
      <c r="BF3" s="90" t="s">
        <v>66</v>
      </c>
      <c r="BG3" s="203"/>
      <c r="BH3" s="90" t="s">
        <v>69</v>
      </c>
      <c r="BI3" s="90" t="s">
        <v>70</v>
      </c>
      <c r="BJ3" s="90" t="s">
        <v>69</v>
      </c>
      <c r="BK3" s="97" t="s">
        <v>75</v>
      </c>
      <c r="BL3" s="90" t="s">
        <v>70</v>
      </c>
      <c r="BM3" s="225"/>
      <c r="BO3" s="23">
        <f>F4-BB8</f>
        <v>6.3994679987004581E-4</v>
      </c>
      <c r="BP3" s="38">
        <f>(BO3*BP2)/BO2</f>
        <v>6.6068772999104963E-2</v>
      </c>
      <c r="BQ3" s="88"/>
      <c r="BR3" s="28"/>
      <c r="BS3" s="90" t="s">
        <v>67</v>
      </c>
      <c r="BT3" s="38">
        <f>F4</f>
        <v>5.7595211988304088E-3</v>
      </c>
      <c r="BV3" s="237" t="s">
        <v>104</v>
      </c>
      <c r="BW3" s="238"/>
      <c r="BX3" s="238"/>
      <c r="BY3" s="239"/>
    </row>
    <row r="4" spans="2:77" ht="15.75" customHeight="1" x14ac:dyDescent="0.3">
      <c r="B4" s="79" t="s">
        <v>230</v>
      </c>
      <c r="C4" s="10">
        <v>5</v>
      </c>
      <c r="E4" s="79" t="s">
        <v>25</v>
      </c>
      <c r="F4" s="23">
        <f>C6</f>
        <v>5.7595211988304088E-3</v>
      </c>
      <c r="G4" s="27"/>
      <c r="H4" s="79" t="s">
        <v>234</v>
      </c>
      <c r="I4" s="81">
        <f>I3*0.0254</f>
        <v>0.1016</v>
      </c>
      <c r="J4" s="107"/>
      <c r="K4" s="101"/>
      <c r="L4" s="84" t="s">
        <v>243</v>
      </c>
      <c r="M4" s="113">
        <v>426.1266</v>
      </c>
      <c r="N4" s="101"/>
      <c r="O4" s="79" t="s">
        <v>38</v>
      </c>
      <c r="P4" s="68">
        <v>0.6</v>
      </c>
      <c r="Q4" s="10"/>
      <c r="R4" s="23" t="str">
        <f>IF(Q4="","",Q4*(0.00774*P4*(($C$10)^1.85)*($I$4^4.85)*($F$4^0.15)))</f>
        <v/>
      </c>
      <c r="S4" s="10"/>
      <c r="T4" s="38" t="str">
        <f>IF(S4="","",S4*(0.00774*P4*(($C$10)^1.85)*($I$11^4.85)*($F$4^0.15)))</f>
        <v/>
      </c>
      <c r="U4" s="130"/>
      <c r="V4" s="132" t="s">
        <v>275</v>
      </c>
      <c r="W4" s="133">
        <v>2</v>
      </c>
      <c r="X4" s="102">
        <v>3600</v>
      </c>
      <c r="Y4" s="146">
        <v>1.5</v>
      </c>
      <c r="Z4" s="91">
        <f>(Y4*2.54)/100</f>
        <v>3.8100000000000002E-2</v>
      </c>
      <c r="AA4" s="146">
        <v>1.5</v>
      </c>
      <c r="AB4" s="91">
        <f>(AA4*2.54)/100</f>
        <v>3.8100000000000002E-2</v>
      </c>
      <c r="AC4" s="264"/>
      <c r="AD4" s="134">
        <v>42</v>
      </c>
      <c r="AE4" s="102">
        <v>140</v>
      </c>
      <c r="AF4" s="94">
        <f>AE4*0.3048</f>
        <v>42.672000000000004</v>
      </c>
      <c r="AG4" s="102">
        <v>60</v>
      </c>
      <c r="AH4" s="29">
        <f>AG4*0.0000757683211</f>
        <v>4.5460992660000003E-3</v>
      </c>
      <c r="AI4" s="102">
        <v>0</v>
      </c>
      <c r="AJ4" s="133">
        <v>140</v>
      </c>
      <c r="AK4" s="38">
        <f>IF(AJ4="","",AI4*0.0000757683211)</f>
        <v>0</v>
      </c>
      <c r="AL4" s="38">
        <f>IF(AJ4="","",0.3048*AJ4)</f>
        <v>42.672000000000004</v>
      </c>
      <c r="BB4" s="38">
        <v>0</v>
      </c>
      <c r="BC4" s="38">
        <f t="shared" ref="BC4:BC13" si="0">IF(BB4="","",(BB4/(0.2785*$C$10*($I$4^2.63)))^1.852)</f>
        <v>0</v>
      </c>
      <c r="BD4" s="38">
        <f t="shared" ref="BD4:BD13" si="1">IF(BB4="","",(BB4/(0.2785*C$10*(I$11^2.63)))^1.852)</f>
        <v>0</v>
      </c>
      <c r="BE4" s="38">
        <f t="shared" ref="BE4:BE13" si="2">IF(BB4="","",BC4*R$24)</f>
        <v>0</v>
      </c>
      <c r="BF4" s="38">
        <f t="shared" ref="BF4:BF13" si="3">IF(BB4="","",BD4*T$24)</f>
        <v>0</v>
      </c>
      <c r="BG4" s="38">
        <f t="shared" ref="BG4:BG13" si="4">IF(BB4="","",((((4*BB4)/(PI()*(I$11^2)))^2)/(2*9.81)))</f>
        <v>0</v>
      </c>
      <c r="BH4" s="91">
        <f>IF(BB4="","",($M$4-$M$6)+($M$8-$M$9))</f>
        <v>3.504600000000039</v>
      </c>
      <c r="BI4" s="91">
        <f>IF(BB4="","",($M$4-$M$5)+($M$8-$M$9))</f>
        <v>5.7046000000000276</v>
      </c>
      <c r="BJ4" s="38">
        <f t="shared" ref="BJ4:BJ12" si="5">IF(BB4="","",BH4+BG4+BF4+BE4)</f>
        <v>3.504600000000039</v>
      </c>
      <c r="BK4" s="38">
        <f t="shared" ref="BK4:BK12" si="6">IF(BB4="","",(BJ4+BL4)/2)</f>
        <v>4.6046000000000333</v>
      </c>
      <c r="BL4" s="38">
        <f t="shared" ref="BL4:BL12" si="7">IF(BB4="","",BI4+BG4+BF4+BE4)</f>
        <v>5.7046000000000276</v>
      </c>
      <c r="BM4" s="106">
        <f>-(48661946.6474)*(BB4^3)-(63206.29712)*(BB4^2)-(2246.8556)*(BB4)+42.72643</f>
        <v>42.726430000000001</v>
      </c>
      <c r="BQ4" s="28"/>
      <c r="BR4" s="28"/>
      <c r="BS4" s="90" t="s">
        <v>79</v>
      </c>
      <c r="BT4" s="38">
        <f>BK8+BP3</f>
        <v>4.9225092406341009</v>
      </c>
      <c r="BV4" s="248" t="s">
        <v>90</v>
      </c>
      <c r="BW4" s="204"/>
      <c r="BX4" s="38">
        <f>10.33-((1.2*$C$8)/1000)</f>
        <v>9.82</v>
      </c>
      <c r="BY4" s="40"/>
    </row>
    <row r="5" spans="2:77" ht="15.75" customHeight="1" x14ac:dyDescent="0.3">
      <c r="B5" s="79" t="s">
        <v>161</v>
      </c>
      <c r="C5" s="7">
        <f>C4/1000</f>
        <v>5.0000000000000001E-3</v>
      </c>
      <c r="H5" s="79" t="s">
        <v>235</v>
      </c>
      <c r="I5" s="81">
        <f>(4*F4)/(PI()*(I4^2))</f>
        <v>0.71041002901328243</v>
      </c>
      <c r="J5" s="89" t="str">
        <f>IF(I5&lt;I26,"No cumple con lo estupilado en el RAS 2000",IF(I5&gt;LOOKUP(I3,H17:H24,I17:I24),"No cumple con lo estupilado en el RAS 2000","Cumple con lo estipulado en el RAS 2000"))</f>
        <v>Cumple con lo estipulado en el RAS 2000</v>
      </c>
      <c r="K5" s="101"/>
      <c r="L5" s="89" t="s">
        <v>266</v>
      </c>
      <c r="M5" s="113">
        <v>420.71899999999999</v>
      </c>
      <c r="N5" s="101"/>
      <c r="O5" s="79" t="s">
        <v>39</v>
      </c>
      <c r="P5" s="68">
        <v>0.8</v>
      </c>
      <c r="Q5" s="10"/>
      <c r="R5" s="23" t="str">
        <f t="shared" ref="R5:R22" si="8">IF(Q5="","",Q5*(0.00774*P5*(($C$10)^1.85)*($I$4^4.85)*($F$4^0.15)))</f>
        <v/>
      </c>
      <c r="S5" s="10"/>
      <c r="T5" s="38" t="str">
        <f t="shared" ref="T5:T22" si="9">IF(S5="","",S5*(0.00774*P5*(($C$10)^1.85)*($I$11^4.85)*($F$4^0.15)))</f>
        <v/>
      </c>
      <c r="U5" s="130"/>
      <c r="AI5" s="102">
        <v>10</v>
      </c>
      <c r="AJ5" s="133">
        <v>135</v>
      </c>
      <c r="AK5" s="38">
        <f t="shared" ref="AK5:AK10" si="10">IF(AJ5="","",AI5*0.0000757683211)</f>
        <v>7.5768321100000012E-4</v>
      </c>
      <c r="AL5" s="38">
        <f t="shared" ref="AL5:AL10" si="11">IF(AJ5="","",0.3048*AJ5)</f>
        <v>41.148000000000003</v>
      </c>
      <c r="BB5" s="38">
        <f>IF(AZ2=10,(2/9)*F4,IF(AZ2=9,(2/8)*F4,IF(AZ2=8,(2/7)*F4,IF(AZ2=7,(2/6)*F4,IF(AZ2=6,(2/5)*F4,IF(AZ2=5,(2/4)*F4,""))))))</f>
        <v>1.2798935997400908E-3</v>
      </c>
      <c r="BC5" s="38">
        <f t="shared" si="0"/>
        <v>3.0042157878613598E-4</v>
      </c>
      <c r="BD5" s="38">
        <f t="shared" si="1"/>
        <v>1.2197693738559634E-3</v>
      </c>
      <c r="BE5" s="38">
        <f t="shared" si="2"/>
        <v>2.1582992270302256E-3</v>
      </c>
      <c r="BF5" s="38">
        <f t="shared" si="3"/>
        <v>1.2237351432635929E-2</v>
      </c>
      <c r="BG5" s="38">
        <f t="shared" si="4"/>
        <v>4.014662889570305E-3</v>
      </c>
      <c r="BH5" s="91">
        <f t="shared" ref="BH5:BH13" si="12">IF(BB5="","",($M$4-$M$6)+($M$8-$M$9))</f>
        <v>3.504600000000039</v>
      </c>
      <c r="BI5" s="91">
        <f t="shared" ref="BI5:BI13" si="13">IF(BB5="","",($M$4-$M$5)+($M$8-$M$9))</f>
        <v>5.7046000000000276</v>
      </c>
      <c r="BJ5" s="38">
        <f t="shared" si="5"/>
        <v>3.5230103135492752</v>
      </c>
      <c r="BK5" s="38">
        <f t="shared" si="6"/>
        <v>4.6230103135492699</v>
      </c>
      <c r="BL5" s="38">
        <f t="shared" si="7"/>
        <v>5.7230103135492643</v>
      </c>
      <c r="BM5" s="106">
        <f t="shared" ref="BM5:BM13" si="14">-(48661946.6474)*(BB5^3)-(63206.29712)*(BB5^2)-(2246.8556)*(BB5)+42.72643</f>
        <v>39.645127864832709</v>
      </c>
      <c r="BQ5" s="28"/>
      <c r="BR5" s="28"/>
      <c r="BS5" s="90" t="s">
        <v>80</v>
      </c>
      <c r="BT5" s="135">
        <v>0.5</v>
      </c>
      <c r="BV5" s="255" t="s">
        <v>88</v>
      </c>
      <c r="BW5" s="219"/>
      <c r="BX5" s="258">
        <f>M4-M5</f>
        <v>5.4076000000000022</v>
      </c>
      <c r="BY5" s="40"/>
    </row>
    <row r="6" spans="2:77" ht="15.75" customHeight="1" thickBot="1" x14ac:dyDescent="0.35">
      <c r="B6" s="79" t="s">
        <v>24</v>
      </c>
      <c r="C6" s="38">
        <f>((Proyeccion!AE48)/1000)+C5</f>
        <v>5.7595211988304088E-3</v>
      </c>
      <c r="H6" s="86" t="s">
        <v>236</v>
      </c>
      <c r="I6" s="81">
        <f>IF(ROUNDUP(((2.5*I4)+0.1),2)&gt;=0.5,ROUNDUP(((2.5*I4)+0.1),2),0.5)</f>
        <v>0.5</v>
      </c>
      <c r="J6" s="89" t="str">
        <f>IF(AND(I6&gt;(2*I4),I6&gt;=0.5),"Cumple con el RAS 2000","No Cumple con el RAS 2000")</f>
        <v>Cumple con el RAS 2000</v>
      </c>
      <c r="K6" s="101"/>
      <c r="L6" s="89" t="s">
        <v>281</v>
      </c>
      <c r="M6" s="113">
        <v>422.91899999999998</v>
      </c>
      <c r="N6" s="101"/>
      <c r="O6" s="79" t="s">
        <v>40</v>
      </c>
      <c r="P6" s="68">
        <v>0.9</v>
      </c>
      <c r="Q6" s="10">
        <v>1</v>
      </c>
      <c r="R6" s="23">
        <f t="shared" si="8"/>
        <v>5.2028911499809119E-4</v>
      </c>
      <c r="S6" s="10">
        <v>8</v>
      </c>
      <c r="T6" s="38">
        <f t="shared" si="9"/>
        <v>1.0312924884689394E-3</v>
      </c>
      <c r="Z6" s="85"/>
      <c r="AA6" s="85"/>
      <c r="AI6" s="102">
        <v>20</v>
      </c>
      <c r="AJ6" s="133">
        <v>127.5</v>
      </c>
      <c r="AK6" s="38">
        <f t="shared" si="10"/>
        <v>1.5153664220000002E-3</v>
      </c>
      <c r="AL6" s="38">
        <f t="shared" si="11"/>
        <v>38.862000000000002</v>
      </c>
      <c r="BB6" s="38">
        <f>IF(AZ2=10,(4/9)*F4,IF(AZ2=9,0.5*F4,IF(AZ2=8,(4/7)*F4,IF(AZ2=7,(2/3)*F4,IF(AZ2=6,0.8*F4,IF(AZ2=5,1*F4,""))))))</f>
        <v>2.5597871994801815E-3</v>
      </c>
      <c r="BC6" s="38">
        <f t="shared" si="0"/>
        <v>1.0845227735995972E-3</v>
      </c>
      <c r="BD6" s="38">
        <f t="shared" si="1"/>
        <v>4.4033709889655971E-3</v>
      </c>
      <c r="BE6" s="38">
        <f t="shared" si="2"/>
        <v>7.7914664899055115E-3</v>
      </c>
      <c r="BF6" s="38">
        <f t="shared" si="3"/>
        <v>4.4176874280669326E-2</v>
      </c>
      <c r="BG6" s="38">
        <f t="shared" si="4"/>
        <v>1.605865155828122E-2</v>
      </c>
      <c r="BH6" s="91">
        <f t="shared" si="12"/>
        <v>3.504600000000039</v>
      </c>
      <c r="BI6" s="91">
        <f t="shared" si="13"/>
        <v>5.7046000000000276</v>
      </c>
      <c r="BJ6" s="38">
        <f t="shared" si="5"/>
        <v>3.5726269923288951</v>
      </c>
      <c r="BK6" s="38">
        <f t="shared" si="6"/>
        <v>4.6726269923288895</v>
      </c>
      <c r="BL6" s="38">
        <f t="shared" si="7"/>
        <v>5.7726269923288838</v>
      </c>
      <c r="BM6" s="106">
        <f t="shared" si="14"/>
        <v>35.744589456506269</v>
      </c>
      <c r="BQ6" s="28"/>
      <c r="BR6" s="28"/>
      <c r="BS6" s="90" t="s">
        <v>81</v>
      </c>
      <c r="BT6" s="95">
        <f>(BT2*BT3*BT4)/BT5</f>
        <v>0.55625243385472278</v>
      </c>
      <c r="BV6" s="256"/>
      <c r="BW6" s="257"/>
      <c r="BX6" s="259"/>
      <c r="BY6" s="138"/>
    </row>
    <row r="7" spans="2:77" ht="15.75" customHeight="1" x14ac:dyDescent="0.3">
      <c r="B7" s="79" t="s">
        <v>21</v>
      </c>
      <c r="C7" s="109">
        <v>9</v>
      </c>
      <c r="H7" s="204" t="s">
        <v>27</v>
      </c>
      <c r="I7" s="204"/>
      <c r="J7" s="204"/>
      <c r="K7" s="16"/>
      <c r="L7" s="51" t="s">
        <v>246</v>
      </c>
      <c r="M7" s="112">
        <f>M4-M5</f>
        <v>5.4076000000000022</v>
      </c>
      <c r="N7" s="16"/>
      <c r="O7" s="79" t="s">
        <v>271</v>
      </c>
      <c r="P7" s="68">
        <v>0.4</v>
      </c>
      <c r="Q7" s="10"/>
      <c r="R7" s="23" t="str">
        <f t="shared" si="8"/>
        <v/>
      </c>
      <c r="S7" s="10">
        <v>1</v>
      </c>
      <c r="T7" s="38">
        <f t="shared" si="9"/>
        <v>5.7294027137163302E-5</v>
      </c>
      <c r="Z7" s="85"/>
      <c r="AA7" s="85"/>
      <c r="AI7" s="102">
        <v>30</v>
      </c>
      <c r="AJ7" s="133">
        <v>120</v>
      </c>
      <c r="AK7" s="38">
        <f t="shared" si="10"/>
        <v>2.2730496330000001E-3</v>
      </c>
      <c r="AL7" s="38">
        <f t="shared" si="11"/>
        <v>36.576000000000001</v>
      </c>
      <c r="BB7" s="38">
        <f>IF(AZ2=10,(2/3)*F4,IF(AZ2=9,0.75*F4,IF(AZ2=8,(6/7)*F4,IF(AZ2=7,(1)*F4,IF(AZ2=6,1.2*F4,IF(AZ2=5,1.5*F4,""))))))</f>
        <v>3.8396807992202723E-3</v>
      </c>
      <c r="BC7" s="38">
        <f t="shared" si="0"/>
        <v>2.298051133421629E-3</v>
      </c>
      <c r="BD7" s="38">
        <f t="shared" si="1"/>
        <v>9.3305294627259432E-3</v>
      </c>
      <c r="BE7" s="38">
        <f t="shared" si="2"/>
        <v>1.6509739430104902E-2</v>
      </c>
      <c r="BF7" s="38">
        <f t="shared" si="3"/>
        <v>9.3608653025112051E-2</v>
      </c>
      <c r="BG7" s="38">
        <f t="shared" si="4"/>
        <v>3.6131966006132749E-2</v>
      </c>
      <c r="BH7" s="91">
        <f t="shared" si="12"/>
        <v>3.504600000000039</v>
      </c>
      <c r="BI7" s="91">
        <f t="shared" si="13"/>
        <v>5.7046000000000276</v>
      </c>
      <c r="BJ7" s="38">
        <f t="shared" si="5"/>
        <v>3.6508503584613883</v>
      </c>
      <c r="BK7" s="38">
        <f t="shared" si="6"/>
        <v>4.750850358461383</v>
      </c>
      <c r="BL7" s="38">
        <f t="shared" si="7"/>
        <v>5.8508503584613774</v>
      </c>
      <c r="BM7" s="106">
        <f t="shared" si="14"/>
        <v>30.412658464843279</v>
      </c>
      <c r="BQ7" s="28"/>
      <c r="BR7" s="28"/>
      <c r="BS7" s="90" t="s">
        <v>82</v>
      </c>
      <c r="BT7" s="95">
        <f>BT6*1.34102</f>
        <v>0.74594563884786036</v>
      </c>
      <c r="BV7" s="240" t="s">
        <v>89</v>
      </c>
      <c r="BW7" s="241"/>
      <c r="BX7" s="241"/>
      <c r="BY7" s="242"/>
    </row>
    <row r="8" spans="2:77" ht="15.75" customHeight="1" x14ac:dyDescent="0.3">
      <c r="B8" s="79" t="s">
        <v>22</v>
      </c>
      <c r="C8" s="10">
        <v>425</v>
      </c>
      <c r="H8" s="80" t="s">
        <v>232</v>
      </c>
      <c r="I8" s="88">
        <f>1.3*((C7/24)^(1/4))*(F4^0.5)</f>
        <v>7.7204810227071902E-2</v>
      </c>
      <c r="J8" s="19"/>
      <c r="K8" s="66"/>
      <c r="L8" s="89" t="s">
        <v>267</v>
      </c>
      <c r="M8" s="113">
        <v>426.5736</v>
      </c>
      <c r="N8" s="66"/>
      <c r="O8" s="90" t="s">
        <v>272</v>
      </c>
      <c r="P8" s="68">
        <v>0.2</v>
      </c>
      <c r="Q8" s="102"/>
      <c r="R8" s="23" t="str">
        <f t="shared" si="8"/>
        <v/>
      </c>
      <c r="S8" s="102"/>
      <c r="T8" s="38" t="str">
        <f t="shared" si="9"/>
        <v/>
      </c>
      <c r="Z8" s="85"/>
      <c r="AA8" s="85"/>
      <c r="AI8" s="102">
        <v>40</v>
      </c>
      <c r="AJ8" s="133">
        <v>112.5</v>
      </c>
      <c r="AK8" s="38">
        <f t="shared" si="10"/>
        <v>3.0307328440000005E-3</v>
      </c>
      <c r="AL8" s="38">
        <f t="shared" si="11"/>
        <v>34.29</v>
      </c>
      <c r="BB8" s="38">
        <f>IF(AZ2=10,(8/9)*F4,IF(AZ2=9,1*F4,IF(AZ2=8,(8/7)*F4,IF(AZ2=7,(4/3)*F4,IF(AZ2=6,1.6*F4,IF(AZ2=5,2*F4,""))))))</f>
        <v>5.119574398960363E-3</v>
      </c>
      <c r="BC8" s="38">
        <f t="shared" si="0"/>
        <v>3.9151303684928362E-3</v>
      </c>
      <c r="BD8" s="38">
        <f t="shared" si="1"/>
        <v>1.5896182083313649E-2</v>
      </c>
      <c r="BE8" s="38">
        <f t="shared" si="2"/>
        <v>2.8127216700555489E-2</v>
      </c>
      <c r="BF8" s="38">
        <f t="shared" si="3"/>
        <v>0.15947864470128156</v>
      </c>
      <c r="BG8" s="38">
        <f t="shared" si="4"/>
        <v>6.423460623312488E-2</v>
      </c>
      <c r="BH8" s="91">
        <f t="shared" si="12"/>
        <v>3.504600000000039</v>
      </c>
      <c r="BI8" s="91">
        <f t="shared" si="13"/>
        <v>5.7046000000000276</v>
      </c>
      <c r="BJ8" s="38">
        <f t="shared" si="5"/>
        <v>3.7564404676350009</v>
      </c>
      <c r="BK8" s="38">
        <f t="shared" si="6"/>
        <v>4.8564404676349957</v>
      </c>
      <c r="BL8" s="38">
        <f t="shared" si="7"/>
        <v>5.95644046763499</v>
      </c>
      <c r="BM8" s="106">
        <f t="shared" si="14"/>
        <v>23.037178579666346</v>
      </c>
      <c r="BQ8" s="28"/>
      <c r="BR8" s="28"/>
      <c r="BS8" s="97" t="s">
        <v>83</v>
      </c>
      <c r="BT8" s="95">
        <f>BT7*1.2</f>
        <v>0.89513476661743241</v>
      </c>
      <c r="BV8" s="249" t="s">
        <v>94</v>
      </c>
      <c r="BW8" s="250"/>
      <c r="BX8" s="38">
        <f>R24</f>
        <v>7.1842350198374891</v>
      </c>
      <c r="BY8" s="40"/>
    </row>
    <row r="9" spans="2:77" x14ac:dyDescent="0.3">
      <c r="B9" s="79" t="s">
        <v>23</v>
      </c>
      <c r="C9" s="10">
        <v>20</v>
      </c>
      <c r="H9" s="80" t="s">
        <v>231</v>
      </c>
      <c r="I9" s="88">
        <f>ROUNDUP(I8/0.0254,1)</f>
        <v>3.1</v>
      </c>
      <c r="J9" s="19"/>
      <c r="K9" s="66"/>
      <c r="L9" s="84" t="s">
        <v>245</v>
      </c>
      <c r="M9" s="114">
        <v>426.27659999999997</v>
      </c>
      <c r="N9" s="66"/>
      <c r="O9" s="79" t="s">
        <v>41</v>
      </c>
      <c r="P9" s="68">
        <v>0.5</v>
      </c>
      <c r="Q9" s="10"/>
      <c r="R9" s="23" t="str">
        <f t="shared" si="8"/>
        <v/>
      </c>
      <c r="S9" s="10"/>
      <c r="T9" s="38" t="str">
        <f t="shared" si="9"/>
        <v/>
      </c>
      <c r="Z9" s="85"/>
      <c r="AA9" s="85"/>
      <c r="AI9" s="102">
        <v>50</v>
      </c>
      <c r="AJ9" s="133">
        <v>100</v>
      </c>
      <c r="AK9" s="38">
        <f t="shared" si="10"/>
        <v>3.7884160550000004E-3</v>
      </c>
      <c r="AL9" s="38">
        <f t="shared" si="11"/>
        <v>30.48</v>
      </c>
      <c r="BB9" s="38">
        <f>IF(AZ2=10,(10/9)*F4,IF(AZ2=9,1.25*F4,IF(AZ2=8,(10/7)*F4,IF(AZ2=7,(5/3)*F4,IF(AZ2=6,2*F4,"")))))</f>
        <v>6.3994679987004546E-3</v>
      </c>
      <c r="BC9" s="38">
        <f t="shared" si="0"/>
        <v>5.9186624487973837E-3</v>
      </c>
      <c r="BD9" s="38">
        <f t="shared" si="1"/>
        <v>2.4030907561316477E-2</v>
      </c>
      <c r="BE9" s="38">
        <f t="shared" si="2"/>
        <v>4.2521062035247276E-2</v>
      </c>
      <c r="BF9" s="38">
        <f t="shared" si="3"/>
        <v>0.24109037935866687</v>
      </c>
      <c r="BG9" s="38">
        <f t="shared" si="4"/>
        <v>0.10036657223925764</v>
      </c>
      <c r="BH9" s="91">
        <f t="shared" si="12"/>
        <v>3.504600000000039</v>
      </c>
      <c r="BI9" s="91">
        <f t="shared" si="13"/>
        <v>5.7046000000000276</v>
      </c>
      <c r="BJ9" s="38">
        <f t="shared" si="5"/>
        <v>3.8885780136332109</v>
      </c>
      <c r="BK9" s="38">
        <f t="shared" si="6"/>
        <v>4.9885780136332052</v>
      </c>
      <c r="BL9" s="38">
        <f t="shared" si="7"/>
        <v>6.0885780136331995</v>
      </c>
      <c r="BM9" s="106">
        <f t="shared" si="14"/>
        <v>13.005993490798076</v>
      </c>
      <c r="BV9" s="249" t="s">
        <v>16</v>
      </c>
      <c r="BW9" s="250"/>
      <c r="BX9" s="5">
        <f>C10</f>
        <v>150</v>
      </c>
      <c r="BY9" s="40"/>
    </row>
    <row r="10" spans="2:77" x14ac:dyDescent="0.3">
      <c r="B10" s="110" t="s">
        <v>166</v>
      </c>
      <c r="C10" s="10">
        <v>150</v>
      </c>
      <c r="H10" s="79" t="s">
        <v>233</v>
      </c>
      <c r="I10" s="146">
        <v>3</v>
      </c>
      <c r="J10" s="19"/>
      <c r="K10" s="103"/>
      <c r="L10" s="51" t="s">
        <v>247</v>
      </c>
      <c r="M10" s="12">
        <f>M8-M9</f>
        <v>0.29700000000002547</v>
      </c>
      <c r="N10" s="103"/>
      <c r="O10" s="79" t="s">
        <v>42</v>
      </c>
      <c r="P10" s="68">
        <v>0.9</v>
      </c>
      <c r="Q10" s="10"/>
      <c r="R10" s="23" t="str">
        <f t="shared" si="8"/>
        <v/>
      </c>
      <c r="S10" s="10"/>
      <c r="T10" s="38" t="str">
        <f t="shared" si="9"/>
        <v/>
      </c>
      <c r="Z10" s="85"/>
      <c r="AA10" s="85"/>
      <c r="AI10" s="102">
        <v>60</v>
      </c>
      <c r="AJ10" s="133">
        <v>87.5</v>
      </c>
      <c r="AK10" s="38">
        <f t="shared" si="10"/>
        <v>4.5460992660000003E-3</v>
      </c>
      <c r="AL10" s="38">
        <f t="shared" si="11"/>
        <v>26.67</v>
      </c>
      <c r="AY10" s="96"/>
      <c r="BB10" s="38">
        <f>IF(AZ2=10,(4/3)*F4,IF(AZ2=9,1.5*F4,IF(AZ2=8,(12/7)*F4,IF(AZ2=7,2*F4,""))))</f>
        <v>7.6793615984405445E-3</v>
      </c>
      <c r="BC10" s="38">
        <f t="shared" si="0"/>
        <v>8.2959712786355236E-3</v>
      </c>
      <c r="BD10" s="38">
        <f t="shared" si="1"/>
        <v>3.3683238510879197E-2</v>
      </c>
      <c r="BE10" s="38">
        <f t="shared" si="2"/>
        <v>5.9600207383539321E-2</v>
      </c>
      <c r="BF10" s="38">
        <f t="shared" si="3"/>
        <v>0.33792750980776731</v>
      </c>
      <c r="BG10" s="38">
        <f t="shared" si="4"/>
        <v>0.14452786402453099</v>
      </c>
      <c r="BH10" s="91">
        <f t="shared" si="12"/>
        <v>3.504600000000039</v>
      </c>
      <c r="BI10" s="91">
        <f t="shared" si="13"/>
        <v>5.7046000000000276</v>
      </c>
      <c r="BJ10" s="38">
        <f t="shared" si="5"/>
        <v>4.0466555812158767</v>
      </c>
      <c r="BK10" s="38">
        <f t="shared" si="6"/>
        <v>5.146655581215871</v>
      </c>
      <c r="BL10" s="38">
        <f t="shared" si="7"/>
        <v>6.2466555812158653</v>
      </c>
      <c r="BM10" s="106">
        <f t="shared" si="14"/>
        <v>-0.29305311193892436</v>
      </c>
      <c r="BV10" s="249" t="s">
        <v>96</v>
      </c>
      <c r="BW10" s="250"/>
      <c r="BX10" s="38">
        <f>F4</f>
        <v>5.7595211988304088E-3</v>
      </c>
      <c r="BY10" s="40"/>
    </row>
    <row r="11" spans="2:77" ht="15" customHeight="1" x14ac:dyDescent="0.3">
      <c r="B11" s="110" t="s">
        <v>167</v>
      </c>
      <c r="C11" s="10">
        <v>1.5E-3</v>
      </c>
      <c r="H11" s="79" t="s">
        <v>234</v>
      </c>
      <c r="I11" s="81">
        <f>I10*0.0254</f>
        <v>7.619999999999999E-2</v>
      </c>
      <c r="J11" s="19"/>
      <c r="K11" s="103"/>
      <c r="L11" s="84" t="s">
        <v>34</v>
      </c>
      <c r="M11" s="12">
        <f>M7+M10</f>
        <v>5.7046000000000276</v>
      </c>
      <c r="N11" s="103"/>
      <c r="O11" s="79" t="s">
        <v>43</v>
      </c>
      <c r="P11" s="68">
        <v>0.2</v>
      </c>
      <c r="Q11" s="10"/>
      <c r="R11" s="23" t="str">
        <f t="shared" si="8"/>
        <v/>
      </c>
      <c r="S11" s="10">
        <v>1</v>
      </c>
      <c r="T11" s="38">
        <f t="shared" si="9"/>
        <v>2.8647013568581651E-5</v>
      </c>
      <c r="Z11" s="85"/>
      <c r="AA11" s="85"/>
      <c r="AI11" s="9"/>
      <c r="AJ11" s="9"/>
      <c r="AK11" s="27"/>
      <c r="AL11" s="18"/>
      <c r="AY11" s="96"/>
      <c r="BB11" s="38">
        <f>IF(AZ2=10,(14/9)*F4,IF(AZ2=9,1.75*F4,IF(AZ2=8,2*F4,"")))</f>
        <v>8.9592551981806361E-3</v>
      </c>
      <c r="BC11" s="38">
        <f t="shared" si="0"/>
        <v>1.1037041974858549E-2</v>
      </c>
      <c r="BD11" s="38">
        <f t="shared" si="1"/>
        <v>4.481251258079226E-2</v>
      </c>
      <c r="BE11" s="38">
        <f t="shared" si="2"/>
        <v>7.9292703471195103E-2</v>
      </c>
      <c r="BF11" s="38">
        <f t="shared" si="3"/>
        <v>0.44958209050371684</v>
      </c>
      <c r="BG11" s="38">
        <f t="shared" si="4"/>
        <v>0.19671848158894498</v>
      </c>
      <c r="BH11" s="91">
        <f t="shared" si="12"/>
        <v>3.504600000000039</v>
      </c>
      <c r="BI11" s="91">
        <f t="shared" si="13"/>
        <v>5.7046000000000276</v>
      </c>
      <c r="BJ11" s="38">
        <f t="shared" si="5"/>
        <v>4.2301932755638951</v>
      </c>
      <c r="BK11" s="38">
        <f t="shared" si="6"/>
        <v>5.3301932755638894</v>
      </c>
      <c r="BL11" s="38">
        <f t="shared" si="7"/>
        <v>6.4301932755638846</v>
      </c>
      <c r="BM11" s="106">
        <f t="shared" si="14"/>
        <v>-17.472117538722067</v>
      </c>
      <c r="BV11" s="249" t="s">
        <v>95</v>
      </c>
      <c r="BW11" s="250"/>
      <c r="BX11" s="38">
        <f>I4</f>
        <v>0.1016</v>
      </c>
      <c r="BY11" s="40"/>
    </row>
    <row r="12" spans="2:77" x14ac:dyDescent="0.3">
      <c r="H12" s="79" t="s">
        <v>235</v>
      </c>
      <c r="I12" s="81">
        <f>(F4*4)/(PI()*(I11^2))</f>
        <v>1.2629511626902801</v>
      </c>
      <c r="J12" s="82" t="str">
        <f>IF(AND(I12&gt;=1,I12&lt;=3),"Cumple con lo estipulado en el RAS 2000","No cumple con lo estipulado en el RAS 2000")</f>
        <v>Cumple con lo estipulado en el RAS 2000</v>
      </c>
      <c r="K12" s="104"/>
      <c r="L12" s="204" t="s">
        <v>268</v>
      </c>
      <c r="M12" s="204"/>
      <c r="N12" s="104"/>
      <c r="O12" s="117" t="s">
        <v>345</v>
      </c>
      <c r="P12" s="68">
        <v>0.05</v>
      </c>
      <c r="Q12" s="102"/>
      <c r="R12" s="23" t="str">
        <f t="shared" si="8"/>
        <v/>
      </c>
      <c r="S12" s="102">
        <v>1</v>
      </c>
      <c r="T12" s="38">
        <f t="shared" si="9"/>
        <v>7.1617533921454128E-6</v>
      </c>
      <c r="AY12" s="96"/>
      <c r="BB12" s="38">
        <f>IF(AZ2=10,(16/9)*F4,IF(AZ2=9,2*F4,""))</f>
        <v>1.0239148797920726E-2</v>
      </c>
      <c r="BC12" s="38">
        <f t="shared" si="0"/>
        <v>1.4133632022700149E-2</v>
      </c>
      <c r="BD12" s="38">
        <f t="shared" si="1"/>
        <v>5.7385263576263244E-2</v>
      </c>
      <c r="BE12" s="38">
        <f t="shared" si="2"/>
        <v>0.10153933413497898</v>
      </c>
      <c r="BF12" s="38">
        <f t="shared" si="3"/>
        <v>0.57571837143051596</v>
      </c>
      <c r="BG12" s="38">
        <f t="shared" si="4"/>
        <v>0.25693842493249952</v>
      </c>
      <c r="BH12" s="91">
        <f t="shared" si="12"/>
        <v>3.504600000000039</v>
      </c>
      <c r="BI12" s="91">
        <f t="shared" si="13"/>
        <v>5.7046000000000276</v>
      </c>
      <c r="BJ12" s="38">
        <f t="shared" si="5"/>
        <v>4.4387961304980337</v>
      </c>
      <c r="BK12" s="38">
        <f t="shared" si="6"/>
        <v>5.538796130498028</v>
      </c>
      <c r="BL12" s="38">
        <f t="shared" si="7"/>
        <v>6.6387961304980223</v>
      </c>
      <c r="BM12" s="106">
        <f t="shared" si="14"/>
        <v>-39.143356099728713</v>
      </c>
      <c r="BV12" s="249" t="s">
        <v>29</v>
      </c>
      <c r="BW12" s="250"/>
      <c r="BX12" s="38">
        <f>R25</f>
        <v>4.8694588443655576E-3</v>
      </c>
      <c r="BY12" s="40"/>
    </row>
    <row r="13" spans="2:77" ht="15" customHeight="1" thickBot="1" x14ac:dyDescent="0.35">
      <c r="L13" s="264" t="s">
        <v>270</v>
      </c>
      <c r="M13" s="264"/>
      <c r="O13" s="79" t="s">
        <v>44</v>
      </c>
      <c r="P13" s="68">
        <v>10</v>
      </c>
      <c r="Q13" s="10"/>
      <c r="R13" s="23" t="str">
        <f t="shared" si="8"/>
        <v/>
      </c>
      <c r="S13" s="10"/>
      <c r="T13" s="38" t="str">
        <f t="shared" si="9"/>
        <v/>
      </c>
      <c r="AY13" s="96"/>
      <c r="BB13" s="38">
        <f>IF(AZ2=10,2*F4,"")</f>
        <v>1.1519042397660818E-2</v>
      </c>
      <c r="BC13" s="38">
        <f t="shared" si="0"/>
        <v>1.7578760597553124E-2</v>
      </c>
      <c r="BD13" s="38">
        <f t="shared" si="1"/>
        <v>7.1373148007139009E-2</v>
      </c>
      <c r="BE13" s="38">
        <f t="shared" si="2"/>
        <v>0.12628994749028055</v>
      </c>
      <c r="BF13" s="38">
        <f t="shared" si="3"/>
        <v>0.71605199617025017</v>
      </c>
      <c r="BG13" s="38">
        <f t="shared" si="4"/>
        <v>0.32518769405519471</v>
      </c>
      <c r="BH13" s="91">
        <f t="shared" si="12"/>
        <v>3.504600000000039</v>
      </c>
      <c r="BI13" s="91">
        <f t="shared" si="13"/>
        <v>5.7046000000000276</v>
      </c>
      <c r="BJ13" s="38">
        <f>IF(BB13="","",BH13+BG13+BF13+BE13)</f>
        <v>4.6721296377157646</v>
      </c>
      <c r="BK13" s="38">
        <f>IF(BB13="","",(BJ13+BL13)/2)</f>
        <v>5.7721296377157589</v>
      </c>
      <c r="BL13" s="38">
        <f>IF(BB13="","",BI13+BG13+BF13+BE13)</f>
        <v>6.8721296377157532</v>
      </c>
      <c r="BM13" s="106">
        <f t="shared" si="14"/>
        <v>-65.91892510513631</v>
      </c>
      <c r="BV13" s="233" t="s">
        <v>97</v>
      </c>
      <c r="BW13" s="234"/>
      <c r="BX13" s="39">
        <f>R26</f>
        <v>3.4983336757348431E-2</v>
      </c>
      <c r="BY13" s="138"/>
    </row>
    <row r="14" spans="2:77" ht="15" customHeight="1" x14ac:dyDescent="0.3">
      <c r="B14" s="88" t="s">
        <v>162</v>
      </c>
      <c r="C14" s="88">
        <v>12</v>
      </c>
      <c r="H14" s="204" t="s">
        <v>240</v>
      </c>
      <c r="I14" s="204"/>
      <c r="J14" s="204"/>
      <c r="K14" s="16"/>
      <c r="L14" s="265" t="s">
        <v>276</v>
      </c>
      <c r="M14" s="265"/>
      <c r="N14" s="16"/>
      <c r="O14" s="79" t="s">
        <v>45</v>
      </c>
      <c r="P14" s="68">
        <v>5</v>
      </c>
      <c r="Q14" s="10"/>
      <c r="R14" s="23" t="str">
        <f t="shared" si="8"/>
        <v/>
      </c>
      <c r="S14" s="10"/>
      <c r="T14" s="38" t="str">
        <f t="shared" si="9"/>
        <v/>
      </c>
      <c r="AY14" s="96"/>
      <c r="BV14" s="237" t="s">
        <v>98</v>
      </c>
      <c r="BW14" s="238"/>
      <c r="BX14" s="238"/>
      <c r="BY14" s="239"/>
    </row>
    <row r="15" spans="2:77" ht="14.4" customHeight="1" x14ac:dyDescent="0.3">
      <c r="B15" s="88" t="s">
        <v>163</v>
      </c>
      <c r="C15" s="88">
        <v>12</v>
      </c>
      <c r="H15" s="203" t="s">
        <v>239</v>
      </c>
      <c r="I15" s="203" t="s">
        <v>238</v>
      </c>
      <c r="J15" s="203"/>
      <c r="K15" s="99"/>
      <c r="L15" s="265"/>
      <c r="M15" s="265"/>
      <c r="N15" s="99"/>
      <c r="O15" s="79" t="s">
        <v>46</v>
      </c>
      <c r="P15" s="68">
        <v>0.3</v>
      </c>
      <c r="Q15" s="10">
        <v>1</v>
      </c>
      <c r="R15" s="23">
        <f t="shared" si="8"/>
        <v>1.7342970499936369E-4</v>
      </c>
      <c r="S15" s="10">
        <v>1</v>
      </c>
      <c r="T15" s="38">
        <f t="shared" si="9"/>
        <v>4.2970520352872468E-5</v>
      </c>
      <c r="AY15" s="96"/>
      <c r="BV15" s="236" t="s">
        <v>99</v>
      </c>
      <c r="BW15" s="213"/>
      <c r="BX15" s="38">
        <f>(4*BX10)/(PI()*(BX11^2))</f>
        <v>0.71041002901328243</v>
      </c>
      <c r="BY15" s="40"/>
    </row>
    <row r="16" spans="2:77" ht="15" customHeight="1" x14ac:dyDescent="0.3">
      <c r="B16" s="88" t="s">
        <v>164</v>
      </c>
      <c r="C16" s="88">
        <v>20</v>
      </c>
      <c r="H16" s="203"/>
      <c r="I16" s="203"/>
      <c r="J16" s="203"/>
      <c r="K16" s="99"/>
      <c r="L16" s="204" t="s">
        <v>277</v>
      </c>
      <c r="M16" s="204"/>
      <c r="N16" s="99"/>
      <c r="O16" s="79" t="s">
        <v>47</v>
      </c>
      <c r="P16" s="68">
        <v>1.8</v>
      </c>
      <c r="Q16" s="10"/>
      <c r="R16" s="23" t="str">
        <f t="shared" si="8"/>
        <v/>
      </c>
      <c r="S16" s="10">
        <v>1</v>
      </c>
      <c r="T16" s="38">
        <f t="shared" si="9"/>
        <v>2.5782312211723485E-4</v>
      </c>
      <c r="AY16" s="96"/>
      <c r="BV16" s="235" t="s">
        <v>100</v>
      </c>
      <c r="BW16" s="216"/>
      <c r="BX16" s="38">
        <f>(BX15^2)/(2*9.81)</f>
        <v>2.5722854705537854E-2</v>
      </c>
      <c r="BY16" s="40"/>
    </row>
    <row r="17" spans="2:77" ht="15" thickBot="1" x14ac:dyDescent="0.35">
      <c r="B17" s="88" t="s">
        <v>165</v>
      </c>
      <c r="C17" s="88">
        <v>24</v>
      </c>
      <c r="H17" s="88">
        <v>2</v>
      </c>
      <c r="I17" s="229">
        <v>0.75</v>
      </c>
      <c r="J17" s="229"/>
      <c r="K17" s="66"/>
      <c r="L17" s="93" t="s">
        <v>278</v>
      </c>
      <c r="M17" s="12">
        <f>(I12^2)/(2*9.81)</f>
        <v>8.1296923513798677E-2</v>
      </c>
      <c r="N17" s="66"/>
      <c r="O17" s="79" t="s">
        <v>48</v>
      </c>
      <c r="P17" s="68">
        <v>1.8</v>
      </c>
      <c r="Q17" s="10"/>
      <c r="R17" s="23" t="str">
        <f t="shared" si="8"/>
        <v/>
      </c>
      <c r="S17" s="10"/>
      <c r="T17" s="38" t="str">
        <f t="shared" si="9"/>
        <v/>
      </c>
      <c r="AY17" s="96"/>
      <c r="BV17" s="233" t="s">
        <v>91</v>
      </c>
      <c r="BW17" s="234"/>
      <c r="BX17" s="39">
        <f>IF(C9=0,DU72,IF(C9=1,DU73,IF(C9=2,DU74,IF(C9=3,DU75,IF(C9=4,DU76,IF(C9=5,DU77,IF(C9=6,DU78,IF(C9=7,DU79,IF(C9=8,DU80,IF(C9=9,DU81,IF(C9=10,DU82,IF(C9=11,DU83,IF(C9=12,DU84,IF(C9=13,DU85,IF(C9=14,DU86,IF(C9=15,DU87,IF(C9=16,DU88,IF(C9=17,DU89,IF(C9=18,DU90,IF(C9=19,DU91,IF(C9=20,DU92,IF(C9=21,DU93,IF(C9=22,DU94,IF(C9=23,DU95,IF(C9=24,DU96,IF(C9=25,DU97,IF(C9=26,DU98,IF(C9=27,DU99,IF(C9=28,DU100,IF(C9=29,DU101,IF(C9=30,DU102,IF(C9=31,DU103,IF(C9=32,DU104,IF(C9=33,DU105,IF(C9=34,DU106,IF(C9=35,DU107,IF(C9=36,DU108,IF(C9=37,DU109,IF(C9=38,DU110,IF(C9=39,DU111,IF(C9=40,DU112,IF(C9=41,DU113,IF(C9=42,DU114,IF(C9=43,DU115,IF(C9=44,DU116,IF(C9=45,DU117,IF(C9=46,DU118,IF(C9=47,DU119,IF(C9=48,DU120,IF(C9=49,DU121,IF(C9=50,DU122,"")))))))))))))))))))))))))))))))))))))))))))))))))))</f>
        <v>0.23877551020408019</v>
      </c>
      <c r="BY17" s="139"/>
    </row>
    <row r="18" spans="2:77" x14ac:dyDescent="0.3">
      <c r="H18" s="88">
        <v>3</v>
      </c>
      <c r="I18" s="229">
        <v>1</v>
      </c>
      <c r="J18" s="229"/>
      <c r="K18" s="66"/>
      <c r="L18" s="204" t="s">
        <v>279</v>
      </c>
      <c r="M18" s="204"/>
      <c r="N18" s="66"/>
      <c r="O18" s="79" t="s">
        <v>49</v>
      </c>
      <c r="P18" s="68">
        <v>3</v>
      </c>
      <c r="Q18" s="10">
        <v>1</v>
      </c>
      <c r="R18" s="23">
        <f t="shared" si="8"/>
        <v>1.7342970499936369E-3</v>
      </c>
      <c r="S18" s="10"/>
      <c r="T18" s="38" t="str">
        <f t="shared" si="9"/>
        <v/>
      </c>
      <c r="AY18" s="96"/>
      <c r="BV18" s="240" t="s">
        <v>86</v>
      </c>
      <c r="BW18" s="241"/>
      <c r="BX18" s="241"/>
      <c r="BY18" s="242"/>
    </row>
    <row r="19" spans="2:77" x14ac:dyDescent="0.3">
      <c r="H19" s="88">
        <v>4</v>
      </c>
      <c r="I19" s="229">
        <v>1.3</v>
      </c>
      <c r="J19" s="229"/>
      <c r="K19" s="66"/>
      <c r="L19" s="93" t="s">
        <v>280</v>
      </c>
      <c r="M19" s="12">
        <f>R26+T26+M17+M11</f>
        <v>6.0192324538986473</v>
      </c>
      <c r="N19" s="66"/>
      <c r="O19" s="79" t="s">
        <v>50</v>
      </c>
      <c r="P19" s="68">
        <v>2.5</v>
      </c>
      <c r="Q19" s="10"/>
      <c r="R19" s="23" t="str">
        <f t="shared" si="8"/>
        <v/>
      </c>
      <c r="S19" s="10">
        <v>1</v>
      </c>
      <c r="T19" s="38">
        <f t="shared" si="9"/>
        <v>3.5808766960727055E-4</v>
      </c>
      <c r="AY19" s="96"/>
      <c r="BV19" s="249" t="s">
        <v>87</v>
      </c>
      <c r="BW19" s="250"/>
      <c r="BX19" s="38">
        <f>(BX4-(BX5+BX13+BX16))-BX17</f>
        <v>4.1129182983330317</v>
      </c>
      <c r="BY19" s="251" t="str">
        <f>IF(BX21&gt;0.5,"No hay riesgo de cavitacion por presion de succion","Hay riesgo de cavitacion, por favor disminuya la altura estatica, aumentar el diametro o utilizar un material mas liso")</f>
        <v>Hay riesgo de cavitacion, por favor disminuya la altura estatica, aumentar el diametro o utilizar un material mas liso</v>
      </c>
    </row>
    <row r="20" spans="2:77" x14ac:dyDescent="0.3">
      <c r="H20" s="88">
        <v>6</v>
      </c>
      <c r="I20" s="229">
        <v>1.45</v>
      </c>
      <c r="J20" s="229"/>
      <c r="K20" s="66"/>
      <c r="N20" s="66"/>
      <c r="O20" s="79" t="s">
        <v>51</v>
      </c>
      <c r="P20" s="68">
        <v>0.35</v>
      </c>
      <c r="Q20" s="10">
        <v>3</v>
      </c>
      <c r="R20" s="23">
        <f t="shared" si="8"/>
        <v>6.0700396749777303E-4</v>
      </c>
      <c r="S20" s="10"/>
      <c r="T20" s="38" t="str">
        <f t="shared" si="9"/>
        <v/>
      </c>
      <c r="BV20" s="249" t="s">
        <v>101</v>
      </c>
      <c r="BW20" s="250"/>
      <c r="BX20" s="106">
        <v>7.9248000000000003</v>
      </c>
      <c r="BY20" s="252"/>
    </row>
    <row r="21" spans="2:77" ht="15" thickBot="1" x14ac:dyDescent="0.35">
      <c r="H21" s="88">
        <v>8</v>
      </c>
      <c r="I21" s="229">
        <v>1.6</v>
      </c>
      <c r="J21" s="229"/>
      <c r="K21" s="66"/>
      <c r="L21" s="66"/>
      <c r="M21" s="66"/>
      <c r="N21" s="66"/>
      <c r="O21" s="79" t="s">
        <v>52</v>
      </c>
      <c r="P21" s="68">
        <v>0.3</v>
      </c>
      <c r="Q21" s="10"/>
      <c r="R21" s="23" t="str">
        <f t="shared" si="8"/>
        <v/>
      </c>
      <c r="S21" s="10">
        <v>2</v>
      </c>
      <c r="T21" s="38">
        <f t="shared" si="9"/>
        <v>8.5941040705744937E-5</v>
      </c>
      <c r="BV21" s="236" t="s">
        <v>102</v>
      </c>
      <c r="BW21" s="213"/>
      <c r="BX21" s="83">
        <f>BX19-BX20</f>
        <v>-3.8118817016669686</v>
      </c>
      <c r="BY21" s="252"/>
    </row>
    <row r="22" spans="2:77" x14ac:dyDescent="0.3">
      <c r="H22" s="88">
        <v>10</v>
      </c>
      <c r="I22" s="229">
        <v>1.6</v>
      </c>
      <c r="J22" s="229"/>
      <c r="K22" s="66"/>
      <c r="L22" s="66"/>
      <c r="M22" s="66"/>
      <c r="N22" s="66"/>
      <c r="O22" s="79" t="s">
        <v>37</v>
      </c>
      <c r="P22" s="68">
        <v>1</v>
      </c>
      <c r="Q22" s="10"/>
      <c r="R22" s="23" t="str">
        <f t="shared" si="8"/>
        <v/>
      </c>
      <c r="S22" s="10">
        <v>1</v>
      </c>
      <c r="T22" s="38">
        <f t="shared" si="9"/>
        <v>1.4323506784290826E-4</v>
      </c>
      <c r="BV22" s="237" t="s">
        <v>103</v>
      </c>
      <c r="BW22" s="238"/>
      <c r="BX22" s="238"/>
      <c r="BY22" s="239"/>
    </row>
    <row r="23" spans="2:77" x14ac:dyDescent="0.3">
      <c r="H23" s="88">
        <v>12</v>
      </c>
      <c r="I23" s="229">
        <v>1.7</v>
      </c>
      <c r="J23" s="229"/>
      <c r="K23" s="66"/>
      <c r="L23" s="66"/>
      <c r="M23" s="66"/>
      <c r="N23" s="66"/>
      <c r="O23" s="86" t="s">
        <v>53</v>
      </c>
      <c r="P23" s="51"/>
      <c r="Q23" s="19"/>
      <c r="R23" s="106">
        <f>5.5076+1.6736</f>
        <v>7.1812000000000005</v>
      </c>
      <c r="S23" s="19"/>
      <c r="T23" s="102">
        <f>0.25+0.4924+0.35+1.3+0.4801+0.2205+0.3357+0.7711+3.2247+1.8757+0.7303</f>
        <v>10.0305</v>
      </c>
      <c r="BV23" s="243" t="s">
        <v>105</v>
      </c>
      <c r="BW23" s="203"/>
      <c r="BX23" s="244">
        <f>(AC3*(BX10^(1/2)))/(BT4^(3/4))</f>
        <v>82.671494038016547</v>
      </c>
      <c r="BY23" s="136" t="s">
        <v>109</v>
      </c>
    </row>
    <row r="24" spans="2:77" x14ac:dyDescent="0.3">
      <c r="H24" s="88">
        <v>16</v>
      </c>
      <c r="I24" s="229">
        <v>1.8</v>
      </c>
      <c r="J24" s="229"/>
      <c r="K24" s="66"/>
      <c r="L24" s="66"/>
      <c r="M24" s="66"/>
      <c r="N24" s="66"/>
      <c r="O24" s="45" t="s">
        <v>15</v>
      </c>
      <c r="P24" s="129"/>
      <c r="Q24" s="19"/>
      <c r="R24" s="81">
        <f>SUM(R4:R23)</f>
        <v>7.1842350198374891</v>
      </c>
      <c r="S24" s="19"/>
      <c r="T24" s="81">
        <f>SUM(T4:T23)</f>
        <v>10.032512452703193</v>
      </c>
      <c r="BV24" s="243"/>
      <c r="BW24" s="203"/>
      <c r="BX24" s="244"/>
      <c r="BY24" s="137"/>
    </row>
    <row r="25" spans="2:77" x14ac:dyDescent="0.3">
      <c r="H25" s="204" t="s">
        <v>241</v>
      </c>
      <c r="I25" s="204"/>
      <c r="J25" s="204"/>
      <c r="K25" s="16"/>
      <c r="L25" s="66"/>
      <c r="M25" s="66"/>
      <c r="N25" s="16"/>
      <c r="O25" s="45" t="s">
        <v>29</v>
      </c>
      <c r="P25" s="129"/>
      <c r="Q25" s="19"/>
      <c r="R25" s="81">
        <f>IF(F4="","",(F4/(0.2785*C10*(I4^2.63)))^1.852)</f>
        <v>4.8694588443655576E-3</v>
      </c>
      <c r="S25" s="19"/>
      <c r="T25" s="81">
        <f>IF(F4="","",(F4/(0.2785*C10*(I11^2.63)))^1.852)</f>
        <v>1.9770939190215279E-2</v>
      </c>
      <c r="BV25" s="243" t="s">
        <v>108</v>
      </c>
      <c r="BW25" s="203"/>
      <c r="BX25" s="244">
        <f>(AC3*SQRT(AH4))/(AF4^(3/4))</f>
        <v>14.538336251208221</v>
      </c>
      <c r="BY25" s="251" t="str">
        <f>IF(BX25&gt;BX23,"No hay cavitacion por exceso en las revoluciones del rotor","Si hay cavitacion por exceso en las revoluciones del rotor")</f>
        <v>Si hay cavitacion por exceso en las revoluciones del rotor</v>
      </c>
    </row>
    <row r="26" spans="2:77" ht="15.75" customHeight="1" thickBot="1" x14ac:dyDescent="0.35">
      <c r="H26" s="88" t="s">
        <v>237</v>
      </c>
      <c r="I26" s="229">
        <v>0.45</v>
      </c>
      <c r="J26" s="229"/>
      <c r="K26" s="66"/>
      <c r="L26" s="66"/>
      <c r="M26" s="66"/>
      <c r="N26" s="66"/>
      <c r="O26" s="45" t="s">
        <v>64</v>
      </c>
      <c r="P26" s="129"/>
      <c r="Q26" s="19"/>
      <c r="R26" s="81">
        <f>IF(R24="","",R25*R24)</f>
        <v>3.4983336757348431E-2</v>
      </c>
      <c r="S26" s="19"/>
      <c r="T26" s="81">
        <f>IF(T24="","",T25*T24)</f>
        <v>0.19835219362747236</v>
      </c>
      <c r="BV26" s="245"/>
      <c r="BW26" s="246"/>
      <c r="BX26" s="253"/>
      <c r="BY26" s="254"/>
    </row>
    <row r="27" spans="2:77" x14ac:dyDescent="0.3">
      <c r="H27" s="204" t="s">
        <v>274</v>
      </c>
      <c r="I27" s="204"/>
      <c r="J27" s="204"/>
      <c r="L27" s="66"/>
      <c r="M27" s="66"/>
      <c r="BV27" s="230"/>
      <c r="BW27" s="230"/>
      <c r="BX27" s="230"/>
      <c r="BY27" s="230"/>
    </row>
    <row r="28" spans="2:77" x14ac:dyDescent="0.3">
      <c r="H28" s="88" t="s">
        <v>237</v>
      </c>
      <c r="I28" s="229">
        <v>1</v>
      </c>
      <c r="J28" s="229"/>
      <c r="K28" s="16"/>
      <c r="N28" s="16"/>
      <c r="BV28" s="230"/>
      <c r="BW28" s="230"/>
      <c r="BX28" s="9"/>
      <c r="BY28" s="9"/>
    </row>
    <row r="29" spans="2:77" ht="15" customHeight="1" x14ac:dyDescent="0.3">
      <c r="H29" s="204" t="s">
        <v>273</v>
      </c>
      <c r="I29" s="204"/>
      <c r="J29" s="204"/>
      <c r="K29" s="66"/>
      <c r="L29" s="66"/>
      <c r="M29" s="66"/>
      <c r="N29" s="66"/>
      <c r="BV29" s="230"/>
      <c r="BW29" s="230"/>
      <c r="BX29" s="26"/>
      <c r="BY29" s="9"/>
    </row>
    <row r="30" spans="2:77" ht="15" customHeight="1" x14ac:dyDescent="0.3">
      <c r="H30" s="88" t="s">
        <v>237</v>
      </c>
      <c r="I30" s="229">
        <v>3</v>
      </c>
      <c r="J30" s="229"/>
      <c r="K30" s="16"/>
      <c r="L30" s="66"/>
      <c r="M30" s="66"/>
      <c r="N30" s="16"/>
      <c r="BV30" s="230"/>
      <c r="BW30" s="230"/>
      <c r="BX30" s="26"/>
      <c r="BY30" s="9"/>
    </row>
    <row r="31" spans="2:77" ht="15" customHeight="1" x14ac:dyDescent="0.3">
      <c r="K31" s="66"/>
      <c r="L31" s="16"/>
      <c r="M31" s="66"/>
      <c r="N31" s="66"/>
      <c r="BV31" s="230"/>
      <c r="BW31" s="230"/>
      <c r="BX31" s="26"/>
      <c r="BY31" s="9"/>
    </row>
    <row r="32" spans="2:77" x14ac:dyDescent="0.3">
      <c r="L32" s="66"/>
      <c r="M32" s="66"/>
      <c r="BV32" s="230"/>
      <c r="BW32" s="230"/>
      <c r="BX32" s="26"/>
      <c r="BY32" s="9"/>
    </row>
    <row r="33" spans="74:77" ht="15" customHeight="1" x14ac:dyDescent="0.3">
      <c r="BV33" s="230"/>
      <c r="BW33" s="230"/>
      <c r="BX33" s="26"/>
      <c r="BY33" s="9"/>
    </row>
    <row r="34" spans="74:77" x14ac:dyDescent="0.3">
      <c r="BV34" s="230"/>
      <c r="BW34" s="230"/>
      <c r="BX34" s="26"/>
      <c r="BY34" s="9"/>
    </row>
    <row r="35" spans="74:77" x14ac:dyDescent="0.3">
      <c r="BV35" s="230"/>
      <c r="BW35" s="230"/>
      <c r="BX35" s="26"/>
      <c r="BY35" s="9"/>
    </row>
    <row r="38" spans="74:77" ht="15" customHeight="1" x14ac:dyDescent="0.3"/>
    <row r="44" spans="74:77" ht="15" customHeight="1" x14ac:dyDescent="0.3"/>
    <row r="58" ht="15" customHeight="1" x14ac:dyDescent="0.3"/>
    <row r="69" spans="123:125" x14ac:dyDescent="0.3">
      <c r="DS69" s="247" t="s">
        <v>92</v>
      </c>
      <c r="DT69" s="247" t="s">
        <v>93</v>
      </c>
    </row>
    <row r="70" spans="123:125" x14ac:dyDescent="0.3">
      <c r="DS70" s="247"/>
      <c r="DT70" s="247"/>
    </row>
    <row r="71" spans="123:125" x14ac:dyDescent="0.3">
      <c r="DS71" s="247"/>
      <c r="DT71" s="247"/>
    </row>
    <row r="72" spans="123:125" x14ac:dyDescent="0.3">
      <c r="DS72" s="10">
        <v>0</v>
      </c>
      <c r="DT72" s="30">
        <v>0.61</v>
      </c>
      <c r="DU72" s="25">
        <f>DT72*0.10204081632653</f>
        <v>6.2244897959183303E-2</v>
      </c>
    </row>
    <row r="73" spans="123:125" ht="15" customHeight="1" x14ac:dyDescent="0.3">
      <c r="DS73" s="88">
        <v>1</v>
      </c>
      <c r="DT73" s="81">
        <f>(((DT$77-DT$72)*DS73)/5)+DT$72</f>
        <v>0.66200000000000003</v>
      </c>
      <c r="DU73" s="25">
        <f t="shared" ref="DU73:DU122" si="15">DT73*0.10204081632653</f>
        <v>6.7551020408162868E-2</v>
      </c>
    </row>
    <row r="74" spans="123:125" x14ac:dyDescent="0.3">
      <c r="DS74" s="88">
        <v>2</v>
      </c>
      <c r="DT74" s="81">
        <f>(((DT$77-DT$72)*DS74)/5)+DT$72</f>
        <v>0.71399999999999997</v>
      </c>
      <c r="DU74" s="25">
        <f t="shared" si="15"/>
        <v>7.2857142857142426E-2</v>
      </c>
    </row>
    <row r="75" spans="123:125" x14ac:dyDescent="0.3">
      <c r="DS75" s="88">
        <v>3</v>
      </c>
      <c r="DT75" s="81">
        <f>(((DT$77-DT$72)*DS75)/5)+DT$72</f>
        <v>0.76600000000000001</v>
      </c>
      <c r="DU75" s="25">
        <f t="shared" si="15"/>
        <v>7.8163265306121985E-2</v>
      </c>
    </row>
    <row r="76" spans="123:125" x14ac:dyDescent="0.3">
      <c r="DS76" s="88">
        <v>4</v>
      </c>
      <c r="DT76" s="81">
        <f>(((DT$77-DT$72)*DS76)/5)+DT$72</f>
        <v>0.81800000000000006</v>
      </c>
      <c r="DU76" s="25">
        <f t="shared" si="15"/>
        <v>8.3469387755101543E-2</v>
      </c>
    </row>
    <row r="77" spans="123:125" x14ac:dyDescent="0.3">
      <c r="DS77" s="10">
        <v>5</v>
      </c>
      <c r="DT77" s="30">
        <v>0.87</v>
      </c>
      <c r="DU77" s="25">
        <f t="shared" si="15"/>
        <v>8.8775510204081101E-2</v>
      </c>
    </row>
    <row r="78" spans="123:125" x14ac:dyDescent="0.3">
      <c r="DS78" s="88">
        <v>6</v>
      </c>
      <c r="DT78" s="81">
        <f>(((DT$82-DT$77)*(DS78-DS$77)/5)+DT$77)</f>
        <v>0.94199999999999995</v>
      </c>
      <c r="DU78" s="25">
        <f t="shared" si="15"/>
        <v>9.6122448979591255E-2</v>
      </c>
    </row>
    <row r="79" spans="123:125" x14ac:dyDescent="0.3">
      <c r="DS79" s="88">
        <v>7</v>
      </c>
      <c r="DT79" s="81">
        <f>(((DT$82-DT$77)*(DS79-DS$77)/5)+DT$77)</f>
        <v>1.014</v>
      </c>
      <c r="DU79" s="25">
        <f t="shared" si="15"/>
        <v>0.10346938775510142</v>
      </c>
    </row>
    <row r="80" spans="123:125" x14ac:dyDescent="0.3">
      <c r="DS80" s="88">
        <v>8</v>
      </c>
      <c r="DT80" s="81">
        <f>(((DT$82-DT$77)*(DS80-DS$77)/5)+DT$77)</f>
        <v>1.0860000000000001</v>
      </c>
      <c r="DU80" s="25">
        <f t="shared" si="15"/>
        <v>0.11081632653061159</v>
      </c>
    </row>
    <row r="81" spans="123:125" x14ac:dyDescent="0.3">
      <c r="DS81" s="88">
        <v>9</v>
      </c>
      <c r="DT81" s="81">
        <f>(((DT$82-DT$77)*(DS81-DS$77)/5)+DT$77)</f>
        <v>1.1579999999999999</v>
      </c>
      <c r="DU81" s="25">
        <f t="shared" si="15"/>
        <v>0.11816326530612174</v>
      </c>
    </row>
    <row r="82" spans="123:125" x14ac:dyDescent="0.3">
      <c r="DS82" s="10">
        <v>10</v>
      </c>
      <c r="DT82" s="30">
        <v>1.23</v>
      </c>
      <c r="DU82" s="25">
        <f t="shared" si="15"/>
        <v>0.12551020408163191</v>
      </c>
    </row>
    <row r="83" spans="123:125" x14ac:dyDescent="0.3">
      <c r="DS83" s="88">
        <v>11</v>
      </c>
      <c r="DT83" s="81">
        <f>(((DT$87-DT$82)*(DS83-DS$82)/5)+DT$82)</f>
        <v>1.3240000000000001</v>
      </c>
      <c r="DU83" s="25">
        <f t="shared" si="15"/>
        <v>0.13510204081632574</v>
      </c>
    </row>
    <row r="84" spans="123:125" x14ac:dyDescent="0.3">
      <c r="DS84" s="88">
        <v>12</v>
      </c>
      <c r="DT84" s="81">
        <f>(((DT$87-DT$82)*(DS84-DS$82)/5)+DT$82)</f>
        <v>1.4179999999999999</v>
      </c>
      <c r="DU84" s="25">
        <f t="shared" si="15"/>
        <v>0.14469387755101953</v>
      </c>
    </row>
    <row r="85" spans="123:125" x14ac:dyDescent="0.3">
      <c r="DS85" s="88">
        <v>13</v>
      </c>
      <c r="DT85" s="81">
        <f>(((DT$87-DT$82)*(DS85-DS$82)/5)+DT$82)</f>
        <v>1.512</v>
      </c>
      <c r="DU85" s="25">
        <f t="shared" si="15"/>
        <v>0.15428571428571336</v>
      </c>
    </row>
    <row r="86" spans="123:125" x14ac:dyDescent="0.3">
      <c r="DS86" s="88">
        <v>14</v>
      </c>
      <c r="DT86" s="81">
        <f>(((DT$87-DT$82)*(DS86-DS$82)/5)+DT$82)</f>
        <v>1.6059999999999999</v>
      </c>
      <c r="DU86" s="25">
        <f t="shared" si="15"/>
        <v>0.16387755102040719</v>
      </c>
    </row>
    <row r="87" spans="123:125" x14ac:dyDescent="0.3">
      <c r="DS87" s="10">
        <v>15</v>
      </c>
      <c r="DT87" s="30">
        <v>1.7</v>
      </c>
      <c r="DU87" s="25">
        <f t="shared" si="15"/>
        <v>0.17346938775510101</v>
      </c>
    </row>
    <row r="88" spans="123:125" x14ac:dyDescent="0.3">
      <c r="DS88" s="88">
        <v>16</v>
      </c>
      <c r="DT88" s="81">
        <f>((($DT$92-$DT$87)*(DS88-$DS$87)/5)+$DT$87)</f>
        <v>1.8279999999999998</v>
      </c>
      <c r="DU88" s="25">
        <f t="shared" si="15"/>
        <v>0.18653061224489684</v>
      </c>
    </row>
    <row r="89" spans="123:125" x14ac:dyDescent="0.3">
      <c r="DS89" s="88">
        <v>17</v>
      </c>
      <c r="DT89" s="81">
        <f>((($DT$92-$DT$87)*(DS89-$DS$87)/5)+$DT$87)</f>
        <v>1.956</v>
      </c>
      <c r="DU89" s="25">
        <f t="shared" si="15"/>
        <v>0.19959183673469269</v>
      </c>
    </row>
    <row r="90" spans="123:125" x14ac:dyDescent="0.3">
      <c r="DS90" s="88">
        <v>18</v>
      </c>
      <c r="DT90" s="81">
        <f>((($DT$92-$DT$87)*(DS90-$DS$87)/5)+$DT$87)</f>
        <v>2.0840000000000001</v>
      </c>
      <c r="DU90" s="25">
        <f t="shared" si="15"/>
        <v>0.21265306122448854</v>
      </c>
    </row>
    <row r="91" spans="123:125" x14ac:dyDescent="0.3">
      <c r="DS91" s="88">
        <v>19</v>
      </c>
      <c r="DT91" s="81">
        <f>((($DT$92-$DT$87)*(DS91-$DS$87)/5)+$DT$87)</f>
        <v>2.2119999999999997</v>
      </c>
      <c r="DU91" s="25">
        <f t="shared" si="15"/>
        <v>0.22571428571428434</v>
      </c>
    </row>
    <row r="92" spans="123:125" x14ac:dyDescent="0.3">
      <c r="DS92" s="10">
        <v>20</v>
      </c>
      <c r="DT92" s="30">
        <v>2.34</v>
      </c>
      <c r="DU92" s="25">
        <f t="shared" si="15"/>
        <v>0.23877551020408019</v>
      </c>
    </row>
    <row r="93" spans="123:125" x14ac:dyDescent="0.3">
      <c r="DS93" s="88">
        <v>21</v>
      </c>
      <c r="DT93" s="81">
        <f>((($DT$97-$DT$92)*(DS93-$DS$92)/5)+$DT$92)</f>
        <v>2.5059999999999998</v>
      </c>
      <c r="DU93" s="25">
        <f t="shared" si="15"/>
        <v>0.25571428571428417</v>
      </c>
    </row>
    <row r="94" spans="123:125" x14ac:dyDescent="0.3">
      <c r="DS94" s="88">
        <v>22</v>
      </c>
      <c r="DT94" s="81">
        <f>((($DT$97-$DT$92)*(DS94-$DS$92)/5)+$DT$92)</f>
        <v>2.6719999999999997</v>
      </c>
      <c r="DU94" s="25">
        <f t="shared" si="15"/>
        <v>0.27265306122448812</v>
      </c>
    </row>
    <row r="95" spans="123:125" x14ac:dyDescent="0.3">
      <c r="DS95" s="88">
        <v>23</v>
      </c>
      <c r="DT95" s="81">
        <f>((($DT$97-$DT$92)*(DS95-$DS$92)/5)+$DT$92)</f>
        <v>2.8380000000000001</v>
      </c>
      <c r="DU95" s="25">
        <f t="shared" si="15"/>
        <v>0.28959183673469213</v>
      </c>
    </row>
    <row r="96" spans="123:125" x14ac:dyDescent="0.3">
      <c r="DS96" s="88">
        <v>24</v>
      </c>
      <c r="DT96" s="81">
        <f>((($DT$97-$DT$92)*(DS96-$DS$92)/5)+$DT$92)</f>
        <v>3.004</v>
      </c>
      <c r="DU96" s="25">
        <f t="shared" si="15"/>
        <v>0.30653061224489614</v>
      </c>
    </row>
    <row r="97" spans="123:125" x14ac:dyDescent="0.3">
      <c r="DS97" s="10">
        <v>25</v>
      </c>
      <c r="DT97" s="30">
        <v>3.17</v>
      </c>
      <c r="DU97" s="25">
        <f t="shared" si="15"/>
        <v>0.32346938775510009</v>
      </c>
    </row>
    <row r="98" spans="123:125" x14ac:dyDescent="0.3">
      <c r="DS98" s="88">
        <v>26</v>
      </c>
      <c r="DT98" s="81">
        <f>((($DT$102-$DT$97)*(DS98-$DS$97)/5)+$DT$97)</f>
        <v>3.3839999999999999</v>
      </c>
      <c r="DU98" s="25">
        <f t="shared" si="15"/>
        <v>0.34530612244897751</v>
      </c>
    </row>
    <row r="99" spans="123:125" x14ac:dyDescent="0.3">
      <c r="DS99" s="88">
        <v>27</v>
      </c>
      <c r="DT99" s="81">
        <f>((($DT$102-$DT$97)*(DS99-$DS$97)/5)+$DT$97)</f>
        <v>3.5979999999999999</v>
      </c>
      <c r="DU99" s="25">
        <f t="shared" si="15"/>
        <v>0.36714285714285494</v>
      </c>
    </row>
    <row r="100" spans="123:125" x14ac:dyDescent="0.3">
      <c r="DS100" s="88">
        <v>28</v>
      </c>
      <c r="DT100" s="81">
        <f>((($DT$102-$DT$97)*(DS100-$DS$97)/5)+$DT$97)</f>
        <v>3.8120000000000003</v>
      </c>
      <c r="DU100" s="25">
        <f t="shared" si="15"/>
        <v>0.38897959183673242</v>
      </c>
    </row>
    <row r="101" spans="123:125" x14ac:dyDescent="0.3">
      <c r="DS101" s="88">
        <v>29</v>
      </c>
      <c r="DT101" s="81">
        <f>((($DT$102-$DT$97)*(DS101-$DS$97)/5)+$DT$97)</f>
        <v>4.0259999999999998</v>
      </c>
      <c r="DU101" s="25">
        <f t="shared" si="15"/>
        <v>0.41081632653060979</v>
      </c>
    </row>
    <row r="102" spans="123:125" x14ac:dyDescent="0.3">
      <c r="DS102" s="10">
        <v>30</v>
      </c>
      <c r="DT102" s="30">
        <v>4.24</v>
      </c>
      <c r="DU102" s="25">
        <f t="shared" si="15"/>
        <v>0.43265306122448721</v>
      </c>
    </row>
    <row r="103" spans="123:125" x14ac:dyDescent="0.3">
      <c r="DS103" s="88">
        <v>31</v>
      </c>
      <c r="DT103" s="81">
        <f t="shared" ref="DT103:DT111" si="16">((($DT$112-$DT$102)*(DS103-$DS$102)/10)+$DT$102)</f>
        <v>4.5540000000000003</v>
      </c>
      <c r="DU103" s="25">
        <f t="shared" si="15"/>
        <v>0.46469387755101765</v>
      </c>
    </row>
    <row r="104" spans="123:125" x14ac:dyDescent="0.3">
      <c r="DS104" s="88">
        <v>32</v>
      </c>
      <c r="DT104" s="81">
        <f t="shared" si="16"/>
        <v>4.8680000000000003</v>
      </c>
      <c r="DU104" s="25">
        <f t="shared" si="15"/>
        <v>0.49673469387754809</v>
      </c>
    </row>
    <row r="105" spans="123:125" x14ac:dyDescent="0.3">
      <c r="DS105" s="88">
        <v>33</v>
      </c>
      <c r="DT105" s="81">
        <f t="shared" si="16"/>
        <v>5.1820000000000004</v>
      </c>
      <c r="DU105" s="25">
        <f t="shared" si="15"/>
        <v>0.52877551020407854</v>
      </c>
    </row>
    <row r="106" spans="123:125" x14ac:dyDescent="0.3">
      <c r="DS106" s="88">
        <v>34</v>
      </c>
      <c r="DT106" s="81">
        <f t="shared" si="16"/>
        <v>5.4960000000000004</v>
      </c>
      <c r="DU106" s="25">
        <f t="shared" si="15"/>
        <v>0.56081632653060898</v>
      </c>
    </row>
    <row r="107" spans="123:125" x14ac:dyDescent="0.3">
      <c r="DS107" s="88">
        <v>35</v>
      </c>
      <c r="DT107" s="81">
        <f t="shared" si="16"/>
        <v>5.8100000000000005</v>
      </c>
      <c r="DU107" s="25">
        <f t="shared" si="15"/>
        <v>0.59285714285713942</v>
      </c>
    </row>
    <row r="108" spans="123:125" x14ac:dyDescent="0.3">
      <c r="DS108" s="88">
        <v>36</v>
      </c>
      <c r="DT108" s="81">
        <f t="shared" si="16"/>
        <v>6.1239999999999997</v>
      </c>
      <c r="DU108" s="25">
        <f t="shared" si="15"/>
        <v>0.62489795918366975</v>
      </c>
    </row>
    <row r="109" spans="123:125" x14ac:dyDescent="0.3">
      <c r="DS109" s="88">
        <v>37</v>
      </c>
      <c r="DT109" s="81">
        <f t="shared" si="16"/>
        <v>6.4379999999999997</v>
      </c>
      <c r="DU109" s="25">
        <f t="shared" si="15"/>
        <v>0.65693877551020019</v>
      </c>
    </row>
    <row r="110" spans="123:125" x14ac:dyDescent="0.3">
      <c r="DS110" s="88">
        <v>38</v>
      </c>
      <c r="DT110" s="81">
        <f t="shared" si="16"/>
        <v>6.7519999999999998</v>
      </c>
      <c r="DU110" s="25">
        <f t="shared" si="15"/>
        <v>0.68897959183673052</v>
      </c>
    </row>
    <row r="111" spans="123:125" x14ac:dyDescent="0.3">
      <c r="DS111" s="88">
        <v>39</v>
      </c>
      <c r="DT111" s="81">
        <f t="shared" si="16"/>
        <v>7.0659999999999998</v>
      </c>
      <c r="DU111" s="25">
        <f t="shared" si="15"/>
        <v>0.72102040816326096</v>
      </c>
    </row>
    <row r="112" spans="123:125" x14ac:dyDescent="0.3">
      <c r="DS112" s="10">
        <v>40</v>
      </c>
      <c r="DT112" s="30">
        <v>7.38</v>
      </c>
      <c r="DU112" s="25">
        <f t="shared" si="15"/>
        <v>0.7530612244897914</v>
      </c>
    </row>
    <row r="113" spans="123:125" x14ac:dyDescent="0.3">
      <c r="DS113" s="88">
        <v>41</v>
      </c>
      <c r="DT113" s="81">
        <f t="shared" ref="DT113:DT121" si="17">((($DT$122-$DT$112)*(DS113-$DS$112)/10)+$DT$112)</f>
        <v>7.875</v>
      </c>
      <c r="DU113" s="25">
        <f t="shared" si="15"/>
        <v>0.80357142857142383</v>
      </c>
    </row>
    <row r="114" spans="123:125" x14ac:dyDescent="0.3">
      <c r="DS114" s="88">
        <v>42</v>
      </c>
      <c r="DT114" s="81">
        <f t="shared" si="17"/>
        <v>8.3699999999999992</v>
      </c>
      <c r="DU114" s="25">
        <f t="shared" si="15"/>
        <v>0.85408163265305603</v>
      </c>
    </row>
    <row r="115" spans="123:125" x14ac:dyDescent="0.3">
      <c r="DS115" s="88">
        <v>43</v>
      </c>
      <c r="DT115" s="81">
        <f t="shared" si="17"/>
        <v>8.8650000000000002</v>
      </c>
      <c r="DU115" s="25">
        <f t="shared" si="15"/>
        <v>0.90459183673468846</v>
      </c>
    </row>
    <row r="116" spans="123:125" x14ac:dyDescent="0.3">
      <c r="DS116" s="88">
        <v>44</v>
      </c>
      <c r="DT116" s="81">
        <f t="shared" si="17"/>
        <v>9.36</v>
      </c>
      <c r="DU116" s="25">
        <f t="shared" si="15"/>
        <v>0.95510204081632077</v>
      </c>
    </row>
    <row r="117" spans="123:125" x14ac:dyDescent="0.3">
      <c r="DS117" s="88">
        <v>45</v>
      </c>
      <c r="DT117" s="81">
        <f t="shared" si="17"/>
        <v>9.8550000000000004</v>
      </c>
      <c r="DU117" s="25">
        <f t="shared" si="15"/>
        <v>1.0056122448979532</v>
      </c>
    </row>
    <row r="118" spans="123:125" x14ac:dyDescent="0.3">
      <c r="DS118" s="88">
        <v>46</v>
      </c>
      <c r="DT118" s="81">
        <f t="shared" si="17"/>
        <v>10.35</v>
      </c>
      <c r="DU118" s="25">
        <f t="shared" si="15"/>
        <v>1.0561224489795855</v>
      </c>
    </row>
    <row r="119" spans="123:125" x14ac:dyDescent="0.3">
      <c r="DS119" s="88">
        <v>47</v>
      </c>
      <c r="DT119" s="81">
        <f t="shared" si="17"/>
        <v>10.844999999999999</v>
      </c>
      <c r="DU119" s="25">
        <f t="shared" si="15"/>
        <v>1.1066326530612178</v>
      </c>
    </row>
    <row r="120" spans="123:125" x14ac:dyDescent="0.3">
      <c r="DS120" s="88">
        <v>48</v>
      </c>
      <c r="DT120" s="81">
        <f t="shared" si="17"/>
        <v>11.34</v>
      </c>
      <c r="DU120" s="25">
        <f t="shared" si="15"/>
        <v>1.1571428571428501</v>
      </c>
    </row>
    <row r="121" spans="123:125" x14ac:dyDescent="0.3">
      <c r="DS121" s="88">
        <v>49</v>
      </c>
      <c r="DT121" s="81">
        <f t="shared" si="17"/>
        <v>11.835000000000001</v>
      </c>
      <c r="DU121" s="25">
        <f t="shared" si="15"/>
        <v>1.2076530612244827</v>
      </c>
    </row>
    <row r="122" spans="123:125" x14ac:dyDescent="0.3">
      <c r="DS122" s="10">
        <v>50</v>
      </c>
      <c r="DT122" s="30">
        <v>12.33</v>
      </c>
      <c r="DU122" s="25">
        <f t="shared" si="15"/>
        <v>1.258163265306115</v>
      </c>
    </row>
    <row r="161" spans="3:3" x14ac:dyDescent="0.3">
      <c r="C161" s="111">
        <v>0.25</v>
      </c>
    </row>
    <row r="162" spans="3:3" x14ac:dyDescent="0.3">
      <c r="C162" s="111">
        <v>0.5</v>
      </c>
    </row>
    <row r="163" spans="3:3" x14ac:dyDescent="0.3">
      <c r="C163" s="111">
        <v>0.75</v>
      </c>
    </row>
    <row r="164" spans="3:3" x14ac:dyDescent="0.3">
      <c r="C164" s="87">
        <v>1</v>
      </c>
    </row>
    <row r="165" spans="3:3" x14ac:dyDescent="0.3">
      <c r="C165" s="111">
        <v>1.5</v>
      </c>
    </row>
    <row r="166" spans="3:3" x14ac:dyDescent="0.3">
      <c r="C166" s="87">
        <v>2</v>
      </c>
    </row>
    <row r="167" spans="3:3" x14ac:dyDescent="0.3">
      <c r="C167" s="87">
        <v>3</v>
      </c>
    </row>
    <row r="168" spans="3:3" x14ac:dyDescent="0.3">
      <c r="C168" s="87">
        <v>4</v>
      </c>
    </row>
    <row r="169" spans="3:3" x14ac:dyDescent="0.3">
      <c r="C169" s="87">
        <v>5</v>
      </c>
    </row>
    <row r="170" spans="3:3" x14ac:dyDescent="0.3">
      <c r="C170" s="87">
        <v>6</v>
      </c>
    </row>
    <row r="171" spans="3:3" x14ac:dyDescent="0.3">
      <c r="C171" s="87">
        <v>7</v>
      </c>
    </row>
    <row r="172" spans="3:3" x14ac:dyDescent="0.3">
      <c r="C172" s="87">
        <v>8</v>
      </c>
    </row>
    <row r="173" spans="3:3" x14ac:dyDescent="0.3">
      <c r="C173" s="87">
        <v>9</v>
      </c>
    </row>
    <row r="174" spans="3:3" x14ac:dyDescent="0.3">
      <c r="C174" s="87">
        <v>10</v>
      </c>
    </row>
    <row r="175" spans="3:3" x14ac:dyDescent="0.3">
      <c r="C175" s="87">
        <v>11</v>
      </c>
    </row>
    <row r="176" spans="3:3" x14ac:dyDescent="0.3">
      <c r="C176" s="87">
        <v>12</v>
      </c>
    </row>
    <row r="177" spans="3:3" x14ac:dyDescent="0.3">
      <c r="C177" s="87">
        <v>13</v>
      </c>
    </row>
    <row r="178" spans="3:3" x14ac:dyDescent="0.3">
      <c r="C178" s="87">
        <v>14</v>
      </c>
    </row>
    <row r="179" spans="3:3" x14ac:dyDescent="0.3">
      <c r="C179" s="87">
        <v>15</v>
      </c>
    </row>
    <row r="180" spans="3:3" x14ac:dyDescent="0.3">
      <c r="C180" s="87">
        <v>16</v>
      </c>
    </row>
    <row r="181" spans="3:3" x14ac:dyDescent="0.3">
      <c r="C181" s="87">
        <v>17</v>
      </c>
    </row>
    <row r="182" spans="3:3" x14ac:dyDescent="0.3">
      <c r="C182" s="87">
        <v>18</v>
      </c>
    </row>
    <row r="183" spans="3:3" x14ac:dyDescent="0.3">
      <c r="C183" s="87">
        <v>19</v>
      </c>
    </row>
    <row r="184" spans="3:3" x14ac:dyDescent="0.3">
      <c r="C184" s="87">
        <v>20</v>
      </c>
    </row>
    <row r="185" spans="3:3" x14ac:dyDescent="0.3">
      <c r="C185" s="87">
        <v>21</v>
      </c>
    </row>
    <row r="186" spans="3:3" x14ac:dyDescent="0.3">
      <c r="C186" s="87">
        <v>22</v>
      </c>
    </row>
    <row r="187" spans="3:3" x14ac:dyDescent="0.3">
      <c r="C187" s="87">
        <v>23</v>
      </c>
    </row>
    <row r="188" spans="3:3" x14ac:dyDescent="0.3">
      <c r="C188" s="87">
        <v>24</v>
      </c>
    </row>
    <row r="229" spans="49:49" x14ac:dyDescent="0.3">
      <c r="AW229" s="87">
        <v>5</v>
      </c>
    </row>
    <row r="230" spans="49:49" x14ac:dyDescent="0.3">
      <c r="AW230" s="87">
        <v>6</v>
      </c>
    </row>
    <row r="231" spans="49:49" x14ac:dyDescent="0.3">
      <c r="AW231" s="87">
        <v>7</v>
      </c>
    </row>
    <row r="232" spans="49:49" x14ac:dyDescent="0.3">
      <c r="AW232" s="87">
        <v>8</v>
      </c>
    </row>
    <row r="233" spans="49:49" x14ac:dyDescent="0.3">
      <c r="AW233" s="87">
        <v>9</v>
      </c>
    </row>
    <row r="234" spans="49:49" x14ac:dyDescent="0.3">
      <c r="AW234" s="87">
        <v>10</v>
      </c>
    </row>
  </sheetData>
  <mergeCells count="88">
    <mergeCell ref="BM2:BM3"/>
    <mergeCell ref="L12:M12"/>
    <mergeCell ref="P2:P3"/>
    <mergeCell ref="L13:M13"/>
    <mergeCell ref="L14:M15"/>
    <mergeCell ref="Y2:Z2"/>
    <mergeCell ref="AA2:AB2"/>
    <mergeCell ref="AC3:AC4"/>
    <mergeCell ref="AD2:AF2"/>
    <mergeCell ref="I26:J26"/>
    <mergeCell ref="I15:J16"/>
    <mergeCell ref="I17:J17"/>
    <mergeCell ref="I24:J24"/>
    <mergeCell ref="I23:J23"/>
    <mergeCell ref="I22:J22"/>
    <mergeCell ref="I21:J21"/>
    <mergeCell ref="I20:J20"/>
    <mergeCell ref="I19:J19"/>
    <mergeCell ref="I18:J18"/>
    <mergeCell ref="H14:J14"/>
    <mergeCell ref="H25:J25"/>
    <mergeCell ref="H15:H16"/>
    <mergeCell ref="L16:M16"/>
    <mergeCell ref="L18:M18"/>
    <mergeCell ref="B2:C2"/>
    <mergeCell ref="E2:F2"/>
    <mergeCell ref="BV3:BY3"/>
    <mergeCell ref="BV7:BY7"/>
    <mergeCell ref="BV5:BW6"/>
    <mergeCell ref="BX5:BX6"/>
    <mergeCell ref="AY2:AY3"/>
    <mergeCell ref="AI2:AL2"/>
    <mergeCell ref="BC2:BD2"/>
    <mergeCell ref="BH2:BI2"/>
    <mergeCell ref="AZ2:AZ3"/>
    <mergeCell ref="BB2:BB3"/>
    <mergeCell ref="BE2:BF2"/>
    <mergeCell ref="BG2:BG3"/>
    <mergeCell ref="W2:W3"/>
    <mergeCell ref="AG2:AH2"/>
    <mergeCell ref="DT69:DT71"/>
    <mergeCell ref="DS69:DS71"/>
    <mergeCell ref="BV4:BW4"/>
    <mergeCell ref="BV8:BW8"/>
    <mergeCell ref="BV9:BW9"/>
    <mergeCell ref="BV10:BW10"/>
    <mergeCell ref="BV11:BW11"/>
    <mergeCell ref="BV12:BW12"/>
    <mergeCell ref="BV17:BW17"/>
    <mergeCell ref="BV19:BW19"/>
    <mergeCell ref="BY19:BY21"/>
    <mergeCell ref="BV20:BW20"/>
    <mergeCell ref="BV21:BW21"/>
    <mergeCell ref="BX25:BX26"/>
    <mergeCell ref="BY25:BY26"/>
    <mergeCell ref="BV35:BW35"/>
    <mergeCell ref="BV33:BW33"/>
    <mergeCell ref="BV34:BW34"/>
    <mergeCell ref="BV13:BW13"/>
    <mergeCell ref="BV16:BW16"/>
    <mergeCell ref="BV15:BW15"/>
    <mergeCell ref="BV14:BY14"/>
    <mergeCell ref="BV18:BY18"/>
    <mergeCell ref="BV22:BY22"/>
    <mergeCell ref="BV23:BW24"/>
    <mergeCell ref="BX23:BX24"/>
    <mergeCell ref="BV25:BW26"/>
    <mergeCell ref="BV27:BY27"/>
    <mergeCell ref="BV28:BW28"/>
    <mergeCell ref="BV29:BW29"/>
    <mergeCell ref="BV30:BW30"/>
    <mergeCell ref="BV31:BW31"/>
    <mergeCell ref="BV2:BY2"/>
    <mergeCell ref="BJ2:BL2"/>
    <mergeCell ref="H27:J27"/>
    <mergeCell ref="I28:J28"/>
    <mergeCell ref="BV32:BW32"/>
    <mergeCell ref="O2:O3"/>
    <mergeCell ref="H2:J2"/>
    <mergeCell ref="H7:J7"/>
    <mergeCell ref="Q2:R2"/>
    <mergeCell ref="S2:T2"/>
    <mergeCell ref="V2:V3"/>
    <mergeCell ref="X2:X3"/>
    <mergeCell ref="H29:J29"/>
    <mergeCell ref="I30:J30"/>
    <mergeCell ref="L2:M2"/>
    <mergeCell ref="L3:M3"/>
  </mergeCells>
  <dataValidations xWindow="385" yWindow="432" count="8">
    <dataValidation type="list" allowBlank="1" showInputMessage="1" showErrorMessage="1" prompt="Tener en cuenta los valores de abajo segun el nivel de complejidad, pero este puede variar dependiendo de la economia o de la cantidad de volumen que se necesite para el tanque de almacenamiento" sqref="C7" xr:uid="{00000000-0002-0000-0100-000000000000}">
      <formula1>$C$164:$C$188</formula1>
    </dataValidation>
    <dataValidation type="list" allowBlank="1" showInputMessage="1" showErrorMessage="1" promptTitle="Aviso" prompt="la cantidad minima de datos es de 5 y la maxima es de 10, para la obtencion de la curva que caracteriza al sistema." sqref="AZ2:AZ3" xr:uid="{00000000-0002-0000-0100-000001000000}">
      <formula1>$AW$229:$AW$234</formula1>
    </dataValidation>
    <dataValidation allowBlank="1" showInputMessage="1" showErrorMessage="1" promptTitle="Aviso" prompt="Se toma el valor de la grafica de NPSH con respecto al caudal de diseño del pozo. Esta grafica se encuentra en la ficha tecnica de la bomba que seleccione el diseñador." sqref="BX20" xr:uid="{00000000-0002-0000-0100-000002000000}"/>
    <dataValidation allowBlank="1" showInputMessage="1" showErrorMessage="1" prompt="Mirar tabla B.5.1 del RAS 2000 pag. B77. Este valor depende del nivel de complejidad." sqref="C3:C4" xr:uid="{00000000-0002-0000-0100-000003000000}"/>
    <dataValidation type="list" allowBlank="1" showInputMessage="1" showErrorMessage="1" sqref="C9" xr:uid="{00000000-0002-0000-0100-000004000000}">
      <formula1>$DS$72:$DS$122</formula1>
    </dataValidation>
    <dataValidation type="list" allowBlank="1" showInputMessage="1" showErrorMessage="1" prompt="Si se desea tener en cuenta el recomendado se cambia los valores por el valor recomendado, si no entonces se deja el que el diseñador selecciona a criterio propio" sqref="I10" xr:uid="{00000000-0002-0000-0100-000005000000}">
      <formula1>$C$161:$C$188</formula1>
    </dataValidation>
    <dataValidation type="list" allowBlank="1" showInputMessage="1" showErrorMessage="1" prompt="Se recomiendo que el diametro sea hasta dos veces mayor que el diametro de impulsion. En caso de que la bomba tenga un diametro menor al de la tuberia de succión se colocara una reduccion en la parte superior horizontal " sqref="I3" xr:uid="{00000000-0002-0000-0100-000006000000}">
      <formula1>$C$161:$C$188</formula1>
    </dataValidation>
    <dataValidation type="list" allowBlank="1" showInputMessage="1" showErrorMessage="1" sqref="Y4 AA4" xr:uid="{00000000-0002-0000-0100-000007000000}">
      <formula1>$C$161:$C$188</formula1>
    </dataValidation>
  </dataValidations>
  <pageMargins left="0.7" right="0.7" top="0.75" bottom="0.75" header="0.3" footer="0.3"/>
  <pageSetup orientation="portrait" r:id="rId1"/>
  <ignoredErrors>
    <ignoredError sqref="BX19"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DT234"/>
  <sheetViews>
    <sheetView topLeftCell="K1" zoomScale="90" zoomScaleNormal="90" workbookViewId="0">
      <selection activeCell="L23" sqref="L23"/>
    </sheetView>
  </sheetViews>
  <sheetFormatPr baseColWidth="10" defaultColWidth="11.5546875" defaultRowHeight="14.4" x14ac:dyDescent="0.3"/>
  <cols>
    <col min="1" max="1" width="5.6640625" style="125" customWidth="1"/>
    <col min="2" max="2" width="34.33203125" style="125" bestFit="1" customWidth="1"/>
    <col min="3" max="3" width="7.6640625" style="125" bestFit="1" customWidth="1"/>
    <col min="4" max="4" width="5.6640625" style="125" customWidth="1"/>
    <col min="5" max="5" width="37.44140625" style="125" bestFit="1" customWidth="1"/>
    <col min="6" max="6" width="8.33203125" style="125" bestFit="1" customWidth="1"/>
    <col min="7" max="7" width="5.6640625" style="125" customWidth="1"/>
    <col min="8" max="8" width="27.109375" style="125" bestFit="1" customWidth="1"/>
    <col min="9" max="9" width="7.109375" style="125" bestFit="1" customWidth="1"/>
    <col min="10" max="10" width="39.33203125" style="125" bestFit="1" customWidth="1"/>
    <col min="11" max="11" width="5.6640625" style="105" customWidth="1"/>
    <col min="12" max="12" width="51.44140625" style="105" bestFit="1" customWidth="1"/>
    <col min="13" max="13" width="13.33203125" style="105" bestFit="1" customWidth="1"/>
    <col min="14" max="14" width="5.6640625" style="105" customWidth="1"/>
    <col min="15" max="15" width="32.6640625" style="125" bestFit="1" customWidth="1"/>
    <col min="16" max="16" width="10.6640625" style="125" customWidth="1"/>
    <col min="17" max="17" width="8.6640625" style="125" bestFit="1" customWidth="1"/>
    <col min="18" max="18" width="8.33203125" style="125" bestFit="1" customWidth="1"/>
    <col min="19" max="19" width="8.6640625" style="125" bestFit="1" customWidth="1"/>
    <col min="20" max="20" width="8.88671875" style="125" bestFit="1" customWidth="1"/>
    <col min="21" max="21" width="5.6640625" style="125" customWidth="1"/>
    <col min="22" max="22" width="12.33203125" style="125" bestFit="1" customWidth="1"/>
    <col min="23" max="23" width="12.5546875" style="125" bestFit="1" customWidth="1"/>
    <col min="24" max="24" width="5.5546875" style="125" bestFit="1" customWidth="1"/>
    <col min="25" max="25" width="8.6640625" style="125" bestFit="1" customWidth="1"/>
    <col min="26" max="26" width="7.6640625" style="125" bestFit="1" customWidth="1"/>
    <col min="27" max="27" width="8.6640625" style="125" bestFit="1" customWidth="1"/>
    <col min="28" max="28" width="7.6640625" style="125" bestFit="1" customWidth="1"/>
    <col min="29" max="29" width="5.5546875" style="125" bestFit="1" customWidth="1"/>
    <col min="30" max="30" width="4.6640625" style="125" bestFit="1" customWidth="1"/>
    <col min="31" max="31" width="4.44140625" style="125" bestFit="1" customWidth="1"/>
    <col min="32" max="32" width="7.109375" style="125" bestFit="1" customWidth="1"/>
    <col min="33" max="33" width="4.88671875" style="125" bestFit="1" customWidth="1"/>
    <col min="34" max="34" width="7.109375" style="125" bestFit="1" customWidth="1"/>
    <col min="35" max="35" width="8.109375" style="125" bestFit="1" customWidth="1"/>
    <col min="36" max="36" width="6" style="125" bestFit="1" customWidth="1"/>
    <col min="37" max="37" width="8.88671875" style="125" bestFit="1" customWidth="1"/>
    <col min="38" max="38" width="8.33203125" style="125" bestFit="1" customWidth="1"/>
    <col min="39" max="39" width="4.6640625" style="125" customWidth="1"/>
    <col min="40" max="46" width="11.5546875" style="125"/>
    <col min="47" max="47" width="11.88671875" style="125" customWidth="1"/>
    <col min="48" max="48" width="11.44140625" style="125" customWidth="1"/>
    <col min="49" max="49" width="11" style="125" customWidth="1"/>
    <col min="50" max="50" width="4.88671875" style="125" customWidth="1"/>
    <col min="51" max="51" width="25.44140625" style="125" customWidth="1"/>
    <col min="52" max="52" width="6.6640625" style="125" bestFit="1" customWidth="1"/>
    <col min="53" max="53" width="5.6640625" style="125" customWidth="1"/>
    <col min="54" max="54" width="9.88671875" style="125" bestFit="1" customWidth="1"/>
    <col min="55" max="55" width="7.5546875" style="125" bestFit="1" customWidth="1"/>
    <col min="56" max="56" width="9.6640625" style="125" bestFit="1" customWidth="1"/>
    <col min="57" max="57" width="7.5546875" style="125" bestFit="1" customWidth="1"/>
    <col min="58" max="58" width="9.6640625" style="125" bestFit="1" customWidth="1"/>
    <col min="59" max="59" width="18.6640625" style="125" customWidth="1"/>
    <col min="60" max="61" width="8.88671875" style="125" bestFit="1" customWidth="1"/>
    <col min="62" max="62" width="8.33203125" style="125" bestFit="1" customWidth="1"/>
    <col min="63" max="63" width="9.5546875" style="125" bestFit="1" customWidth="1"/>
    <col min="64" max="64" width="8.33203125" style="125" bestFit="1" customWidth="1"/>
    <col min="65" max="65" width="17.44140625" style="125" customWidth="1"/>
    <col min="66" max="66" width="5.6640625" style="125" customWidth="1"/>
    <col min="67" max="67" width="8.33203125" style="125" bestFit="1" customWidth="1"/>
    <col min="68" max="69" width="7.109375" style="125" bestFit="1" customWidth="1"/>
    <col min="70" max="70" width="5.6640625" style="125" customWidth="1"/>
    <col min="71" max="71" width="28.88671875" style="125" bestFit="1" customWidth="1"/>
    <col min="72" max="72" width="8.33203125" style="125" bestFit="1" customWidth="1"/>
    <col min="73" max="73" width="5.6640625" style="125" customWidth="1"/>
    <col min="74" max="74" width="47.44140625" style="125" bestFit="1" customWidth="1"/>
    <col min="75" max="75" width="8.33203125" style="125" bestFit="1" customWidth="1"/>
    <col min="76" max="76" width="28.44140625" style="125" customWidth="1"/>
    <col min="77" max="16384" width="11.5546875" style="125"/>
  </cols>
  <sheetData>
    <row r="1" spans="2:76" x14ac:dyDescent="0.3">
      <c r="BH1" s="125" t="s">
        <v>282</v>
      </c>
      <c r="BI1" s="125" t="s">
        <v>282</v>
      </c>
    </row>
    <row r="2" spans="2:76" ht="15" customHeight="1" x14ac:dyDescent="0.3">
      <c r="B2" s="204" t="s">
        <v>19</v>
      </c>
      <c r="C2" s="204"/>
      <c r="D2" s="17"/>
      <c r="E2" s="203" t="s">
        <v>26</v>
      </c>
      <c r="F2" s="203"/>
      <c r="G2" s="99"/>
      <c r="H2" s="204" t="s">
        <v>28</v>
      </c>
      <c r="I2" s="204"/>
      <c r="J2" s="204"/>
      <c r="K2" s="120"/>
      <c r="L2" s="204" t="s">
        <v>242</v>
      </c>
      <c r="M2" s="204"/>
      <c r="N2" s="120"/>
      <c r="O2" s="231" t="s">
        <v>74</v>
      </c>
      <c r="P2" s="262" t="s">
        <v>269</v>
      </c>
      <c r="Q2" s="204" t="s">
        <v>65</v>
      </c>
      <c r="R2" s="204"/>
      <c r="S2" s="204" t="s">
        <v>66</v>
      </c>
      <c r="T2" s="204"/>
      <c r="U2" s="26"/>
      <c r="V2" s="232" t="s">
        <v>76</v>
      </c>
      <c r="W2" s="203" t="s">
        <v>54</v>
      </c>
      <c r="X2" s="204" t="s">
        <v>59</v>
      </c>
      <c r="Y2" s="204" t="s">
        <v>55</v>
      </c>
      <c r="Z2" s="204"/>
      <c r="AA2" s="204" t="s">
        <v>56</v>
      </c>
      <c r="AB2" s="204"/>
      <c r="AC2" s="117" t="s">
        <v>59</v>
      </c>
      <c r="AD2" s="204" t="s">
        <v>115</v>
      </c>
      <c r="AE2" s="204"/>
      <c r="AF2" s="204"/>
      <c r="AG2" s="204" t="s">
        <v>112</v>
      </c>
      <c r="AH2" s="261"/>
      <c r="AI2" s="204" t="s">
        <v>60</v>
      </c>
      <c r="AJ2" s="204"/>
      <c r="AK2" s="204"/>
      <c r="AL2" s="204"/>
      <c r="AY2" s="203" t="s">
        <v>73</v>
      </c>
      <c r="AZ2" s="260">
        <v>10</v>
      </c>
      <c r="BB2" s="203" t="s">
        <v>67</v>
      </c>
      <c r="BC2" s="203" t="s">
        <v>29</v>
      </c>
      <c r="BD2" s="203"/>
      <c r="BE2" s="204" t="s">
        <v>68</v>
      </c>
      <c r="BF2" s="204"/>
      <c r="BG2" s="203" t="s">
        <v>283</v>
      </c>
      <c r="BH2" s="204" t="s">
        <v>71</v>
      </c>
      <c r="BI2" s="204"/>
      <c r="BJ2" s="204" t="s">
        <v>72</v>
      </c>
      <c r="BK2" s="204"/>
      <c r="BL2" s="204"/>
      <c r="BM2" s="223" t="s">
        <v>77</v>
      </c>
      <c r="BO2" s="23">
        <f>BB9-BB8</f>
        <v>1.2798935997400916E-3</v>
      </c>
      <c r="BP2" s="38">
        <f>BJ9-BJ8</f>
        <v>0.34904382370014986</v>
      </c>
      <c r="BQ2" s="38">
        <f>BL9-BL8</f>
        <v>0.34904382370014986</v>
      </c>
      <c r="BR2" s="28"/>
      <c r="BS2" s="117" t="s">
        <v>78</v>
      </c>
      <c r="BT2" s="38">
        <v>9.81</v>
      </c>
      <c r="BV2" s="204" t="s">
        <v>85</v>
      </c>
      <c r="BW2" s="204"/>
      <c r="BX2" s="204"/>
    </row>
    <row r="3" spans="2:76" x14ac:dyDescent="0.3">
      <c r="B3" s="117" t="s">
        <v>20</v>
      </c>
      <c r="C3" s="102">
        <v>25</v>
      </c>
      <c r="D3" s="108"/>
      <c r="E3" s="116" t="s">
        <v>229</v>
      </c>
      <c r="F3" s="119">
        <f>(C7/24)*100</f>
        <v>37.5</v>
      </c>
      <c r="G3" s="9"/>
      <c r="H3" s="117" t="s">
        <v>233</v>
      </c>
      <c r="I3" s="146">
        <v>4</v>
      </c>
      <c r="J3" s="107"/>
      <c r="K3" s="101"/>
      <c r="L3" s="204" t="s">
        <v>248</v>
      </c>
      <c r="M3" s="204"/>
      <c r="N3" s="101"/>
      <c r="O3" s="231"/>
      <c r="P3" s="263"/>
      <c r="Q3" s="117" t="s">
        <v>36</v>
      </c>
      <c r="R3" s="117" t="s">
        <v>35</v>
      </c>
      <c r="S3" s="117" t="s">
        <v>36</v>
      </c>
      <c r="T3" s="117" t="s">
        <v>35</v>
      </c>
      <c r="U3" s="26"/>
      <c r="V3" s="232"/>
      <c r="W3" s="203"/>
      <c r="X3" s="204"/>
      <c r="Y3" s="117" t="s">
        <v>57</v>
      </c>
      <c r="Z3" s="117" t="s">
        <v>58</v>
      </c>
      <c r="AA3" s="117" t="s">
        <v>57</v>
      </c>
      <c r="AB3" s="117" t="s">
        <v>58</v>
      </c>
      <c r="AC3" s="264">
        <f>X4</f>
        <v>3600</v>
      </c>
      <c r="AD3" s="117" t="s">
        <v>113</v>
      </c>
      <c r="AE3" s="117" t="s">
        <v>114</v>
      </c>
      <c r="AF3" s="117" t="s">
        <v>106</v>
      </c>
      <c r="AG3" s="117" t="s">
        <v>107</v>
      </c>
      <c r="AH3" s="127" t="s">
        <v>116</v>
      </c>
      <c r="AI3" s="117" t="s">
        <v>84</v>
      </c>
      <c r="AJ3" s="117" t="s">
        <v>62</v>
      </c>
      <c r="AK3" s="117" t="s">
        <v>61</v>
      </c>
      <c r="AL3" s="117" t="s">
        <v>17</v>
      </c>
      <c r="AY3" s="203"/>
      <c r="AZ3" s="260"/>
      <c r="BB3" s="203"/>
      <c r="BC3" s="117" t="s">
        <v>65</v>
      </c>
      <c r="BD3" s="117" t="s">
        <v>66</v>
      </c>
      <c r="BE3" s="117" t="s">
        <v>65</v>
      </c>
      <c r="BF3" s="117" t="s">
        <v>66</v>
      </c>
      <c r="BG3" s="203"/>
      <c r="BH3" s="117" t="s">
        <v>69</v>
      </c>
      <c r="BI3" s="117" t="s">
        <v>70</v>
      </c>
      <c r="BJ3" s="117" t="s">
        <v>69</v>
      </c>
      <c r="BK3" s="123" t="s">
        <v>75</v>
      </c>
      <c r="BL3" s="117" t="s">
        <v>70</v>
      </c>
      <c r="BM3" s="225"/>
      <c r="BO3" s="23">
        <f>F4-BB8</f>
        <v>6.3994679987004581E-4</v>
      </c>
      <c r="BP3" s="38">
        <f>(BO3*BP2)/BO2</f>
        <v>0.17452191185007493</v>
      </c>
      <c r="BQ3" s="119"/>
      <c r="BR3" s="28"/>
      <c r="BS3" s="117" t="s">
        <v>67</v>
      </c>
      <c r="BT3" s="38">
        <f>F4</f>
        <v>5.7595211988304088E-3</v>
      </c>
      <c r="BV3" s="204" t="s">
        <v>104</v>
      </c>
      <c r="BW3" s="204"/>
      <c r="BX3" s="204"/>
    </row>
    <row r="4" spans="2:76" ht="15.75" customHeight="1" x14ac:dyDescent="0.3">
      <c r="B4" s="117" t="s">
        <v>230</v>
      </c>
      <c r="C4" s="102">
        <v>5</v>
      </c>
      <c r="E4" s="117" t="s">
        <v>25</v>
      </c>
      <c r="F4" s="23">
        <f>C6</f>
        <v>5.7595211988304088E-3</v>
      </c>
      <c r="G4" s="27"/>
      <c r="H4" s="117" t="s">
        <v>234</v>
      </c>
      <c r="I4" s="121">
        <f>I3*0.0254</f>
        <v>0.1016</v>
      </c>
      <c r="J4" s="107"/>
      <c r="K4" s="101"/>
      <c r="L4" s="124" t="s">
        <v>243</v>
      </c>
      <c r="M4" s="113">
        <v>426.53649999999999</v>
      </c>
      <c r="N4" s="101"/>
      <c r="O4" s="117" t="s">
        <v>38</v>
      </c>
      <c r="P4" s="68">
        <v>0.6</v>
      </c>
      <c r="Q4" s="102"/>
      <c r="R4" s="23" t="str">
        <f>IF(Q4="","",Q4*(0.00774*P4*(($C$10)^1.85)*($I$4^4.85)*($F$4^0.15)))</f>
        <v/>
      </c>
      <c r="S4" s="102"/>
      <c r="T4" s="38" t="str">
        <f>IF(S4="","",S4*(0.00774*P4*(($C$10)^1.85)*($I$4^4.85)*($F$4^0.15)))</f>
        <v/>
      </c>
      <c r="U4" s="130"/>
      <c r="V4" s="132" t="s">
        <v>304</v>
      </c>
      <c r="W4" s="133">
        <v>5</v>
      </c>
      <c r="X4" s="102">
        <v>3600</v>
      </c>
      <c r="Y4" s="146">
        <v>2</v>
      </c>
      <c r="Z4" s="119">
        <f>(Y4*2.54)/100</f>
        <v>5.0799999999999998E-2</v>
      </c>
      <c r="AA4" s="146">
        <v>2</v>
      </c>
      <c r="AB4" s="119">
        <f>(AA4*2.54)/100</f>
        <v>5.0799999999999998E-2</v>
      </c>
      <c r="AC4" s="264"/>
      <c r="AD4" s="134">
        <v>42</v>
      </c>
      <c r="AE4" s="102">
        <v>140</v>
      </c>
      <c r="AF4" s="121">
        <f>AE4*0.3048</f>
        <v>42.672000000000004</v>
      </c>
      <c r="AG4" s="102">
        <v>140</v>
      </c>
      <c r="AH4" s="29">
        <f>AG4*0.0000757683211</f>
        <v>1.0607564954E-2</v>
      </c>
      <c r="AI4" s="102">
        <v>0</v>
      </c>
      <c r="AJ4" s="133">
        <v>132.5</v>
      </c>
      <c r="AK4" s="38">
        <f>IF(AJ4="","",AI4*0.0000757683211)</f>
        <v>0</v>
      </c>
      <c r="AL4" s="38">
        <f>IF(AJ4="","",0.3048*AJ4)</f>
        <v>40.386000000000003</v>
      </c>
      <c r="BB4" s="38">
        <v>0</v>
      </c>
      <c r="BC4" s="38">
        <f t="shared" ref="BC4:BC13" si="0">IF(BB4="","",(BB4/(0.2785*$C$10*($I$4^2.63)))^1.852)</f>
        <v>0</v>
      </c>
      <c r="BD4" s="38">
        <f t="shared" ref="BD4:BD13" si="1">IF(BB4="","",(BB4/(0.2785*C$10*(I$11^2.63)))^1.852)</f>
        <v>0</v>
      </c>
      <c r="BE4" s="38">
        <f t="shared" ref="BE4:BE13" si="2">IF(BB4="","",BC4*R$24)</f>
        <v>0</v>
      </c>
      <c r="BF4" s="38">
        <f t="shared" ref="BF4:BF13" si="3">IF(BB4="","",BD4*T$24)</f>
        <v>0</v>
      </c>
      <c r="BG4" s="38">
        <f t="shared" ref="BG4:BG13" si="4">IF(BB4="","",((((4*BB4)/(PI()*(I$11^2)))^2)/(2*9.81)))</f>
        <v>0</v>
      </c>
      <c r="BH4" s="119">
        <f>IF(BB4="","",($M$4-$M$6)+($M$8-$M$9))</f>
        <v>10.455499999999972</v>
      </c>
      <c r="BI4" s="119">
        <f>IF(BB4="","",($M$4-$M$5)+($M$8-$M$9))</f>
        <v>10.685199999999952</v>
      </c>
      <c r="BJ4" s="38">
        <f t="shared" ref="BJ4:BJ12" si="5">IF(BB4="","",BH4+BG4+BF4+BE4)</f>
        <v>10.455499999999972</v>
      </c>
      <c r="BK4" s="38">
        <f t="shared" ref="BK4:BK12" si="6">IF(BB4="","",(BJ4+BL4)/2)</f>
        <v>10.570349999999962</v>
      </c>
      <c r="BL4" s="38">
        <f t="shared" ref="BL4:BL12" si="7">IF(BB4="","",BI4+BG4+BF4+BE4)</f>
        <v>10.685199999999952</v>
      </c>
      <c r="BM4" s="106">
        <f>-(16146918.66028)*(BB4^3)-(79151.52208)*(BB4^2)-(647.3179)*(BB4)+40.42987</f>
        <v>40.429870000000001</v>
      </c>
      <c r="BQ4" s="28"/>
      <c r="BR4" s="28"/>
      <c r="BS4" s="117" t="s">
        <v>79</v>
      </c>
      <c r="BT4" s="38">
        <f>BK8+BP3</f>
        <v>11.420572003843256</v>
      </c>
      <c r="BV4" s="147" t="s">
        <v>90</v>
      </c>
      <c r="BW4" s="38">
        <f>10.33-((1.2*$C$8)/1000)</f>
        <v>9.82</v>
      </c>
      <c r="BX4" s="19"/>
    </row>
    <row r="5" spans="2:76" ht="15.75" customHeight="1" x14ac:dyDescent="0.3">
      <c r="B5" s="117" t="s">
        <v>161</v>
      </c>
      <c r="C5" s="7">
        <f>C4/1000</f>
        <v>5.0000000000000001E-3</v>
      </c>
      <c r="H5" s="117" t="s">
        <v>235</v>
      </c>
      <c r="I5" s="121">
        <f>(4*F4)/(PI()*(I4^2))</f>
        <v>0.71041002901328243</v>
      </c>
      <c r="J5" s="89" t="str">
        <f>IF(I5&lt;I26,"No cumple con lo estupilado en el RAS 2000",IF(I5&gt;LOOKUP(I3,H17:H24,I17:I24),"No cumple con lo estupilado en el RAS 2000","Cumple con lo estipulado en el RAS 2000"))</f>
        <v>Cumple con lo estipulado en el RAS 2000</v>
      </c>
      <c r="K5" s="101"/>
      <c r="L5" s="89" t="s">
        <v>266</v>
      </c>
      <c r="M5" s="113">
        <v>426.10680000000002</v>
      </c>
      <c r="N5" s="101"/>
      <c r="O5" s="117" t="s">
        <v>39</v>
      </c>
      <c r="P5" s="68">
        <v>0.8</v>
      </c>
      <c r="Q5" s="102"/>
      <c r="R5" s="23" t="str">
        <f t="shared" ref="R5:R22" si="8">IF(Q5="","",Q5*(0.00774*P5*(($C$10)^1.85)*($I$4^4.85)*($F$4^0.15)))</f>
        <v/>
      </c>
      <c r="S5" s="102"/>
      <c r="T5" s="38" t="str">
        <f t="shared" ref="T5:T22" si="9">IF(S5="","",S5*(0.00774*P5*(($C$10)^1.85)*($I$4^4.85)*($F$4^0.15)))</f>
        <v/>
      </c>
      <c r="U5" s="130"/>
      <c r="AI5" s="102">
        <v>20</v>
      </c>
      <c r="AJ5" s="133">
        <v>130</v>
      </c>
      <c r="AK5" s="38">
        <f t="shared" ref="AK5:AK11" si="10">IF(AJ5="","",AI5*0.0000757683211)</f>
        <v>1.5153664220000002E-3</v>
      </c>
      <c r="AL5" s="38">
        <f t="shared" ref="AL5:AL11" si="11">IF(AJ5="","",0.3048*AJ5)</f>
        <v>39.624000000000002</v>
      </c>
      <c r="BB5" s="38">
        <f>IF(AZ2=10,(2/9)*F4,IF(AZ2=9,(2/8)*F4,IF(AZ2=8,(2/7)*F4,IF(AZ2=7,(2/6)*F4,IF(AZ2=6,(2/5)*F4,IF(AZ2=5,(2/4)*F4,""))))))</f>
        <v>1.2798935997400908E-3</v>
      </c>
      <c r="BC5" s="38">
        <f t="shared" si="0"/>
        <v>3.0042157878613598E-4</v>
      </c>
      <c r="BD5" s="38">
        <f t="shared" si="1"/>
        <v>1.2197693738559634E-3</v>
      </c>
      <c r="BE5" s="38">
        <f t="shared" si="2"/>
        <v>7.8290798766290758E-3</v>
      </c>
      <c r="BF5" s="38">
        <f t="shared" si="3"/>
        <v>3.9090794895253703E-2</v>
      </c>
      <c r="BG5" s="38">
        <f t="shared" si="4"/>
        <v>4.014662889570305E-3</v>
      </c>
      <c r="BH5" s="119">
        <f t="shared" ref="BH5:BH13" si="12">IF(BB5="","",($M$4-$M$6)+($M$8-$M$9))</f>
        <v>10.455499999999972</v>
      </c>
      <c r="BI5" s="119">
        <f t="shared" ref="BI5:BI13" si="13">IF(BB5="","",($M$4-$M$5)+($M$8-$M$9))</f>
        <v>10.685199999999952</v>
      </c>
      <c r="BJ5" s="38">
        <f t="shared" si="5"/>
        <v>10.506434537661425</v>
      </c>
      <c r="BK5" s="38">
        <f t="shared" si="6"/>
        <v>10.621284537661415</v>
      </c>
      <c r="BL5" s="38">
        <f t="shared" si="7"/>
        <v>10.736134537661405</v>
      </c>
      <c r="BM5" s="106">
        <f t="shared" ref="BM5:BM13" si="14">-(16146918.66028)*(BB5^3)-(79151.52208)*(BB5^2)-(647.3179)*(BB5)+40.42987</f>
        <v>39.437857568809768</v>
      </c>
      <c r="BQ5" s="28"/>
      <c r="BR5" s="28"/>
      <c r="BS5" s="117" t="s">
        <v>80</v>
      </c>
      <c r="BT5" s="135">
        <v>0.63</v>
      </c>
      <c r="BV5" s="203" t="s">
        <v>88</v>
      </c>
      <c r="BW5" s="266">
        <f>M4-M5</f>
        <v>0.42969999999996844</v>
      </c>
      <c r="BX5" s="19"/>
    </row>
    <row r="6" spans="2:76" ht="15.75" customHeight="1" x14ac:dyDescent="0.3">
      <c r="B6" s="117" t="s">
        <v>24</v>
      </c>
      <c r="C6" s="38">
        <f>((Proyeccion!AE48)/1000)+C5</f>
        <v>5.7595211988304088E-3</v>
      </c>
      <c r="H6" s="123" t="s">
        <v>236</v>
      </c>
      <c r="I6" s="121">
        <f>IF(ROUNDUP(((2.5*I4)+0.1),2)&gt;=0.5,ROUNDUP(((2.5*I4)+0.1),2),0.5)</f>
        <v>0.5</v>
      </c>
      <c r="J6" s="89" t="str">
        <f>IF(AND(I6&gt;(2*I4),I6&gt;=0.5),"Cumple con el RAS 2000","No Cumple con el RAS 2000")</f>
        <v>Cumple con el RAS 2000</v>
      </c>
      <c r="K6" s="101"/>
      <c r="L6" s="89" t="s">
        <v>281</v>
      </c>
      <c r="M6" s="113">
        <v>426.3365</v>
      </c>
      <c r="N6" s="101"/>
      <c r="O6" s="117" t="s">
        <v>40</v>
      </c>
      <c r="P6" s="68">
        <v>0.9</v>
      </c>
      <c r="Q6" s="102">
        <v>8</v>
      </c>
      <c r="R6" s="23">
        <f t="shared" si="8"/>
        <v>4.1623129199847295E-3</v>
      </c>
      <c r="S6" s="102">
        <v>7</v>
      </c>
      <c r="T6" s="38">
        <f t="shared" si="9"/>
        <v>3.6420238049866384E-3</v>
      </c>
      <c r="Z6" s="92"/>
      <c r="AA6" s="92"/>
      <c r="AI6" s="102">
        <v>40</v>
      </c>
      <c r="AJ6" s="133">
        <v>127.5</v>
      </c>
      <c r="AK6" s="38">
        <f t="shared" si="10"/>
        <v>3.0307328440000005E-3</v>
      </c>
      <c r="AL6" s="38">
        <f t="shared" si="11"/>
        <v>38.862000000000002</v>
      </c>
      <c r="BB6" s="38">
        <f>IF(AZ2=10,(4/9)*F4,IF(AZ2=9,0.5*F4,IF(AZ2=8,(4/7)*F4,IF(AZ2=7,(2/3)*F4,IF(AZ2=6,0.8*F4,IF(AZ2=5,1*F4,""))))))</f>
        <v>2.5597871994801815E-3</v>
      </c>
      <c r="BC6" s="38">
        <f t="shared" si="0"/>
        <v>1.0845227735995972E-3</v>
      </c>
      <c r="BD6" s="38">
        <f t="shared" si="1"/>
        <v>4.4033709889655971E-3</v>
      </c>
      <c r="BE6" s="38">
        <f t="shared" si="2"/>
        <v>2.8263001136076833E-2</v>
      </c>
      <c r="BF6" s="38">
        <f t="shared" si="3"/>
        <v>0.14111788332020439</v>
      </c>
      <c r="BG6" s="38">
        <f t="shared" si="4"/>
        <v>1.605865155828122E-2</v>
      </c>
      <c r="BH6" s="119">
        <f t="shared" si="12"/>
        <v>10.455499999999972</v>
      </c>
      <c r="BI6" s="119">
        <f t="shared" si="13"/>
        <v>10.685199999999952</v>
      </c>
      <c r="BJ6" s="38">
        <f t="shared" si="5"/>
        <v>10.640939536014534</v>
      </c>
      <c r="BK6" s="38">
        <f t="shared" si="6"/>
        <v>10.755789536014523</v>
      </c>
      <c r="BL6" s="38">
        <f t="shared" si="7"/>
        <v>10.870639536014513</v>
      </c>
      <c r="BM6" s="106">
        <f t="shared" si="14"/>
        <v>37.983399953765677</v>
      </c>
      <c r="BQ6" s="28"/>
      <c r="BR6" s="28"/>
      <c r="BS6" s="117" t="s">
        <v>81</v>
      </c>
      <c r="BT6" s="126">
        <f>(BT2*BT3*BT4)/BT5</f>
        <v>1.0242422707029386</v>
      </c>
      <c r="BV6" s="203"/>
      <c r="BW6" s="266"/>
      <c r="BX6" s="19"/>
    </row>
    <row r="7" spans="2:76" ht="15.75" customHeight="1" x14ac:dyDescent="0.3">
      <c r="B7" s="117" t="s">
        <v>21</v>
      </c>
      <c r="C7" s="109">
        <v>9</v>
      </c>
      <c r="H7" s="204" t="s">
        <v>27</v>
      </c>
      <c r="I7" s="204"/>
      <c r="J7" s="204"/>
      <c r="K7" s="120"/>
      <c r="L7" s="51" t="s">
        <v>246</v>
      </c>
      <c r="M7" s="112">
        <f>M4-M5</f>
        <v>0.42969999999996844</v>
      </c>
      <c r="N7" s="120"/>
      <c r="O7" s="117" t="s">
        <v>271</v>
      </c>
      <c r="P7" s="68">
        <v>0.4</v>
      </c>
      <c r="Q7" s="102"/>
      <c r="R7" s="23" t="str">
        <f t="shared" si="8"/>
        <v/>
      </c>
      <c r="S7" s="102"/>
      <c r="T7" s="38" t="str">
        <f t="shared" si="9"/>
        <v/>
      </c>
      <c r="Z7" s="92"/>
      <c r="AA7" s="92"/>
      <c r="AI7" s="102">
        <v>60</v>
      </c>
      <c r="AJ7" s="133">
        <v>123</v>
      </c>
      <c r="AK7" s="38">
        <f t="shared" si="10"/>
        <v>4.5460992660000003E-3</v>
      </c>
      <c r="AL7" s="38">
        <f t="shared" si="11"/>
        <v>37.490400000000001</v>
      </c>
      <c r="BB7" s="38">
        <f>IF(AZ2=10,(2/3)*F4,IF(AZ2=9,0.75*F4,IF(AZ2=8,(6/7)*F4,IF(AZ2=7,(1)*F4,IF(AZ2=6,1.2*F4,IF(AZ2=5,1.5*F4,""))))))</f>
        <v>3.8396807992202723E-3</v>
      </c>
      <c r="BC7" s="38">
        <f t="shared" si="0"/>
        <v>2.298051133421629E-3</v>
      </c>
      <c r="BD7" s="38">
        <f t="shared" si="1"/>
        <v>9.3305294627259432E-3</v>
      </c>
      <c r="BE7" s="38">
        <f t="shared" si="2"/>
        <v>5.9887928013798858E-2</v>
      </c>
      <c r="BF7" s="38">
        <f t="shared" si="3"/>
        <v>0.29902194735265719</v>
      </c>
      <c r="BG7" s="38">
        <f t="shared" si="4"/>
        <v>3.6131966006132749E-2</v>
      </c>
      <c r="BH7" s="119">
        <f t="shared" si="12"/>
        <v>10.455499999999972</v>
      </c>
      <c r="BI7" s="119">
        <f t="shared" si="13"/>
        <v>10.685199999999952</v>
      </c>
      <c r="BJ7" s="38">
        <f t="shared" si="5"/>
        <v>10.850541841372561</v>
      </c>
      <c r="BK7" s="38">
        <f t="shared" si="6"/>
        <v>10.965391841372551</v>
      </c>
      <c r="BL7" s="38">
        <f t="shared" si="7"/>
        <v>11.080241841372541</v>
      </c>
      <c r="BM7" s="106">
        <f t="shared" si="14"/>
        <v>35.863372561036066</v>
      </c>
      <c r="BQ7" s="28"/>
      <c r="BR7" s="28"/>
      <c r="BS7" s="117" t="s">
        <v>82</v>
      </c>
      <c r="BT7" s="126">
        <f>BT6*1.34102</f>
        <v>1.3735293698580548</v>
      </c>
      <c r="BV7" s="204" t="s">
        <v>89</v>
      </c>
      <c r="BW7" s="204"/>
      <c r="BX7" s="204"/>
    </row>
    <row r="8" spans="2:76" ht="15.75" customHeight="1" x14ac:dyDescent="0.3">
      <c r="B8" s="117" t="s">
        <v>22</v>
      </c>
      <c r="C8" s="102">
        <v>425</v>
      </c>
      <c r="H8" s="118" t="s">
        <v>232</v>
      </c>
      <c r="I8" s="119">
        <f>1.3*((C7/24)^(1/4))*(F4^0.5)</f>
        <v>7.7204810227071902E-2</v>
      </c>
      <c r="J8" s="19"/>
      <c r="K8" s="66"/>
      <c r="L8" s="89" t="s">
        <v>303</v>
      </c>
      <c r="M8" s="113">
        <v>436.971</v>
      </c>
      <c r="N8" s="66"/>
      <c r="O8" s="117" t="s">
        <v>272</v>
      </c>
      <c r="P8" s="68">
        <v>0.2</v>
      </c>
      <c r="Q8" s="102"/>
      <c r="R8" s="23" t="str">
        <f t="shared" si="8"/>
        <v/>
      </c>
      <c r="S8" s="102"/>
      <c r="T8" s="38" t="str">
        <f t="shared" si="9"/>
        <v/>
      </c>
      <c r="Z8" s="92"/>
      <c r="AA8" s="92"/>
      <c r="AI8" s="102">
        <v>80</v>
      </c>
      <c r="AJ8" s="133">
        <v>117</v>
      </c>
      <c r="AK8" s="38">
        <f t="shared" si="10"/>
        <v>6.061465688000001E-3</v>
      </c>
      <c r="AL8" s="38">
        <f t="shared" si="11"/>
        <v>35.6616</v>
      </c>
      <c r="BB8" s="38">
        <f>IF(AZ2=10,(8/9)*F4,IF(AZ2=9,1*F4,IF(AZ2=8,(8/7)*F4,IF(AZ2=7,(4/3)*F4,IF(AZ2=6,1.6*F4,IF(AZ2=5,2*F4,""))))))</f>
        <v>5.119574398960363E-3</v>
      </c>
      <c r="BC8" s="38">
        <f t="shared" si="0"/>
        <v>3.9151303684928362E-3</v>
      </c>
      <c r="BD8" s="38">
        <f t="shared" si="1"/>
        <v>1.5896182083313649E-2</v>
      </c>
      <c r="BE8" s="38">
        <f t="shared" si="2"/>
        <v>0.10202951634232334</v>
      </c>
      <c r="BF8" s="38">
        <f t="shared" si="3"/>
        <v>0.50943596941777125</v>
      </c>
      <c r="BG8" s="38">
        <f t="shared" si="4"/>
        <v>6.423460623312488E-2</v>
      </c>
      <c r="BH8" s="119">
        <f t="shared" si="12"/>
        <v>10.455499999999972</v>
      </c>
      <c r="BI8" s="119">
        <f t="shared" si="13"/>
        <v>10.685199999999952</v>
      </c>
      <c r="BJ8" s="38">
        <f t="shared" si="5"/>
        <v>11.131200091993191</v>
      </c>
      <c r="BK8" s="38">
        <f t="shared" si="6"/>
        <v>11.246050091993181</v>
      </c>
      <c r="BL8" s="38">
        <f t="shared" si="7"/>
        <v>11.360900091993171</v>
      </c>
      <c r="BM8" s="106">
        <f t="shared" si="14"/>
        <v>32.874650796789254</v>
      </c>
      <c r="BQ8" s="28"/>
      <c r="BR8" s="28"/>
      <c r="BS8" s="123" t="s">
        <v>83</v>
      </c>
      <c r="BT8" s="126">
        <f>BT7*1.2</f>
        <v>1.6482352438296657</v>
      </c>
      <c r="BV8" s="147" t="s">
        <v>94</v>
      </c>
      <c r="BW8" s="38">
        <f>R24</f>
        <v>26.060311340692468</v>
      </c>
      <c r="BX8" s="19"/>
    </row>
    <row r="9" spans="2:76" x14ac:dyDescent="0.3">
      <c r="B9" s="117" t="s">
        <v>23</v>
      </c>
      <c r="C9" s="102">
        <v>20</v>
      </c>
      <c r="H9" s="118" t="s">
        <v>231</v>
      </c>
      <c r="I9" s="119">
        <f>ROUNDUP(I8/0.0254,1)</f>
        <v>3.1</v>
      </c>
      <c r="J9" s="19"/>
      <c r="K9" s="66"/>
      <c r="L9" s="124" t="s">
        <v>245</v>
      </c>
      <c r="M9" s="114">
        <v>426.71550000000002</v>
      </c>
      <c r="N9" s="66"/>
      <c r="O9" s="117" t="s">
        <v>41</v>
      </c>
      <c r="P9" s="68">
        <v>0.5</v>
      </c>
      <c r="Q9" s="102"/>
      <c r="R9" s="23" t="str">
        <f t="shared" si="8"/>
        <v/>
      </c>
      <c r="S9" s="102"/>
      <c r="T9" s="38" t="str">
        <f t="shared" si="9"/>
        <v/>
      </c>
      <c r="Z9" s="92"/>
      <c r="AA9" s="92"/>
      <c r="AI9" s="102">
        <v>100</v>
      </c>
      <c r="AJ9" s="133">
        <v>109</v>
      </c>
      <c r="AK9" s="38">
        <f t="shared" si="10"/>
        <v>7.5768321100000008E-3</v>
      </c>
      <c r="AL9" s="38">
        <f t="shared" si="11"/>
        <v>33.223199999999999</v>
      </c>
      <c r="BB9" s="38">
        <f>IF(AZ2=10,(10/9)*F4,IF(AZ2=9,1.25*F4,IF(AZ2=8,(10/7)*F4,IF(AZ2=7,(5/3)*F4,IF(AZ2=6,2*F4,"")))))</f>
        <v>6.3994679987004546E-3</v>
      </c>
      <c r="BC9" s="38">
        <f t="shared" si="0"/>
        <v>5.9186624487973837E-3</v>
      </c>
      <c r="BD9" s="38">
        <f t="shared" si="1"/>
        <v>2.4030907561316477E-2</v>
      </c>
      <c r="BE9" s="38">
        <f t="shared" si="2"/>
        <v>0.15424218613612511</v>
      </c>
      <c r="BF9" s="38">
        <f t="shared" si="3"/>
        <v>0.77013515731798599</v>
      </c>
      <c r="BG9" s="38">
        <f t="shared" si="4"/>
        <v>0.10036657223925764</v>
      </c>
      <c r="BH9" s="119">
        <f t="shared" si="12"/>
        <v>10.455499999999972</v>
      </c>
      <c r="BI9" s="119">
        <f t="shared" si="13"/>
        <v>10.685199999999952</v>
      </c>
      <c r="BJ9" s="38">
        <f t="shared" si="5"/>
        <v>11.480243915693341</v>
      </c>
      <c r="BK9" s="38">
        <f t="shared" si="6"/>
        <v>11.595093915693331</v>
      </c>
      <c r="BL9" s="38">
        <f t="shared" si="7"/>
        <v>11.709943915693321</v>
      </c>
      <c r="BM9" s="106">
        <f t="shared" si="14"/>
        <v>28.814110067193571</v>
      </c>
      <c r="BV9" s="147" t="s">
        <v>16</v>
      </c>
      <c r="BW9" s="5">
        <f>C10</f>
        <v>150</v>
      </c>
      <c r="BX9" s="19"/>
    </row>
    <row r="10" spans="2:76" x14ac:dyDescent="0.3">
      <c r="B10" s="110" t="s">
        <v>166</v>
      </c>
      <c r="C10" s="102">
        <v>150</v>
      </c>
      <c r="H10" s="117" t="s">
        <v>233</v>
      </c>
      <c r="I10" s="146">
        <v>3</v>
      </c>
      <c r="J10" s="19"/>
      <c r="K10" s="103"/>
      <c r="L10" s="51" t="s">
        <v>247</v>
      </c>
      <c r="M10" s="12">
        <f>M8-M9</f>
        <v>10.255499999999984</v>
      </c>
      <c r="N10" s="103"/>
      <c r="O10" s="117" t="s">
        <v>42</v>
      </c>
      <c r="P10" s="68">
        <v>0.9</v>
      </c>
      <c r="Q10" s="102"/>
      <c r="R10" s="23" t="str">
        <f t="shared" si="8"/>
        <v/>
      </c>
      <c r="S10" s="102"/>
      <c r="T10" s="38" t="str">
        <f t="shared" si="9"/>
        <v/>
      </c>
      <c r="Z10" s="92"/>
      <c r="AA10" s="92"/>
      <c r="AI10" s="102">
        <v>120</v>
      </c>
      <c r="AJ10" s="133">
        <v>95</v>
      </c>
      <c r="AK10" s="38">
        <f t="shared" si="10"/>
        <v>9.0921985320000006E-3</v>
      </c>
      <c r="AL10" s="38">
        <f t="shared" si="11"/>
        <v>28.956000000000003</v>
      </c>
      <c r="BB10" s="38">
        <f>IF(AZ2=10,(4/3)*F4,IF(AZ2=9,1.5*F4,IF(AZ2=8,(12/7)*F4,IF(AZ2=7,2*F4,""))))</f>
        <v>7.6793615984405445E-3</v>
      </c>
      <c r="BC10" s="38">
        <f t="shared" si="0"/>
        <v>8.2959712786355236E-3</v>
      </c>
      <c r="BD10" s="38">
        <f t="shared" si="1"/>
        <v>3.3683238510879197E-2</v>
      </c>
      <c r="BE10" s="38">
        <f t="shared" si="2"/>
        <v>0.21619559439468433</v>
      </c>
      <c r="BF10" s="38">
        <f t="shared" si="3"/>
        <v>1.0794701000520222</v>
      </c>
      <c r="BG10" s="38">
        <f t="shared" si="4"/>
        <v>0.14452786402453099</v>
      </c>
      <c r="BH10" s="119">
        <f t="shared" si="12"/>
        <v>10.455499999999972</v>
      </c>
      <c r="BI10" s="119">
        <f t="shared" si="13"/>
        <v>10.685199999999952</v>
      </c>
      <c r="BJ10" s="38">
        <f t="shared" si="5"/>
        <v>11.895693558471208</v>
      </c>
      <c r="BK10" s="38">
        <f t="shared" si="6"/>
        <v>12.010543558471198</v>
      </c>
      <c r="BL10" s="38">
        <f t="shared" si="7"/>
        <v>12.125393558471188</v>
      </c>
      <c r="BM10" s="106">
        <f t="shared" si="14"/>
        <v>23.478625778417353</v>
      </c>
      <c r="BV10" s="147" t="s">
        <v>96</v>
      </c>
      <c r="BW10" s="38">
        <f>F4</f>
        <v>5.7595211988304088E-3</v>
      </c>
      <c r="BX10" s="19"/>
    </row>
    <row r="11" spans="2:76" ht="15" customHeight="1" x14ac:dyDescent="0.3">
      <c r="B11" s="110" t="s">
        <v>167</v>
      </c>
      <c r="C11" s="102">
        <v>1.5E-3</v>
      </c>
      <c r="H11" s="117" t="s">
        <v>234</v>
      </c>
      <c r="I11" s="121">
        <f>I10*0.0254</f>
        <v>7.619999999999999E-2</v>
      </c>
      <c r="J11" s="19"/>
      <c r="K11" s="103"/>
      <c r="L11" s="124" t="s">
        <v>34</v>
      </c>
      <c r="M11" s="12">
        <f>M7+M10</f>
        <v>10.685199999999952</v>
      </c>
      <c r="N11" s="103"/>
      <c r="O11" s="117" t="s">
        <v>43</v>
      </c>
      <c r="P11" s="68">
        <v>0.2</v>
      </c>
      <c r="Q11" s="102"/>
      <c r="R11" s="23" t="str">
        <f t="shared" si="8"/>
        <v/>
      </c>
      <c r="S11" s="102">
        <v>1</v>
      </c>
      <c r="T11" s="38">
        <f t="shared" si="9"/>
        <v>1.1561980333290915E-4</v>
      </c>
      <c r="Z11" s="92"/>
      <c r="AA11" s="92"/>
      <c r="AI11" s="102">
        <v>140</v>
      </c>
      <c r="AJ11" s="133">
        <v>76</v>
      </c>
      <c r="AK11" s="23">
        <f t="shared" si="10"/>
        <v>1.0607564954E-2</v>
      </c>
      <c r="AL11" s="140">
        <f t="shared" si="11"/>
        <v>23.1648</v>
      </c>
      <c r="BB11" s="38">
        <f>IF(AZ2=10,(14/9)*F4,IF(AZ2=9,1.75*F4,IF(AZ2=8,2*F4,"")))</f>
        <v>8.9592551981806361E-3</v>
      </c>
      <c r="BC11" s="38">
        <f t="shared" si="0"/>
        <v>1.1037041974858549E-2</v>
      </c>
      <c r="BD11" s="38">
        <f t="shared" si="1"/>
        <v>4.481251258079226E-2</v>
      </c>
      <c r="BE11" s="38">
        <f t="shared" si="2"/>
        <v>0.28762875014510503</v>
      </c>
      <c r="BF11" s="38">
        <f t="shared" si="3"/>
        <v>1.436137663055953</v>
      </c>
      <c r="BG11" s="38">
        <f t="shared" si="4"/>
        <v>0.19671848158894498</v>
      </c>
      <c r="BH11" s="119">
        <f t="shared" si="12"/>
        <v>10.455499999999972</v>
      </c>
      <c r="BI11" s="119">
        <f t="shared" si="13"/>
        <v>10.685199999999952</v>
      </c>
      <c r="BJ11" s="38">
        <f t="shared" si="5"/>
        <v>12.375984894789976</v>
      </c>
      <c r="BK11" s="38">
        <f t="shared" si="6"/>
        <v>12.490834894789966</v>
      </c>
      <c r="BL11" s="38">
        <f t="shared" si="7"/>
        <v>12.605684894789956</v>
      </c>
      <c r="BM11" s="106">
        <f t="shared" si="14"/>
        <v>16.665073336628929</v>
      </c>
      <c r="BV11" s="147" t="s">
        <v>95</v>
      </c>
      <c r="BW11" s="38">
        <f>I4</f>
        <v>0.1016</v>
      </c>
      <c r="BX11" s="19"/>
    </row>
    <row r="12" spans="2:76" x14ac:dyDescent="0.3">
      <c r="H12" s="117" t="s">
        <v>235</v>
      </c>
      <c r="I12" s="121">
        <f>(F4*4)/(PI()*(I11^2))</f>
        <v>1.2629511626902801</v>
      </c>
      <c r="J12" s="122" t="str">
        <f>IF(AND(I12&gt;=1,I12&lt;=3),"Cumple con lo estipulado en el RAS 2000","No cumple con lo estipulado en el RAS 2000")</f>
        <v>Cumple con lo estipulado en el RAS 2000</v>
      </c>
      <c r="K12" s="104"/>
      <c r="L12" s="204" t="s">
        <v>268</v>
      </c>
      <c r="M12" s="204"/>
      <c r="N12" s="104"/>
      <c r="O12" s="117" t="s">
        <v>345</v>
      </c>
      <c r="P12" s="68">
        <v>0.05</v>
      </c>
      <c r="Q12" s="102">
        <v>1</v>
      </c>
      <c r="R12" s="23">
        <f t="shared" si="8"/>
        <v>2.8904950833227288E-5</v>
      </c>
      <c r="S12" s="102">
        <v>2</v>
      </c>
      <c r="T12" s="38">
        <f t="shared" si="9"/>
        <v>5.7809901666454576E-5</v>
      </c>
      <c r="BB12" s="38">
        <f>IF(AZ2=10,(16/9)*F4,IF(AZ2=9,2*F4,""))</f>
        <v>1.0239148797920726E-2</v>
      </c>
      <c r="BC12" s="38">
        <f t="shared" si="0"/>
        <v>1.4133632022700149E-2</v>
      </c>
      <c r="BD12" s="38">
        <f t="shared" si="1"/>
        <v>5.7385263576263244E-2</v>
      </c>
      <c r="BE12" s="38">
        <f t="shared" si="2"/>
        <v>0.36832685088634692</v>
      </c>
      <c r="BF12" s="38">
        <f t="shared" si="3"/>
        <v>1.8390653319802666</v>
      </c>
      <c r="BG12" s="38">
        <f t="shared" si="4"/>
        <v>0.25693842493249952</v>
      </c>
      <c r="BH12" s="119">
        <f t="shared" si="12"/>
        <v>10.455499999999972</v>
      </c>
      <c r="BI12" s="119">
        <f t="shared" si="13"/>
        <v>10.685199999999952</v>
      </c>
      <c r="BJ12" s="38">
        <f t="shared" si="5"/>
        <v>12.919830607799087</v>
      </c>
      <c r="BK12" s="38">
        <f t="shared" si="6"/>
        <v>13.034680607799077</v>
      </c>
      <c r="BL12" s="38">
        <f t="shared" si="7"/>
        <v>13.149530607799067</v>
      </c>
      <c r="BM12" s="106">
        <f t="shared" si="14"/>
        <v>8.1703281479966279</v>
      </c>
      <c r="BV12" s="147" t="s">
        <v>29</v>
      </c>
      <c r="BW12" s="38">
        <f>R25</f>
        <v>4.8694588443655576E-3</v>
      </c>
      <c r="BX12" s="19"/>
    </row>
    <row r="13" spans="2:76" ht="15" customHeight="1" x14ac:dyDescent="0.3">
      <c r="L13" s="264" t="s">
        <v>270</v>
      </c>
      <c r="M13" s="264"/>
      <c r="O13" s="117" t="s">
        <v>44</v>
      </c>
      <c r="P13" s="68">
        <v>10</v>
      </c>
      <c r="Q13" s="102"/>
      <c r="R13" s="23" t="str">
        <f t="shared" si="8"/>
        <v/>
      </c>
      <c r="S13" s="102"/>
      <c r="T13" s="38" t="str">
        <f t="shared" si="9"/>
        <v/>
      </c>
      <c r="BB13" s="38">
        <f>IF(AZ2=10,2*F4,"")</f>
        <v>1.1519042397660818E-2</v>
      </c>
      <c r="BC13" s="38">
        <f t="shared" si="0"/>
        <v>1.7578760597553124E-2</v>
      </c>
      <c r="BD13" s="38">
        <f t="shared" si="1"/>
        <v>7.1373148007139009E-2</v>
      </c>
      <c r="BE13" s="38">
        <f t="shared" si="2"/>
        <v>0.45810797415573157</v>
      </c>
      <c r="BF13" s="38">
        <f t="shared" si="3"/>
        <v>2.2873447633430395</v>
      </c>
      <c r="BG13" s="38">
        <f t="shared" si="4"/>
        <v>0.32518769405519471</v>
      </c>
      <c r="BH13" s="119">
        <f t="shared" si="12"/>
        <v>10.455499999999972</v>
      </c>
      <c r="BI13" s="119">
        <f t="shared" si="13"/>
        <v>10.685199999999952</v>
      </c>
      <c r="BJ13" s="38">
        <f>IF(BB13="","",BH13+BG13+BF13+BE13)</f>
        <v>13.526140431553939</v>
      </c>
      <c r="BK13" s="38">
        <f>IF(BB13="","",(BJ13+BL13)/2)</f>
        <v>13.640990431553929</v>
      </c>
      <c r="BL13" s="38">
        <f>IF(BB13="","",BI13+BG13+BF13+BE13)</f>
        <v>13.755840431553919</v>
      </c>
      <c r="BM13" s="106">
        <f t="shared" si="14"/>
        <v>-2.2087343813112312</v>
      </c>
      <c r="BV13" s="147" t="s">
        <v>97</v>
      </c>
      <c r="BW13" s="38">
        <f>R26</f>
        <v>0.12689961354485499</v>
      </c>
      <c r="BX13" s="19"/>
    </row>
    <row r="14" spans="2:76" ht="15" customHeight="1" x14ac:dyDescent="0.3">
      <c r="B14" s="119" t="s">
        <v>162</v>
      </c>
      <c r="C14" s="119">
        <v>12</v>
      </c>
      <c r="H14" s="204" t="s">
        <v>240</v>
      </c>
      <c r="I14" s="204"/>
      <c r="J14" s="204"/>
      <c r="K14" s="120"/>
      <c r="L14" s="265" t="s">
        <v>276</v>
      </c>
      <c r="M14" s="265"/>
      <c r="N14" s="120"/>
      <c r="O14" s="117" t="s">
        <v>45</v>
      </c>
      <c r="P14" s="68">
        <v>5</v>
      </c>
      <c r="Q14" s="102"/>
      <c r="R14" s="23" t="str">
        <f t="shared" si="8"/>
        <v/>
      </c>
      <c r="S14" s="102"/>
      <c r="T14" s="38" t="str">
        <f t="shared" si="9"/>
        <v/>
      </c>
      <c r="BV14" s="204" t="s">
        <v>98</v>
      </c>
      <c r="BW14" s="204"/>
      <c r="BX14" s="204"/>
    </row>
    <row r="15" spans="2:76" ht="14.4" customHeight="1" x14ac:dyDescent="0.3">
      <c r="B15" s="119" t="s">
        <v>163</v>
      </c>
      <c r="C15" s="119">
        <v>12</v>
      </c>
      <c r="H15" s="203" t="s">
        <v>239</v>
      </c>
      <c r="I15" s="203" t="s">
        <v>238</v>
      </c>
      <c r="J15" s="203"/>
      <c r="K15" s="99"/>
      <c r="L15" s="265"/>
      <c r="M15" s="265"/>
      <c r="N15" s="99"/>
      <c r="O15" s="117" t="s">
        <v>46</v>
      </c>
      <c r="P15" s="68">
        <v>0.3</v>
      </c>
      <c r="Q15" s="102"/>
      <c r="R15" s="23" t="str">
        <f t="shared" si="8"/>
        <v/>
      </c>
      <c r="S15" s="102"/>
      <c r="T15" s="38" t="str">
        <f t="shared" si="9"/>
        <v/>
      </c>
      <c r="BV15" s="147" t="s">
        <v>99</v>
      </c>
      <c r="BW15" s="38">
        <f>(4*BW10)/(PI()*(BW11^2))</f>
        <v>0.71041002901328243</v>
      </c>
      <c r="BX15" s="19"/>
    </row>
    <row r="16" spans="2:76" ht="15" customHeight="1" x14ac:dyDescent="0.3">
      <c r="B16" s="119" t="s">
        <v>164</v>
      </c>
      <c r="C16" s="119">
        <v>20</v>
      </c>
      <c r="H16" s="203"/>
      <c r="I16" s="203"/>
      <c r="J16" s="203"/>
      <c r="K16" s="99"/>
      <c r="L16" s="204" t="s">
        <v>277</v>
      </c>
      <c r="M16" s="204"/>
      <c r="N16" s="99"/>
      <c r="O16" s="117" t="s">
        <v>47</v>
      </c>
      <c r="P16" s="68">
        <v>1.8</v>
      </c>
      <c r="Q16" s="102">
        <v>2</v>
      </c>
      <c r="R16" s="23">
        <f t="shared" si="8"/>
        <v>2.0811564599923647E-3</v>
      </c>
      <c r="S16" s="102">
        <v>2</v>
      </c>
      <c r="T16" s="38">
        <f t="shared" si="9"/>
        <v>2.0811564599923647E-3</v>
      </c>
      <c r="BV16" s="147" t="s">
        <v>100</v>
      </c>
      <c r="BW16" s="38">
        <f>(BW15^2)/(2*9.81)</f>
        <v>2.5722854705537854E-2</v>
      </c>
      <c r="BX16" s="19"/>
    </row>
    <row r="17" spans="2:76" x14ac:dyDescent="0.3">
      <c r="B17" s="119" t="s">
        <v>165</v>
      </c>
      <c r="C17" s="119">
        <v>24</v>
      </c>
      <c r="H17" s="119">
        <v>2</v>
      </c>
      <c r="I17" s="229">
        <v>0.75</v>
      </c>
      <c r="J17" s="229"/>
      <c r="K17" s="66"/>
      <c r="L17" s="124" t="s">
        <v>278</v>
      </c>
      <c r="M17" s="124">
        <f>(I12^2)/(2*9.81)</f>
        <v>8.1296923513798677E-2</v>
      </c>
      <c r="N17" s="66"/>
      <c r="O17" s="117" t="s">
        <v>48</v>
      </c>
      <c r="P17" s="68">
        <v>1.8</v>
      </c>
      <c r="Q17" s="102"/>
      <c r="R17" s="23" t="str">
        <f t="shared" si="8"/>
        <v/>
      </c>
      <c r="S17" s="102"/>
      <c r="T17" s="38" t="str">
        <f t="shared" si="9"/>
        <v/>
      </c>
      <c r="BV17" s="147" t="s">
        <v>91</v>
      </c>
      <c r="BW17" s="38">
        <f>IF(C9=0,DT72,IF(C9=1,DT73,IF(C9=2,DT74,IF(C9=3,DT75,IF(C9=4,DT76,IF(C9=5,DT77,IF(C9=6,DT78,IF(C9=7,DT79,IF(C9=8,DT80,IF(C9=9,DT81,IF(C9=10,DT82,IF(C9=11,DT83,IF(C9=12,DT84,IF(C9=13,DT85,IF(C9=14,DT86,IF(C9=15,DT87,IF(C9=16,DT88,IF(C9=17,DT89,IF(C9=18,DT90,IF(C9=19,DT91,IF(C9=20,DT92,IF(C9=21,DT93,IF(C9=22,DT94,IF(C9=23,DT95,IF(C9=24,DT96,IF(C9=25,DT97,IF(C9=26,DT98,IF(C9=27,DT99,IF(C9=28,DT100,IF(C9=29,DT101,IF(C9=30,DT102,IF(C9=31,DT103,IF(C9=32,DT104,IF(C9=33,DT105,IF(C9=34,DT106,IF(C9=35,DT107,IF(C9=36,DT108,IF(C9=37,DT109,IF(C9=38,DT110,IF(C9=39,DT111,IF(C9=40,DT112,IF(C9=41,DT113,IF(C9=42,DT114,IF(C9=43,DT115,IF(C9=44,DT116,IF(C9=45,DT117,IF(C9=46,DT118,IF(C9=47,DT119,IF(C9=48,DT120,IF(C9=49,DT121,IF(C9=50,DT122,"")))))))))))))))))))))))))))))))))))))))))))))))))))</f>
        <v>0.23877551020408019</v>
      </c>
      <c r="BX17" s="159"/>
    </row>
    <row r="18" spans="2:76" x14ac:dyDescent="0.3">
      <c r="H18" s="119">
        <v>3</v>
      </c>
      <c r="I18" s="229">
        <v>1</v>
      </c>
      <c r="J18" s="229"/>
      <c r="K18" s="66"/>
      <c r="L18" s="204" t="s">
        <v>279</v>
      </c>
      <c r="M18" s="204"/>
      <c r="N18" s="66"/>
      <c r="O18" s="117" t="s">
        <v>49</v>
      </c>
      <c r="P18" s="68">
        <v>3</v>
      </c>
      <c r="Q18" s="102">
        <v>1</v>
      </c>
      <c r="R18" s="23">
        <f t="shared" si="8"/>
        <v>1.7342970499936369E-3</v>
      </c>
      <c r="S18" s="102"/>
      <c r="T18" s="38" t="str">
        <f t="shared" si="9"/>
        <v/>
      </c>
      <c r="BV18" s="204" t="s">
        <v>86</v>
      </c>
      <c r="BW18" s="204"/>
      <c r="BX18" s="204"/>
    </row>
    <row r="19" spans="2:76" x14ac:dyDescent="0.3">
      <c r="H19" s="119">
        <v>4</v>
      </c>
      <c r="I19" s="229">
        <v>1.3</v>
      </c>
      <c r="J19" s="229"/>
      <c r="K19" s="66"/>
      <c r="L19" s="124" t="s">
        <v>280</v>
      </c>
      <c r="M19" s="12">
        <f>R26+T26+M17+M11</f>
        <v>11.527009534184488</v>
      </c>
      <c r="N19" s="66"/>
      <c r="O19" s="117" t="s">
        <v>50</v>
      </c>
      <c r="P19" s="68">
        <v>2.5</v>
      </c>
      <c r="Q19" s="102"/>
      <c r="R19" s="23" t="str">
        <f t="shared" si="8"/>
        <v/>
      </c>
      <c r="S19" s="102">
        <v>1</v>
      </c>
      <c r="T19" s="38">
        <f t="shared" si="9"/>
        <v>1.4452475416613642E-3</v>
      </c>
      <c r="BV19" s="147" t="s">
        <v>87</v>
      </c>
      <c r="BW19" s="38">
        <f>(BW4-(BW5+BW13+BW16))-BW17</f>
        <v>8.9989020215455593</v>
      </c>
      <c r="BX19" s="203" t="str">
        <f>IF(BW21&gt;0.5,"No hay riesgo de cavitacion por presion de succion","Hay riesgo de cavitacion, por favor disminuya la altura estatica, aumentar el diametro o utilizar un material mas liso")</f>
        <v>No hay riesgo de cavitacion por presion de succion</v>
      </c>
    </row>
    <row r="20" spans="2:76" x14ac:dyDescent="0.3">
      <c r="H20" s="119">
        <v>6</v>
      </c>
      <c r="I20" s="229">
        <v>1.45</v>
      </c>
      <c r="J20" s="229"/>
      <c r="K20" s="66"/>
      <c r="N20" s="66"/>
      <c r="O20" s="117" t="s">
        <v>51</v>
      </c>
      <c r="P20" s="68">
        <v>0.35</v>
      </c>
      <c r="Q20" s="102">
        <v>2</v>
      </c>
      <c r="R20" s="23">
        <f t="shared" si="8"/>
        <v>4.0466931166518202E-4</v>
      </c>
      <c r="S20" s="102"/>
      <c r="T20" s="38" t="str">
        <f t="shared" si="9"/>
        <v/>
      </c>
      <c r="BV20" s="147" t="s">
        <v>101</v>
      </c>
      <c r="BW20" s="106">
        <v>2.1396000000000002</v>
      </c>
      <c r="BX20" s="203"/>
    </row>
    <row r="21" spans="2:76" x14ac:dyDescent="0.3">
      <c r="H21" s="119">
        <v>8</v>
      </c>
      <c r="I21" s="229">
        <v>1.6</v>
      </c>
      <c r="J21" s="229"/>
      <c r="K21" s="66"/>
      <c r="L21" s="66"/>
      <c r="M21" s="66"/>
      <c r="N21" s="66"/>
      <c r="O21" s="117" t="s">
        <v>52</v>
      </c>
      <c r="P21" s="68">
        <v>0.3</v>
      </c>
      <c r="Q21" s="102"/>
      <c r="R21" s="23" t="str">
        <f t="shared" si="8"/>
        <v/>
      </c>
      <c r="S21" s="102">
        <v>1</v>
      </c>
      <c r="T21" s="38">
        <f t="shared" si="9"/>
        <v>1.7342970499936369E-4</v>
      </c>
      <c r="BV21" s="147" t="s">
        <v>102</v>
      </c>
      <c r="BW21" s="38">
        <f>BW19-BW20</f>
        <v>6.8593020215455596</v>
      </c>
      <c r="BX21" s="203"/>
    </row>
    <row r="22" spans="2:76" x14ac:dyDescent="0.3">
      <c r="H22" s="119">
        <v>10</v>
      </c>
      <c r="I22" s="229">
        <v>1.6</v>
      </c>
      <c r="J22" s="229"/>
      <c r="K22" s="66"/>
      <c r="L22" s="66"/>
      <c r="M22" s="66"/>
      <c r="N22" s="66"/>
      <c r="O22" s="117" t="s">
        <v>37</v>
      </c>
      <c r="P22" s="68">
        <v>1</v>
      </c>
      <c r="Q22" s="102"/>
      <c r="R22" s="23" t="str">
        <f t="shared" si="8"/>
        <v/>
      </c>
      <c r="S22" s="102">
        <v>1</v>
      </c>
      <c r="T22" s="38">
        <f t="shared" si="9"/>
        <v>5.7809901666454572E-4</v>
      </c>
      <c r="BV22" s="204" t="s">
        <v>103</v>
      </c>
      <c r="BW22" s="204"/>
      <c r="BX22" s="204"/>
    </row>
    <row r="23" spans="2:76" x14ac:dyDescent="0.3">
      <c r="H23" s="119">
        <v>12</v>
      </c>
      <c r="I23" s="229">
        <v>1.7</v>
      </c>
      <c r="J23" s="229"/>
      <c r="K23" s="66"/>
      <c r="L23" s="66"/>
      <c r="M23" s="66"/>
      <c r="N23" s="66"/>
      <c r="O23" s="123" t="s">
        <v>53</v>
      </c>
      <c r="P23" s="51"/>
      <c r="Q23" s="19"/>
      <c r="R23" s="106">
        <f>0.692+0.3577+4.2384+9.6985+4.3+2.5+0.8+2.2685+0.334+0.5155+0.3473</f>
        <v>26.0519</v>
      </c>
      <c r="S23" s="19"/>
      <c r="T23" s="102">
        <f>0.194+0.4582+0.2205+2.804+7+0.9+0.4565+0.9+5.4111+10.1453+0.9338+2.4559+0.2603-0.1</f>
        <v>32.0396</v>
      </c>
      <c r="BV23" s="203" t="s">
        <v>105</v>
      </c>
      <c r="BW23" s="244">
        <f>(AC3*(BW10^(1/2)))/(BT4^(3/4))</f>
        <v>43.97742525283698</v>
      </c>
      <c r="BX23" s="110" t="s">
        <v>109</v>
      </c>
    </row>
    <row r="24" spans="2:76" x14ac:dyDescent="0.3">
      <c r="H24" s="119">
        <v>16</v>
      </c>
      <c r="I24" s="229">
        <v>1.8</v>
      </c>
      <c r="J24" s="229"/>
      <c r="K24" s="66"/>
      <c r="L24" s="66"/>
      <c r="M24" s="66"/>
      <c r="N24" s="66"/>
      <c r="O24" s="131" t="s">
        <v>15</v>
      </c>
      <c r="P24" s="129"/>
      <c r="Q24" s="19"/>
      <c r="R24" s="121">
        <f>SUM(R4:R23)</f>
        <v>26.060311340692468</v>
      </c>
      <c r="S24" s="19"/>
      <c r="T24" s="121">
        <f>SUM(T4:T23)</f>
        <v>32.047693386233306</v>
      </c>
      <c r="BV24" s="203"/>
      <c r="BW24" s="244"/>
      <c r="BX24" s="160"/>
    </row>
    <row r="25" spans="2:76" x14ac:dyDescent="0.3">
      <c r="H25" s="204" t="s">
        <v>241</v>
      </c>
      <c r="I25" s="204"/>
      <c r="J25" s="204"/>
      <c r="K25" s="120"/>
      <c r="L25" s="66"/>
      <c r="M25" s="66"/>
      <c r="N25" s="120"/>
      <c r="O25" s="131" t="s">
        <v>29</v>
      </c>
      <c r="P25" s="129"/>
      <c r="Q25" s="19"/>
      <c r="R25" s="121">
        <f>IF(F4="","",(F4/(0.2785*C10*(I4^2.63)))^1.852)</f>
        <v>4.8694588443655576E-3</v>
      </c>
      <c r="S25" s="19"/>
      <c r="T25" s="121">
        <f>IF(F4="","",(F4/(0.2785*C10*(I11^2.63)))^1.852)</f>
        <v>1.9770939190215279E-2</v>
      </c>
      <c r="BV25" s="203" t="s">
        <v>108</v>
      </c>
      <c r="BW25" s="244">
        <f>(AC3*SQRT(AH4))/(AF4^(3/4))</f>
        <v>22.207675449960732</v>
      </c>
      <c r="BX25" s="203" t="str">
        <f>IF(BW25&gt;BW23,"No hay cavitacion por exceso en las revoluciones del rotor","Si hay cavitacion por exceso en las revoluciones del rotor")</f>
        <v>Si hay cavitacion por exceso en las revoluciones del rotor</v>
      </c>
    </row>
    <row r="26" spans="2:76" ht="15.75" customHeight="1" x14ac:dyDescent="0.3">
      <c r="H26" s="119" t="s">
        <v>237</v>
      </c>
      <c r="I26" s="229">
        <v>0.45</v>
      </c>
      <c r="J26" s="229"/>
      <c r="K26" s="66"/>
      <c r="L26" s="66"/>
      <c r="M26" s="66"/>
      <c r="N26" s="66"/>
      <c r="O26" s="131" t="s">
        <v>64</v>
      </c>
      <c r="P26" s="129"/>
      <c r="Q26" s="19"/>
      <c r="R26" s="121">
        <f>IF(R24="","",R25*R24)</f>
        <v>0.12689961354485499</v>
      </c>
      <c r="S26" s="19"/>
      <c r="T26" s="121">
        <f>IF(T24="","",T25*T24)</f>
        <v>0.63361299712588304</v>
      </c>
      <c r="BV26" s="203"/>
      <c r="BW26" s="244"/>
      <c r="BX26" s="203"/>
    </row>
    <row r="27" spans="2:76" x14ac:dyDescent="0.3">
      <c r="H27" s="204" t="s">
        <v>274</v>
      </c>
      <c r="I27" s="204"/>
      <c r="J27" s="204"/>
      <c r="L27" s="66"/>
      <c r="M27" s="66"/>
      <c r="BV27" s="230"/>
      <c r="BW27" s="230"/>
      <c r="BX27" s="230"/>
    </row>
    <row r="28" spans="2:76" x14ac:dyDescent="0.3">
      <c r="H28" s="119" t="s">
        <v>237</v>
      </c>
      <c r="I28" s="229">
        <v>1</v>
      </c>
      <c r="J28" s="229"/>
      <c r="K28" s="120"/>
      <c r="N28" s="120"/>
      <c r="BV28" s="149"/>
      <c r="BW28" s="9"/>
      <c r="BX28" s="9"/>
    </row>
    <row r="29" spans="2:76" ht="15" customHeight="1" x14ac:dyDescent="0.3">
      <c r="H29" s="204" t="s">
        <v>273</v>
      </c>
      <c r="I29" s="204"/>
      <c r="J29" s="204"/>
      <c r="K29" s="66"/>
      <c r="L29" s="66"/>
      <c r="M29" s="66"/>
      <c r="N29" s="66"/>
      <c r="BV29" s="149"/>
      <c r="BW29" s="26"/>
      <c r="BX29" s="9"/>
    </row>
    <row r="30" spans="2:76" ht="15" customHeight="1" x14ac:dyDescent="0.3">
      <c r="H30" s="119" t="s">
        <v>237</v>
      </c>
      <c r="I30" s="229">
        <v>3</v>
      </c>
      <c r="J30" s="229"/>
      <c r="K30" s="120"/>
      <c r="L30" s="66"/>
      <c r="M30" s="66"/>
      <c r="N30" s="120"/>
      <c r="BV30" s="149"/>
      <c r="BW30" s="26"/>
      <c r="BX30" s="9"/>
    </row>
    <row r="31" spans="2:76" ht="15" customHeight="1" x14ac:dyDescent="0.3">
      <c r="K31" s="66"/>
      <c r="L31" s="120"/>
      <c r="M31" s="66"/>
      <c r="N31" s="66"/>
      <c r="BV31" s="149"/>
      <c r="BW31" s="26"/>
      <c r="BX31" s="9"/>
    </row>
    <row r="32" spans="2:76" x14ac:dyDescent="0.3">
      <c r="L32" s="66"/>
      <c r="M32" s="66"/>
      <c r="BV32" s="149"/>
      <c r="BW32" s="26"/>
      <c r="BX32" s="9"/>
    </row>
    <row r="33" spans="74:76" ht="15" customHeight="1" x14ac:dyDescent="0.3">
      <c r="BV33" s="149"/>
      <c r="BW33" s="26"/>
      <c r="BX33" s="9"/>
    </row>
    <row r="34" spans="74:76" x14ac:dyDescent="0.3">
      <c r="BV34" s="149"/>
      <c r="BW34" s="26"/>
      <c r="BX34" s="9"/>
    </row>
    <row r="35" spans="74:76" x14ac:dyDescent="0.3">
      <c r="BV35" s="149"/>
      <c r="BW35" s="26"/>
      <c r="BX35" s="9"/>
    </row>
    <row r="38" spans="74:76" ht="15" customHeight="1" x14ac:dyDescent="0.3"/>
    <row r="44" spans="74:76" ht="15" customHeight="1" x14ac:dyDescent="0.3"/>
    <row r="58" ht="15" customHeight="1" x14ac:dyDescent="0.3"/>
    <row r="69" spans="122:124" x14ac:dyDescent="0.3">
      <c r="DR69" s="247" t="s">
        <v>92</v>
      </c>
      <c r="DS69" s="247" t="s">
        <v>93</v>
      </c>
    </row>
    <row r="70" spans="122:124" x14ac:dyDescent="0.3">
      <c r="DR70" s="247"/>
      <c r="DS70" s="247"/>
    </row>
    <row r="71" spans="122:124" x14ac:dyDescent="0.3">
      <c r="DR71" s="247"/>
      <c r="DS71" s="247"/>
    </row>
    <row r="72" spans="122:124" x14ac:dyDescent="0.3">
      <c r="DR72" s="102">
        <v>0</v>
      </c>
      <c r="DS72" s="30">
        <v>0.61</v>
      </c>
      <c r="DT72" s="25">
        <f>DS72*0.10204081632653</f>
        <v>6.2244897959183303E-2</v>
      </c>
    </row>
    <row r="73" spans="122:124" ht="15" customHeight="1" x14ac:dyDescent="0.3">
      <c r="DR73" s="119">
        <v>1</v>
      </c>
      <c r="DS73" s="121">
        <f>(((DS$77-DS$72)*DR73)/5)+DS$72</f>
        <v>0.66200000000000003</v>
      </c>
      <c r="DT73" s="25">
        <f t="shared" ref="DT73:DT122" si="15">DS73*0.10204081632653</f>
        <v>6.7551020408162868E-2</v>
      </c>
    </row>
    <row r="74" spans="122:124" x14ac:dyDescent="0.3">
      <c r="DR74" s="119">
        <v>2</v>
      </c>
      <c r="DS74" s="121">
        <f>(((DS$77-DS$72)*DR74)/5)+DS$72</f>
        <v>0.71399999999999997</v>
      </c>
      <c r="DT74" s="25">
        <f t="shared" si="15"/>
        <v>7.2857142857142426E-2</v>
      </c>
    </row>
    <row r="75" spans="122:124" x14ac:dyDescent="0.3">
      <c r="DR75" s="119">
        <v>3</v>
      </c>
      <c r="DS75" s="121">
        <f>(((DS$77-DS$72)*DR75)/5)+DS$72</f>
        <v>0.76600000000000001</v>
      </c>
      <c r="DT75" s="25">
        <f t="shared" si="15"/>
        <v>7.8163265306121985E-2</v>
      </c>
    </row>
    <row r="76" spans="122:124" x14ac:dyDescent="0.3">
      <c r="DR76" s="119">
        <v>4</v>
      </c>
      <c r="DS76" s="121">
        <f>(((DS$77-DS$72)*DR76)/5)+DS$72</f>
        <v>0.81800000000000006</v>
      </c>
      <c r="DT76" s="25">
        <f t="shared" si="15"/>
        <v>8.3469387755101543E-2</v>
      </c>
    </row>
    <row r="77" spans="122:124" x14ac:dyDescent="0.3">
      <c r="DR77" s="102">
        <v>5</v>
      </c>
      <c r="DS77" s="30">
        <v>0.87</v>
      </c>
      <c r="DT77" s="25">
        <f t="shared" si="15"/>
        <v>8.8775510204081101E-2</v>
      </c>
    </row>
    <row r="78" spans="122:124" x14ac:dyDescent="0.3">
      <c r="DR78" s="119">
        <v>6</v>
      </c>
      <c r="DS78" s="121">
        <f>(((DS$82-DS$77)*(DR78-DR$77)/5)+DS$77)</f>
        <v>0.94199999999999995</v>
      </c>
      <c r="DT78" s="25">
        <f t="shared" si="15"/>
        <v>9.6122448979591255E-2</v>
      </c>
    </row>
    <row r="79" spans="122:124" x14ac:dyDescent="0.3">
      <c r="DR79" s="119">
        <v>7</v>
      </c>
      <c r="DS79" s="121">
        <f>(((DS$82-DS$77)*(DR79-DR$77)/5)+DS$77)</f>
        <v>1.014</v>
      </c>
      <c r="DT79" s="25">
        <f t="shared" si="15"/>
        <v>0.10346938775510142</v>
      </c>
    </row>
    <row r="80" spans="122:124" x14ac:dyDescent="0.3">
      <c r="DR80" s="119">
        <v>8</v>
      </c>
      <c r="DS80" s="121">
        <f>(((DS$82-DS$77)*(DR80-DR$77)/5)+DS$77)</f>
        <v>1.0860000000000001</v>
      </c>
      <c r="DT80" s="25">
        <f t="shared" si="15"/>
        <v>0.11081632653061159</v>
      </c>
    </row>
    <row r="81" spans="122:124" x14ac:dyDescent="0.3">
      <c r="DR81" s="119">
        <v>9</v>
      </c>
      <c r="DS81" s="121">
        <f>(((DS$82-DS$77)*(DR81-DR$77)/5)+DS$77)</f>
        <v>1.1579999999999999</v>
      </c>
      <c r="DT81" s="25">
        <f t="shared" si="15"/>
        <v>0.11816326530612174</v>
      </c>
    </row>
    <row r="82" spans="122:124" x14ac:dyDescent="0.3">
      <c r="DR82" s="102">
        <v>10</v>
      </c>
      <c r="DS82" s="30">
        <v>1.23</v>
      </c>
      <c r="DT82" s="25">
        <f t="shared" si="15"/>
        <v>0.12551020408163191</v>
      </c>
    </row>
    <row r="83" spans="122:124" x14ac:dyDescent="0.3">
      <c r="DR83" s="119">
        <v>11</v>
      </c>
      <c r="DS83" s="121">
        <f>(((DS$87-DS$82)*(DR83-DR$82)/5)+DS$82)</f>
        <v>1.3240000000000001</v>
      </c>
      <c r="DT83" s="25">
        <f t="shared" si="15"/>
        <v>0.13510204081632574</v>
      </c>
    </row>
    <row r="84" spans="122:124" x14ac:dyDescent="0.3">
      <c r="DR84" s="119">
        <v>12</v>
      </c>
      <c r="DS84" s="121">
        <f>(((DS$87-DS$82)*(DR84-DR$82)/5)+DS$82)</f>
        <v>1.4179999999999999</v>
      </c>
      <c r="DT84" s="25">
        <f t="shared" si="15"/>
        <v>0.14469387755101953</v>
      </c>
    </row>
    <row r="85" spans="122:124" x14ac:dyDescent="0.3">
      <c r="DR85" s="119">
        <v>13</v>
      </c>
      <c r="DS85" s="121">
        <f>(((DS$87-DS$82)*(DR85-DR$82)/5)+DS$82)</f>
        <v>1.512</v>
      </c>
      <c r="DT85" s="25">
        <f t="shared" si="15"/>
        <v>0.15428571428571336</v>
      </c>
    </row>
    <row r="86" spans="122:124" x14ac:dyDescent="0.3">
      <c r="DR86" s="119">
        <v>14</v>
      </c>
      <c r="DS86" s="121">
        <f>(((DS$87-DS$82)*(DR86-DR$82)/5)+DS$82)</f>
        <v>1.6059999999999999</v>
      </c>
      <c r="DT86" s="25">
        <f t="shared" si="15"/>
        <v>0.16387755102040719</v>
      </c>
    </row>
    <row r="87" spans="122:124" x14ac:dyDescent="0.3">
      <c r="DR87" s="102">
        <v>15</v>
      </c>
      <c r="DS87" s="30">
        <v>1.7</v>
      </c>
      <c r="DT87" s="25">
        <f t="shared" si="15"/>
        <v>0.17346938775510101</v>
      </c>
    </row>
    <row r="88" spans="122:124" x14ac:dyDescent="0.3">
      <c r="DR88" s="119">
        <v>16</v>
      </c>
      <c r="DS88" s="121">
        <f>((($DS$92-$DS$87)*(DR88-$DR$87)/5)+$DS$87)</f>
        <v>1.8279999999999998</v>
      </c>
      <c r="DT88" s="25">
        <f t="shared" si="15"/>
        <v>0.18653061224489684</v>
      </c>
    </row>
    <row r="89" spans="122:124" x14ac:dyDescent="0.3">
      <c r="DR89" s="119">
        <v>17</v>
      </c>
      <c r="DS89" s="121">
        <f>((($DS$92-$DS$87)*(DR89-$DR$87)/5)+$DS$87)</f>
        <v>1.956</v>
      </c>
      <c r="DT89" s="25">
        <f t="shared" si="15"/>
        <v>0.19959183673469269</v>
      </c>
    </row>
    <row r="90" spans="122:124" x14ac:dyDescent="0.3">
      <c r="DR90" s="119">
        <v>18</v>
      </c>
      <c r="DS90" s="121">
        <f>((($DS$92-$DS$87)*(DR90-$DR$87)/5)+$DS$87)</f>
        <v>2.0840000000000001</v>
      </c>
      <c r="DT90" s="25">
        <f t="shared" si="15"/>
        <v>0.21265306122448854</v>
      </c>
    </row>
    <row r="91" spans="122:124" x14ac:dyDescent="0.3">
      <c r="DR91" s="119">
        <v>19</v>
      </c>
      <c r="DS91" s="121">
        <f>((($DS$92-$DS$87)*(DR91-$DR$87)/5)+$DS$87)</f>
        <v>2.2119999999999997</v>
      </c>
      <c r="DT91" s="25">
        <f t="shared" si="15"/>
        <v>0.22571428571428434</v>
      </c>
    </row>
    <row r="92" spans="122:124" x14ac:dyDescent="0.3">
      <c r="DR92" s="102">
        <v>20</v>
      </c>
      <c r="DS92" s="30">
        <v>2.34</v>
      </c>
      <c r="DT92" s="25">
        <f t="shared" si="15"/>
        <v>0.23877551020408019</v>
      </c>
    </row>
    <row r="93" spans="122:124" x14ac:dyDescent="0.3">
      <c r="DR93" s="119">
        <v>21</v>
      </c>
      <c r="DS93" s="121">
        <f>((($DS$97-$DS$92)*(DR93-$DR$92)/5)+$DS$92)</f>
        <v>2.5059999999999998</v>
      </c>
      <c r="DT93" s="25">
        <f t="shared" si="15"/>
        <v>0.25571428571428417</v>
      </c>
    </row>
    <row r="94" spans="122:124" x14ac:dyDescent="0.3">
      <c r="DR94" s="119">
        <v>22</v>
      </c>
      <c r="DS94" s="121">
        <f>((($DS$97-$DS$92)*(DR94-$DR$92)/5)+$DS$92)</f>
        <v>2.6719999999999997</v>
      </c>
      <c r="DT94" s="25">
        <f t="shared" si="15"/>
        <v>0.27265306122448812</v>
      </c>
    </row>
    <row r="95" spans="122:124" x14ac:dyDescent="0.3">
      <c r="DR95" s="119">
        <v>23</v>
      </c>
      <c r="DS95" s="121">
        <f>((($DS$97-$DS$92)*(DR95-$DR$92)/5)+$DS$92)</f>
        <v>2.8380000000000001</v>
      </c>
      <c r="DT95" s="25">
        <f t="shared" si="15"/>
        <v>0.28959183673469213</v>
      </c>
    </row>
    <row r="96" spans="122:124" x14ac:dyDescent="0.3">
      <c r="DR96" s="119">
        <v>24</v>
      </c>
      <c r="DS96" s="121">
        <f>((($DS$97-$DS$92)*(DR96-$DR$92)/5)+$DS$92)</f>
        <v>3.004</v>
      </c>
      <c r="DT96" s="25">
        <f t="shared" si="15"/>
        <v>0.30653061224489614</v>
      </c>
    </row>
    <row r="97" spans="122:124" x14ac:dyDescent="0.3">
      <c r="DR97" s="102">
        <v>25</v>
      </c>
      <c r="DS97" s="30">
        <v>3.17</v>
      </c>
      <c r="DT97" s="25">
        <f t="shared" si="15"/>
        <v>0.32346938775510009</v>
      </c>
    </row>
    <row r="98" spans="122:124" x14ac:dyDescent="0.3">
      <c r="DR98" s="119">
        <v>26</v>
      </c>
      <c r="DS98" s="121">
        <f>((($DS$102-$DS$97)*(DR98-$DR$97)/5)+$DS$97)</f>
        <v>3.3839999999999999</v>
      </c>
      <c r="DT98" s="25">
        <f t="shared" si="15"/>
        <v>0.34530612244897751</v>
      </c>
    </row>
    <row r="99" spans="122:124" x14ac:dyDescent="0.3">
      <c r="DR99" s="119">
        <v>27</v>
      </c>
      <c r="DS99" s="121">
        <f>((($DS$102-$DS$97)*(DR99-$DR$97)/5)+$DS$97)</f>
        <v>3.5979999999999999</v>
      </c>
      <c r="DT99" s="25">
        <f t="shared" si="15"/>
        <v>0.36714285714285494</v>
      </c>
    </row>
    <row r="100" spans="122:124" x14ac:dyDescent="0.3">
      <c r="DR100" s="119">
        <v>28</v>
      </c>
      <c r="DS100" s="121">
        <f>((($DS$102-$DS$97)*(DR100-$DR$97)/5)+$DS$97)</f>
        <v>3.8120000000000003</v>
      </c>
      <c r="DT100" s="25">
        <f t="shared" si="15"/>
        <v>0.38897959183673242</v>
      </c>
    </row>
    <row r="101" spans="122:124" x14ac:dyDescent="0.3">
      <c r="DR101" s="119">
        <v>29</v>
      </c>
      <c r="DS101" s="121">
        <f>((($DS$102-$DS$97)*(DR101-$DR$97)/5)+$DS$97)</f>
        <v>4.0259999999999998</v>
      </c>
      <c r="DT101" s="25">
        <f t="shared" si="15"/>
        <v>0.41081632653060979</v>
      </c>
    </row>
    <row r="102" spans="122:124" x14ac:dyDescent="0.3">
      <c r="DR102" s="102">
        <v>30</v>
      </c>
      <c r="DS102" s="30">
        <v>4.24</v>
      </c>
      <c r="DT102" s="25">
        <f t="shared" si="15"/>
        <v>0.43265306122448721</v>
      </c>
    </row>
    <row r="103" spans="122:124" x14ac:dyDescent="0.3">
      <c r="DR103" s="119">
        <v>31</v>
      </c>
      <c r="DS103" s="121">
        <f t="shared" ref="DS103:DS111" si="16">((($DS$112-$DS$102)*(DR103-$DR$102)/10)+$DS$102)</f>
        <v>4.5540000000000003</v>
      </c>
      <c r="DT103" s="25">
        <f t="shared" si="15"/>
        <v>0.46469387755101765</v>
      </c>
    </row>
    <row r="104" spans="122:124" x14ac:dyDescent="0.3">
      <c r="DR104" s="119">
        <v>32</v>
      </c>
      <c r="DS104" s="121">
        <f t="shared" si="16"/>
        <v>4.8680000000000003</v>
      </c>
      <c r="DT104" s="25">
        <f t="shared" si="15"/>
        <v>0.49673469387754809</v>
      </c>
    </row>
    <row r="105" spans="122:124" x14ac:dyDescent="0.3">
      <c r="DR105" s="119">
        <v>33</v>
      </c>
      <c r="DS105" s="121">
        <f t="shared" si="16"/>
        <v>5.1820000000000004</v>
      </c>
      <c r="DT105" s="25">
        <f t="shared" si="15"/>
        <v>0.52877551020407854</v>
      </c>
    </row>
    <row r="106" spans="122:124" x14ac:dyDescent="0.3">
      <c r="DR106" s="119">
        <v>34</v>
      </c>
      <c r="DS106" s="121">
        <f t="shared" si="16"/>
        <v>5.4960000000000004</v>
      </c>
      <c r="DT106" s="25">
        <f t="shared" si="15"/>
        <v>0.56081632653060898</v>
      </c>
    </row>
    <row r="107" spans="122:124" x14ac:dyDescent="0.3">
      <c r="DR107" s="119">
        <v>35</v>
      </c>
      <c r="DS107" s="121">
        <f t="shared" si="16"/>
        <v>5.8100000000000005</v>
      </c>
      <c r="DT107" s="25">
        <f t="shared" si="15"/>
        <v>0.59285714285713942</v>
      </c>
    </row>
    <row r="108" spans="122:124" x14ac:dyDescent="0.3">
      <c r="DR108" s="119">
        <v>36</v>
      </c>
      <c r="DS108" s="121">
        <f t="shared" si="16"/>
        <v>6.1239999999999997</v>
      </c>
      <c r="DT108" s="25">
        <f t="shared" si="15"/>
        <v>0.62489795918366975</v>
      </c>
    </row>
    <row r="109" spans="122:124" x14ac:dyDescent="0.3">
      <c r="DR109" s="119">
        <v>37</v>
      </c>
      <c r="DS109" s="121">
        <f t="shared" si="16"/>
        <v>6.4379999999999997</v>
      </c>
      <c r="DT109" s="25">
        <f t="shared" si="15"/>
        <v>0.65693877551020019</v>
      </c>
    </row>
    <row r="110" spans="122:124" x14ac:dyDescent="0.3">
      <c r="DR110" s="119">
        <v>38</v>
      </c>
      <c r="DS110" s="121">
        <f t="shared" si="16"/>
        <v>6.7519999999999998</v>
      </c>
      <c r="DT110" s="25">
        <f t="shared" si="15"/>
        <v>0.68897959183673052</v>
      </c>
    </row>
    <row r="111" spans="122:124" x14ac:dyDescent="0.3">
      <c r="DR111" s="119">
        <v>39</v>
      </c>
      <c r="DS111" s="121">
        <f t="shared" si="16"/>
        <v>7.0659999999999998</v>
      </c>
      <c r="DT111" s="25">
        <f t="shared" si="15"/>
        <v>0.72102040816326096</v>
      </c>
    </row>
    <row r="112" spans="122:124" x14ac:dyDescent="0.3">
      <c r="DR112" s="102">
        <v>40</v>
      </c>
      <c r="DS112" s="30">
        <v>7.38</v>
      </c>
      <c r="DT112" s="25">
        <f t="shared" si="15"/>
        <v>0.7530612244897914</v>
      </c>
    </row>
    <row r="113" spans="122:124" x14ac:dyDescent="0.3">
      <c r="DR113" s="119">
        <v>41</v>
      </c>
      <c r="DS113" s="121">
        <f t="shared" ref="DS113:DS121" si="17">((($DS$122-$DS$112)*(DR113-$DR$112)/10)+$DS$112)</f>
        <v>7.875</v>
      </c>
      <c r="DT113" s="25">
        <f t="shared" si="15"/>
        <v>0.80357142857142383</v>
      </c>
    </row>
    <row r="114" spans="122:124" x14ac:dyDescent="0.3">
      <c r="DR114" s="119">
        <v>42</v>
      </c>
      <c r="DS114" s="121">
        <f t="shared" si="17"/>
        <v>8.3699999999999992</v>
      </c>
      <c r="DT114" s="25">
        <f t="shared" si="15"/>
        <v>0.85408163265305603</v>
      </c>
    </row>
    <row r="115" spans="122:124" x14ac:dyDescent="0.3">
      <c r="DR115" s="119">
        <v>43</v>
      </c>
      <c r="DS115" s="121">
        <f t="shared" si="17"/>
        <v>8.8650000000000002</v>
      </c>
      <c r="DT115" s="25">
        <f t="shared" si="15"/>
        <v>0.90459183673468846</v>
      </c>
    </row>
    <row r="116" spans="122:124" x14ac:dyDescent="0.3">
      <c r="DR116" s="119">
        <v>44</v>
      </c>
      <c r="DS116" s="121">
        <f t="shared" si="17"/>
        <v>9.36</v>
      </c>
      <c r="DT116" s="25">
        <f t="shared" si="15"/>
        <v>0.95510204081632077</v>
      </c>
    </row>
    <row r="117" spans="122:124" x14ac:dyDescent="0.3">
      <c r="DR117" s="119">
        <v>45</v>
      </c>
      <c r="DS117" s="121">
        <f t="shared" si="17"/>
        <v>9.8550000000000004</v>
      </c>
      <c r="DT117" s="25">
        <f t="shared" si="15"/>
        <v>1.0056122448979532</v>
      </c>
    </row>
    <row r="118" spans="122:124" x14ac:dyDescent="0.3">
      <c r="DR118" s="119">
        <v>46</v>
      </c>
      <c r="DS118" s="121">
        <f t="shared" si="17"/>
        <v>10.35</v>
      </c>
      <c r="DT118" s="25">
        <f t="shared" si="15"/>
        <v>1.0561224489795855</v>
      </c>
    </row>
    <row r="119" spans="122:124" x14ac:dyDescent="0.3">
      <c r="DR119" s="119">
        <v>47</v>
      </c>
      <c r="DS119" s="121">
        <f t="shared" si="17"/>
        <v>10.844999999999999</v>
      </c>
      <c r="DT119" s="25">
        <f t="shared" si="15"/>
        <v>1.1066326530612178</v>
      </c>
    </row>
    <row r="120" spans="122:124" x14ac:dyDescent="0.3">
      <c r="DR120" s="119">
        <v>48</v>
      </c>
      <c r="DS120" s="121">
        <f t="shared" si="17"/>
        <v>11.34</v>
      </c>
      <c r="DT120" s="25">
        <f t="shared" si="15"/>
        <v>1.1571428571428501</v>
      </c>
    </row>
    <row r="121" spans="122:124" x14ac:dyDescent="0.3">
      <c r="DR121" s="119">
        <v>49</v>
      </c>
      <c r="DS121" s="121">
        <f t="shared" si="17"/>
        <v>11.835000000000001</v>
      </c>
      <c r="DT121" s="25">
        <f t="shared" si="15"/>
        <v>1.2076530612244827</v>
      </c>
    </row>
    <row r="122" spans="122:124" x14ac:dyDescent="0.3">
      <c r="DR122" s="102">
        <v>50</v>
      </c>
      <c r="DS122" s="30">
        <v>12.33</v>
      </c>
      <c r="DT122" s="25">
        <f t="shared" si="15"/>
        <v>1.258163265306115</v>
      </c>
    </row>
    <row r="161" spans="3:3" x14ac:dyDescent="0.3">
      <c r="C161" s="111">
        <v>0.25</v>
      </c>
    </row>
    <row r="162" spans="3:3" x14ac:dyDescent="0.3">
      <c r="C162" s="111">
        <v>0.5</v>
      </c>
    </row>
    <row r="163" spans="3:3" x14ac:dyDescent="0.3">
      <c r="C163" s="111">
        <v>0.75</v>
      </c>
    </row>
    <row r="164" spans="3:3" x14ac:dyDescent="0.3">
      <c r="C164" s="125">
        <v>1</v>
      </c>
    </row>
    <row r="165" spans="3:3" x14ac:dyDescent="0.3">
      <c r="C165" s="111">
        <v>1.5</v>
      </c>
    </row>
    <row r="166" spans="3:3" x14ac:dyDescent="0.3">
      <c r="C166" s="125">
        <v>2</v>
      </c>
    </row>
    <row r="167" spans="3:3" x14ac:dyDescent="0.3">
      <c r="C167" s="125">
        <v>3</v>
      </c>
    </row>
    <row r="168" spans="3:3" x14ac:dyDescent="0.3">
      <c r="C168" s="125">
        <v>4</v>
      </c>
    </row>
    <row r="169" spans="3:3" x14ac:dyDescent="0.3">
      <c r="C169" s="125">
        <v>5</v>
      </c>
    </row>
    <row r="170" spans="3:3" x14ac:dyDescent="0.3">
      <c r="C170" s="125">
        <v>6</v>
      </c>
    </row>
    <row r="171" spans="3:3" x14ac:dyDescent="0.3">
      <c r="C171" s="125">
        <v>7</v>
      </c>
    </row>
    <row r="172" spans="3:3" x14ac:dyDescent="0.3">
      <c r="C172" s="125">
        <v>8</v>
      </c>
    </row>
    <row r="173" spans="3:3" x14ac:dyDescent="0.3">
      <c r="C173" s="125">
        <v>9</v>
      </c>
    </row>
    <row r="174" spans="3:3" x14ac:dyDescent="0.3">
      <c r="C174" s="125">
        <v>10</v>
      </c>
    </row>
    <row r="175" spans="3:3" x14ac:dyDescent="0.3">
      <c r="C175" s="125">
        <v>11</v>
      </c>
    </row>
    <row r="176" spans="3:3" x14ac:dyDescent="0.3">
      <c r="C176" s="125">
        <v>12</v>
      </c>
    </row>
    <row r="177" spans="3:3" x14ac:dyDescent="0.3">
      <c r="C177" s="125">
        <v>13</v>
      </c>
    </row>
    <row r="178" spans="3:3" x14ac:dyDescent="0.3">
      <c r="C178" s="125">
        <v>14</v>
      </c>
    </row>
    <row r="179" spans="3:3" x14ac:dyDescent="0.3">
      <c r="C179" s="125">
        <v>15</v>
      </c>
    </row>
    <row r="180" spans="3:3" x14ac:dyDescent="0.3">
      <c r="C180" s="125">
        <v>16</v>
      </c>
    </row>
    <row r="181" spans="3:3" x14ac:dyDescent="0.3">
      <c r="C181" s="125">
        <v>17</v>
      </c>
    </row>
    <row r="182" spans="3:3" x14ac:dyDescent="0.3">
      <c r="C182" s="125">
        <v>18</v>
      </c>
    </row>
    <row r="183" spans="3:3" x14ac:dyDescent="0.3">
      <c r="C183" s="125">
        <v>19</v>
      </c>
    </row>
    <row r="184" spans="3:3" x14ac:dyDescent="0.3">
      <c r="C184" s="125">
        <v>20</v>
      </c>
    </row>
    <row r="185" spans="3:3" x14ac:dyDescent="0.3">
      <c r="C185" s="125">
        <v>21</v>
      </c>
    </row>
    <row r="186" spans="3:3" x14ac:dyDescent="0.3">
      <c r="C186" s="125">
        <v>22</v>
      </c>
    </row>
    <row r="187" spans="3:3" x14ac:dyDescent="0.3">
      <c r="C187" s="125">
        <v>23</v>
      </c>
    </row>
    <row r="188" spans="3:3" x14ac:dyDescent="0.3">
      <c r="C188" s="125">
        <v>24</v>
      </c>
    </row>
    <row r="229" spans="49:49" x14ac:dyDescent="0.3">
      <c r="AW229" s="125">
        <v>5</v>
      </c>
    </row>
    <row r="230" spans="49:49" x14ac:dyDescent="0.3">
      <c r="AW230" s="125">
        <v>6</v>
      </c>
    </row>
    <row r="231" spans="49:49" x14ac:dyDescent="0.3">
      <c r="AW231" s="125">
        <v>7</v>
      </c>
    </row>
    <row r="232" spans="49:49" x14ac:dyDescent="0.3">
      <c r="AW232" s="125">
        <v>8</v>
      </c>
    </row>
    <row r="233" spans="49:49" x14ac:dyDescent="0.3">
      <c r="AW233" s="125">
        <v>9</v>
      </c>
    </row>
    <row r="234" spans="49:49" x14ac:dyDescent="0.3">
      <c r="AW234" s="125">
        <v>10</v>
      </c>
    </row>
  </sheetData>
  <mergeCells count="67">
    <mergeCell ref="P2:P3"/>
    <mergeCell ref="B2:C2"/>
    <mergeCell ref="E2:F2"/>
    <mergeCell ref="H2:J2"/>
    <mergeCell ref="L2:M2"/>
    <mergeCell ref="O2:O3"/>
    <mergeCell ref="AZ2:AZ3"/>
    <mergeCell ref="Q2:R2"/>
    <mergeCell ref="S2:T2"/>
    <mergeCell ref="V2:V3"/>
    <mergeCell ref="W2:W3"/>
    <mergeCell ref="X2:X3"/>
    <mergeCell ref="Y2:Z2"/>
    <mergeCell ref="BM2:BM3"/>
    <mergeCell ref="BV2:BX2"/>
    <mergeCell ref="L3:M3"/>
    <mergeCell ref="AC3:AC4"/>
    <mergeCell ref="BV3:BX3"/>
    <mergeCell ref="BB2:BB3"/>
    <mergeCell ref="BC2:BD2"/>
    <mergeCell ref="BE2:BF2"/>
    <mergeCell ref="BG2:BG3"/>
    <mergeCell ref="BH2:BI2"/>
    <mergeCell ref="BJ2:BL2"/>
    <mergeCell ref="AA2:AB2"/>
    <mergeCell ref="AD2:AF2"/>
    <mergeCell ref="AG2:AH2"/>
    <mergeCell ref="AI2:AL2"/>
    <mergeCell ref="AY2:AY3"/>
    <mergeCell ref="L12:M12"/>
    <mergeCell ref="L13:M13"/>
    <mergeCell ref="BV5:BV6"/>
    <mergeCell ref="BW5:BW6"/>
    <mergeCell ref="H7:J7"/>
    <mergeCell ref="BV7:BX7"/>
    <mergeCell ref="H14:J14"/>
    <mergeCell ref="L14:M15"/>
    <mergeCell ref="BV14:BX14"/>
    <mergeCell ref="H15:H16"/>
    <mergeCell ref="I15:J16"/>
    <mergeCell ref="L16:M16"/>
    <mergeCell ref="I17:J17"/>
    <mergeCell ref="I18:J18"/>
    <mergeCell ref="L18:M18"/>
    <mergeCell ref="BV18:BX18"/>
    <mergeCell ref="I19:J19"/>
    <mergeCell ref="BX19:BX21"/>
    <mergeCell ref="I20:J20"/>
    <mergeCell ref="H27:J27"/>
    <mergeCell ref="BV27:BX27"/>
    <mergeCell ref="I21:J21"/>
    <mergeCell ref="I22:J22"/>
    <mergeCell ref="BV22:BX22"/>
    <mergeCell ref="I23:J23"/>
    <mergeCell ref="BV23:BV24"/>
    <mergeCell ref="BW23:BW24"/>
    <mergeCell ref="I24:J24"/>
    <mergeCell ref="H25:J25"/>
    <mergeCell ref="BV25:BV26"/>
    <mergeCell ref="BW25:BW26"/>
    <mergeCell ref="BX25:BX26"/>
    <mergeCell ref="I26:J26"/>
    <mergeCell ref="DS69:DS71"/>
    <mergeCell ref="DR69:DR71"/>
    <mergeCell ref="I28:J28"/>
    <mergeCell ref="H29:J29"/>
    <mergeCell ref="I30:J30"/>
  </mergeCells>
  <dataValidations count="8">
    <dataValidation type="list" allowBlank="1" showInputMessage="1" showErrorMessage="1" prompt="Tener en cuenta los valores de abajo segun el nivel de complejidad, pero este puede variar dependiendo de la economia o de la cantidad de volumen que se necesite para el tanque de almacenamiento" sqref="C7" xr:uid="{00000000-0002-0000-0300-000000000000}">
      <formula1>$C$164:$C$188</formula1>
    </dataValidation>
    <dataValidation type="list" allowBlank="1" showInputMessage="1" showErrorMessage="1" promptTitle="Aviso" prompt="la cantidad minima de datos es de 5 y la maxima es de 10, para la obtencion de la curva que caracteriza al sistema." sqref="AZ2:AZ3" xr:uid="{00000000-0002-0000-0300-000001000000}">
      <formula1>$AW$229:$AW$234</formula1>
    </dataValidation>
    <dataValidation allowBlank="1" showInputMessage="1" showErrorMessage="1" promptTitle="Aviso" prompt="Se toma el valor de la grafica de NPSH con respecto al caudal de diseño del pozo. Esta grafica se encuentra en la ficha tecnica de la bomba que seleccione el diseñador." sqref="BW20" xr:uid="{00000000-0002-0000-0300-000002000000}"/>
    <dataValidation allowBlank="1" showInputMessage="1" showErrorMessage="1" prompt="Mirar tabla B.5.1 del RAS 2000 pag. B77. Este valor depende del nivel de complejidad." sqref="C3:C4" xr:uid="{00000000-0002-0000-0300-000003000000}"/>
    <dataValidation type="list" allowBlank="1" showInputMessage="1" showErrorMessage="1" sqref="C9" xr:uid="{00000000-0002-0000-0300-000004000000}">
      <formula1>$DR$72:$DR$122</formula1>
    </dataValidation>
    <dataValidation type="list" allowBlank="1" showInputMessage="1" showErrorMessage="1" prompt="Si se desea tener en cuenta el recomendado se cambia los valores por el valor recomendado, si no entonces se deja el que el diseñador selecciona a criterio propio" sqref="I10" xr:uid="{00000000-0002-0000-0300-000005000000}">
      <formula1>$C$161:$C$188</formula1>
    </dataValidation>
    <dataValidation type="list" allowBlank="1" showInputMessage="1" showErrorMessage="1" prompt="Se recomiendo que el diametro sea hasta dos veces mayor que el diametro de impulsion. En caso de que la bomba tenga un diametro menor al de la tuberia de succión se colocara una reduccion en la parte superior horizontal " sqref="I3" xr:uid="{00000000-0002-0000-0300-000006000000}">
      <formula1>$C$161:$C$188</formula1>
    </dataValidation>
    <dataValidation type="list" allowBlank="1" showInputMessage="1" showErrorMessage="1" sqref="Y4 AA4" xr:uid="{00000000-0002-0000-0300-000007000000}">
      <formula1>$C$161:$C$188</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BO164"/>
  <sheetViews>
    <sheetView topLeftCell="AL1" zoomScale="90" zoomScaleNormal="90" workbookViewId="0">
      <selection activeCell="BA4" sqref="BA4"/>
    </sheetView>
  </sheetViews>
  <sheetFormatPr baseColWidth="10" defaultColWidth="11.5546875" defaultRowHeight="14.4" x14ac:dyDescent="0.3"/>
  <cols>
    <col min="1" max="1" width="5.6640625" style="6" customWidth="1"/>
    <col min="2" max="2" width="6.5546875" style="6" bestFit="1" customWidth="1"/>
    <col min="3" max="3" width="20.109375" style="6" bestFit="1" customWidth="1"/>
    <col min="4" max="4" width="7" style="6" bestFit="1" customWidth="1"/>
    <col min="5" max="5" width="9.33203125" style="6" bestFit="1" customWidth="1"/>
    <col min="6" max="6" width="18.44140625" style="6" bestFit="1" customWidth="1"/>
    <col min="7" max="7" width="7.109375" style="6" bestFit="1" customWidth="1"/>
    <col min="8" max="8" width="5.6640625" style="6" customWidth="1"/>
    <col min="9" max="9" width="6.109375" style="6" bestFit="1" customWidth="1"/>
    <col min="10" max="10" width="10.6640625" style="6" bestFit="1" customWidth="1"/>
    <col min="11" max="11" width="12.88671875" style="6" bestFit="1" customWidth="1"/>
    <col min="12" max="12" width="12.6640625" style="87" bestFit="1" customWidth="1"/>
    <col min="13" max="13" width="13.5546875" style="87" bestFit="1" customWidth="1"/>
    <col min="14" max="19" width="11.5546875" style="6"/>
    <col min="20" max="20" width="12.6640625" style="6" bestFit="1" customWidth="1"/>
    <col min="21" max="22" width="11.5546875" style="6"/>
    <col min="23" max="23" width="37.88671875" style="87" bestFit="1" customWidth="1"/>
    <col min="24" max="24" width="5.6640625" style="87" customWidth="1"/>
    <col min="25" max="25" width="12.6640625" style="87" bestFit="1" customWidth="1"/>
    <col min="26" max="26" width="9.33203125" style="87" bestFit="1" customWidth="1"/>
    <col min="27" max="27" width="11.33203125" style="87" bestFit="1" customWidth="1"/>
    <col min="28" max="28" width="10.33203125" style="87" bestFit="1" customWidth="1"/>
    <col min="29" max="29" width="5.44140625" style="87" bestFit="1" customWidth="1"/>
    <col min="30" max="30" width="7.109375" style="87" bestFit="1" customWidth="1"/>
    <col min="31" max="31" width="8.6640625" style="87" bestFit="1" customWidth="1"/>
    <col min="32" max="32" width="20.6640625" style="87" bestFit="1" customWidth="1"/>
    <col min="33" max="33" width="5.6640625" style="87" customWidth="1"/>
    <col min="34" max="35" width="7.6640625" style="6" customWidth="1"/>
    <col min="36" max="36" width="10.88671875" style="6" bestFit="1" customWidth="1"/>
    <col min="37" max="38" width="8.33203125" style="6" bestFit="1" customWidth="1"/>
    <col min="39" max="39" width="7.109375" style="6" bestFit="1" customWidth="1"/>
    <col min="40" max="40" width="8.33203125" style="6" bestFit="1" customWidth="1"/>
    <col min="41" max="41" width="7.109375" style="6" bestFit="1" customWidth="1"/>
    <col min="42" max="42" width="8.33203125" style="6" customWidth="1"/>
    <col min="43" max="43" width="7.109375" style="6" bestFit="1" customWidth="1"/>
    <col min="44" max="51" width="11.5546875" style="6"/>
    <col min="52" max="52" width="53.6640625" style="6" bestFit="1" customWidth="1"/>
    <col min="53" max="53" width="10.44140625" style="6" bestFit="1" customWidth="1"/>
    <col min="54" max="54" width="5.6640625" style="6" customWidth="1"/>
    <col min="55" max="55" width="35.33203125" style="6" bestFit="1" customWidth="1"/>
    <col min="56" max="56" width="9.33203125" style="6" bestFit="1" customWidth="1"/>
    <col min="57" max="57" width="5.6640625" style="6" customWidth="1"/>
    <col min="58" max="58" width="17.44140625" style="6" bestFit="1" customWidth="1"/>
    <col min="59" max="59" width="3.6640625" style="6" bestFit="1" customWidth="1"/>
    <col min="60" max="60" width="5.6640625" style="6" customWidth="1"/>
    <col min="61" max="61" width="58.6640625" style="6" bestFit="1" customWidth="1"/>
    <col min="62" max="62" width="10" style="6" bestFit="1" customWidth="1"/>
    <col min="63" max="63" width="5.6640625" style="6" customWidth="1"/>
    <col min="64" max="64" width="29.44140625" style="6" customWidth="1"/>
    <col min="65" max="65" width="6" style="6" bestFit="1" customWidth="1"/>
    <col min="66" max="66" width="8.6640625" style="6" bestFit="1" customWidth="1"/>
    <col min="67" max="67" width="9.33203125" style="6" bestFit="1" customWidth="1"/>
    <col min="68" max="16384" width="11.5546875" style="6"/>
  </cols>
  <sheetData>
    <row r="1" spans="2:64" ht="15" thickBot="1" x14ac:dyDescent="0.35"/>
    <row r="2" spans="2:64" x14ac:dyDescent="0.3">
      <c r="B2" s="290" t="s">
        <v>202</v>
      </c>
      <c r="C2" s="287"/>
      <c r="D2" s="287"/>
      <c r="E2" s="287"/>
      <c r="F2" s="287" t="s">
        <v>205</v>
      </c>
      <c r="G2" s="288"/>
      <c r="I2" s="204" t="s">
        <v>140</v>
      </c>
      <c r="J2" s="204"/>
      <c r="K2" s="204"/>
      <c r="L2" s="204"/>
      <c r="M2" s="204"/>
      <c r="W2" s="88"/>
      <c r="X2" s="88" t="s">
        <v>249</v>
      </c>
      <c r="Y2" s="88" t="s">
        <v>264</v>
      </c>
      <c r="Z2" s="88" t="s">
        <v>265</v>
      </c>
      <c r="AA2" s="9"/>
      <c r="AB2" s="9"/>
      <c r="AH2" s="204" t="s">
        <v>141</v>
      </c>
      <c r="AI2" s="204"/>
      <c r="AJ2" s="204"/>
      <c r="AK2" s="204"/>
      <c r="AL2" s="204"/>
      <c r="AM2" s="204"/>
      <c r="AN2" s="204"/>
      <c r="AO2" s="204"/>
      <c r="AP2" s="204"/>
      <c r="AQ2" s="204"/>
      <c r="AZ2" s="204" t="s">
        <v>224</v>
      </c>
      <c r="BA2" s="204"/>
      <c r="BC2" s="204" t="s">
        <v>217</v>
      </c>
      <c r="BD2" s="204"/>
      <c r="BF2" s="117" t="s">
        <v>121</v>
      </c>
      <c r="BG2" s="117" t="s">
        <v>117</v>
      </c>
      <c r="BI2" s="204" t="s">
        <v>244</v>
      </c>
      <c r="BJ2" s="204"/>
      <c r="BK2" s="125"/>
    </row>
    <row r="3" spans="2:64" x14ac:dyDescent="0.3">
      <c r="B3" s="243"/>
      <c r="C3" s="203"/>
      <c r="D3" s="203"/>
      <c r="E3" s="203"/>
      <c r="F3" s="203"/>
      <c r="G3" s="289"/>
      <c r="I3" s="79" t="s">
        <v>122</v>
      </c>
      <c r="J3" s="79" t="s">
        <v>123</v>
      </c>
      <c r="K3" s="79" t="s">
        <v>204</v>
      </c>
      <c r="L3" s="79" t="s">
        <v>259</v>
      </c>
      <c r="M3" s="79" t="s">
        <v>260</v>
      </c>
      <c r="W3" s="88" t="s">
        <v>262</v>
      </c>
      <c r="X3" s="88" t="s">
        <v>111</v>
      </c>
      <c r="Y3" s="38">
        <f>L28</f>
        <v>104750.86645578322</v>
      </c>
      <c r="Z3" s="38">
        <f>Y3/1000</f>
        <v>104.75086645578322</v>
      </c>
      <c r="AA3" s="26"/>
      <c r="AB3" s="9"/>
      <c r="AH3" s="204" t="s">
        <v>124</v>
      </c>
      <c r="AI3" s="204"/>
      <c r="AJ3" s="61" t="s">
        <v>123</v>
      </c>
      <c r="AK3" s="61" t="s">
        <v>125</v>
      </c>
      <c r="AL3" s="44" t="s">
        <v>126</v>
      </c>
      <c r="AM3" s="61" t="s">
        <v>127</v>
      </c>
      <c r="AN3" s="61" t="s">
        <v>128</v>
      </c>
      <c r="AO3" s="63" t="s">
        <v>129</v>
      </c>
      <c r="AP3" s="61" t="s">
        <v>130</v>
      </c>
      <c r="AQ3" s="63" t="s">
        <v>131</v>
      </c>
      <c r="AZ3" s="203" t="s">
        <v>208</v>
      </c>
      <c r="BA3" s="203"/>
      <c r="BC3" s="119" t="s">
        <v>218</v>
      </c>
      <c r="BD3" s="38">
        <f>BA17/100</f>
        <v>0.73405061677819172</v>
      </c>
      <c r="BF3" s="119" t="s">
        <v>132</v>
      </c>
      <c r="BG3" s="115">
        <v>2</v>
      </c>
      <c r="BI3" s="148" t="s">
        <v>285</v>
      </c>
      <c r="BJ3" s="38">
        <f>(BA8)/(BD5*BD6)</f>
        <v>0.92102337156833936</v>
      </c>
      <c r="BK3" s="125"/>
    </row>
    <row r="4" spans="2:64" x14ac:dyDescent="0.3">
      <c r="B4" s="243"/>
      <c r="C4" s="203"/>
      <c r="D4" s="203"/>
      <c r="E4" s="203"/>
      <c r="F4" s="203"/>
      <c r="G4" s="289"/>
      <c r="I4" s="71">
        <v>1.00000000000001</v>
      </c>
      <c r="J4" s="38">
        <v>0.29095073274347105</v>
      </c>
      <c r="K4" s="38">
        <f t="shared" ref="K4:K19" si="0">J4/1000</f>
        <v>2.9095073274347104E-4</v>
      </c>
      <c r="L4" s="38">
        <f>J4*60*60</f>
        <v>1047.4226378764959</v>
      </c>
      <c r="M4" s="38">
        <f>K4*60*60</f>
        <v>1.0474226378764957</v>
      </c>
      <c r="W4" s="88" t="s">
        <v>263</v>
      </c>
      <c r="X4" s="10">
        <v>5</v>
      </c>
      <c r="Y4" s="7">
        <f>X4*2*60*60</f>
        <v>36000</v>
      </c>
      <c r="Z4" s="5">
        <f>Y4/1000</f>
        <v>36</v>
      </c>
      <c r="AA4" s="9"/>
      <c r="AB4" s="9"/>
      <c r="AH4" s="71">
        <v>1.00000000000001</v>
      </c>
      <c r="AI4" s="71">
        <v>1.0416666666666801</v>
      </c>
      <c r="AJ4" s="64">
        <f t="shared" ref="AJ4:AJ27" si="1">J4</f>
        <v>0.29095073274347105</v>
      </c>
      <c r="AK4" s="64">
        <f>(AJ4/$AJ$28)*100</f>
        <v>0.99991787496920348</v>
      </c>
      <c r="AL4" s="64">
        <f>AK4</f>
        <v>0.99991787496920348</v>
      </c>
      <c r="AM4" s="62">
        <v>0</v>
      </c>
      <c r="AN4" s="62">
        <f>AM4</f>
        <v>0</v>
      </c>
      <c r="AO4" s="62">
        <f>AM4-AK4</f>
        <v>-0.99991787496920348</v>
      </c>
      <c r="AP4" s="62">
        <f>AO4</f>
        <v>-0.99991787496920348</v>
      </c>
      <c r="AQ4" s="62">
        <f t="shared" ref="AQ4:AQ27" si="2">(-$AP$28)+AP4</f>
        <v>22.499977187491464</v>
      </c>
      <c r="AZ4" s="124" t="s">
        <v>228</v>
      </c>
      <c r="BA4" s="12">
        <f>Proyeccion!$AE$48/1000</f>
        <v>7.5952119883040915E-4</v>
      </c>
      <c r="BC4" s="119" t="s">
        <v>219</v>
      </c>
      <c r="BD4" s="115">
        <f>ROUNDUP(((BD3/3)+IF(BD3&lt;4,BG3,IF(AND(BD3&gt;=4,BD3&lt;=6),BG4,IF(AND(BD3&gt;=7,BD3&lt;=9),BG5,IF(AND(BD3&gt;=10,BD3&lt;=13),BG6,IF(AND(BD3&gt;=14,BD3&lt;=16),BG7,IF(BD3&gt;=17,BG8,"Error"))))))),1)</f>
        <v>2.3000000000000003</v>
      </c>
      <c r="BF4" s="143" t="s">
        <v>134</v>
      </c>
      <c r="BG4" s="115">
        <v>1.8</v>
      </c>
      <c r="BI4" s="148" t="s">
        <v>284</v>
      </c>
      <c r="BJ4" s="102">
        <v>436.77100000000002</v>
      </c>
      <c r="BK4" s="125"/>
    </row>
    <row r="5" spans="2:64" x14ac:dyDescent="0.3">
      <c r="B5" s="55" t="s">
        <v>122</v>
      </c>
      <c r="C5" s="54" t="s">
        <v>199</v>
      </c>
      <c r="D5" s="54" t="s">
        <v>200</v>
      </c>
      <c r="E5" s="52" t="s">
        <v>201</v>
      </c>
      <c r="F5" s="52" t="s">
        <v>203</v>
      </c>
      <c r="G5" s="56" t="s">
        <v>201</v>
      </c>
      <c r="I5" s="71">
        <v>1.0416666666666801</v>
      </c>
      <c r="J5" s="38">
        <v>0.29095073274347105</v>
      </c>
      <c r="K5" s="38">
        <f t="shared" si="0"/>
        <v>2.9095073274347104E-4</v>
      </c>
      <c r="L5" s="38">
        <f t="shared" ref="L5:L27" si="3">J5*60*60</f>
        <v>1047.4226378764959</v>
      </c>
      <c r="M5" s="38">
        <f t="shared" ref="M5:M27" si="4">K5*60*60</f>
        <v>1.0474226378764957</v>
      </c>
      <c r="AH5" s="71">
        <v>1.0416666666666801</v>
      </c>
      <c r="AI5" s="71">
        <v>1.0833333333333499</v>
      </c>
      <c r="AJ5" s="64">
        <f t="shared" si="1"/>
        <v>0.29095073274347105</v>
      </c>
      <c r="AK5" s="64">
        <f t="shared" ref="AK5:AK28" si="5">(AJ5/$AJ$28)*100</f>
        <v>0.99991787496920348</v>
      </c>
      <c r="AL5" s="64">
        <f>AL4+AK5</f>
        <v>1.999835749938407</v>
      </c>
      <c r="AM5" s="62">
        <v>0</v>
      </c>
      <c r="AN5" s="62">
        <f>AM5+AN4</f>
        <v>0</v>
      </c>
      <c r="AO5" s="62">
        <f t="shared" ref="AO5:AO27" si="6">AM5-AK5</f>
        <v>-0.99991787496920348</v>
      </c>
      <c r="AP5" s="62">
        <f>AO5+AP4</f>
        <v>-1.999835749938407</v>
      </c>
      <c r="AQ5" s="62">
        <f t="shared" si="2"/>
        <v>21.500059312522261</v>
      </c>
      <c r="AZ5" s="124" t="s">
        <v>133</v>
      </c>
      <c r="BA5" s="12">
        <f>BA4*86400</f>
        <v>65.622631578947349</v>
      </c>
      <c r="BC5" s="119" t="s">
        <v>221</v>
      </c>
      <c r="BD5" s="119">
        <f>ROUNDUP(SQRT(BA17/BD4),1)</f>
        <v>5.6999999999999993</v>
      </c>
      <c r="BF5" s="119" t="s">
        <v>135</v>
      </c>
      <c r="BG5" s="115">
        <v>1.5</v>
      </c>
      <c r="BI5" s="148" t="s">
        <v>286</v>
      </c>
      <c r="BJ5" s="38">
        <f>BJ4-BJ3</f>
        <v>435.84997662843165</v>
      </c>
      <c r="BK5" s="125"/>
    </row>
    <row r="6" spans="2:64" x14ac:dyDescent="0.3">
      <c r="B6" s="31" t="s">
        <v>175</v>
      </c>
      <c r="C6" s="20">
        <v>1</v>
      </c>
      <c r="D6" s="20">
        <v>54.79</v>
      </c>
      <c r="E6" s="38">
        <f>(D6*1000)/3600</f>
        <v>15.219444444444445</v>
      </c>
      <c r="F6" s="38">
        <f>Proyeccion!$T$48/21813</f>
        <v>1.9117040297070554E-2</v>
      </c>
      <c r="G6" s="22">
        <f>F6*E6</f>
        <v>0.29095073274347105</v>
      </c>
      <c r="I6" s="71">
        <v>1.0833333333333499</v>
      </c>
      <c r="J6" s="38">
        <v>0.29095073274347105</v>
      </c>
      <c r="K6" s="38">
        <f t="shared" si="0"/>
        <v>2.9095073274347104E-4</v>
      </c>
      <c r="L6" s="38">
        <f t="shared" si="3"/>
        <v>1047.4226378764959</v>
      </c>
      <c r="M6" s="38">
        <f t="shared" si="4"/>
        <v>1.0474226378764957</v>
      </c>
      <c r="W6" s="229" t="s">
        <v>250</v>
      </c>
      <c r="X6" s="229"/>
      <c r="Y6" s="229"/>
      <c r="Z6" s="229"/>
      <c r="AA6" s="229"/>
      <c r="AB6" s="229"/>
      <c r="AC6" s="229"/>
      <c r="AD6" s="229"/>
      <c r="AE6" s="229"/>
      <c r="AF6" s="229"/>
      <c r="AH6" s="71">
        <v>1.0833333333333499</v>
      </c>
      <c r="AI6" s="71">
        <v>1.12500000000001</v>
      </c>
      <c r="AJ6" s="64">
        <f t="shared" si="1"/>
        <v>0.29095073274347105</v>
      </c>
      <c r="AK6" s="64">
        <f t="shared" si="5"/>
        <v>0.99991787496920348</v>
      </c>
      <c r="AL6" s="64">
        <f t="shared" ref="AL6:AL27" si="7">AL5+AK6</f>
        <v>2.9997536249076102</v>
      </c>
      <c r="AM6" s="62">
        <v>0</v>
      </c>
      <c r="AN6" s="62">
        <f t="shared" ref="AN6:AN27" si="8">AM6+AN5</f>
        <v>0</v>
      </c>
      <c r="AO6" s="62">
        <f t="shared" si="6"/>
        <v>-0.99991787496920348</v>
      </c>
      <c r="AP6" s="62">
        <f t="shared" ref="AP6:AP27" si="9">AO6+AP5</f>
        <v>-2.9997536249076102</v>
      </c>
      <c r="AQ6" s="62">
        <f t="shared" si="2"/>
        <v>20.500141437553054</v>
      </c>
      <c r="AZ6" s="124" t="s">
        <v>131</v>
      </c>
      <c r="BA6" s="12">
        <f>MAX($AQ$4:$AQ$27)</f>
        <v>38.000164250061601</v>
      </c>
      <c r="BC6" s="119" t="s">
        <v>222</v>
      </c>
      <c r="BD6" s="119">
        <f>BD5</f>
        <v>5.6999999999999993</v>
      </c>
      <c r="BF6" s="119" t="s">
        <v>136</v>
      </c>
      <c r="BG6" s="115">
        <v>1.3</v>
      </c>
      <c r="BI6" s="148" t="s">
        <v>287</v>
      </c>
      <c r="BJ6" s="38">
        <f>BJ4-BD4</f>
        <v>434.471</v>
      </c>
      <c r="BK6" s="125"/>
    </row>
    <row r="7" spans="2:64" ht="14.4" customHeight="1" x14ac:dyDescent="0.3">
      <c r="B7" s="31" t="s">
        <v>176</v>
      </c>
      <c r="C7" s="20">
        <v>1</v>
      </c>
      <c r="D7" s="20">
        <v>54.79</v>
      </c>
      <c r="E7" s="38">
        <f t="shared" ref="E7:E29" si="10">(D7*1000)/3600</f>
        <v>15.219444444444445</v>
      </c>
      <c r="F7" s="38">
        <f>Proyeccion!$T$48/21813</f>
        <v>1.9117040297070554E-2</v>
      </c>
      <c r="G7" s="22">
        <f t="shared" ref="G7:G29" si="11">F7*E7</f>
        <v>0.29095073274347105</v>
      </c>
      <c r="I7" s="71">
        <v>1.12500000000001</v>
      </c>
      <c r="J7" s="38">
        <v>0.43645265056006355</v>
      </c>
      <c r="K7" s="38">
        <f t="shared" si="0"/>
        <v>4.3645265056006354E-4</v>
      </c>
      <c r="L7" s="38">
        <f t="shared" si="3"/>
        <v>1571.2295420162288</v>
      </c>
      <c r="M7" s="38">
        <f t="shared" si="4"/>
        <v>1.5712295420162288</v>
      </c>
      <c r="W7" s="272" t="s">
        <v>254</v>
      </c>
      <c r="X7" s="272"/>
      <c r="Y7" s="272"/>
      <c r="Z7" s="272"/>
      <c r="AA7" s="272"/>
      <c r="AB7" s="100" t="s">
        <v>33</v>
      </c>
      <c r="AC7" s="100" t="s">
        <v>251</v>
      </c>
      <c r="AD7" s="100" t="s">
        <v>226</v>
      </c>
      <c r="AE7" s="100" t="s">
        <v>258</v>
      </c>
      <c r="AF7" s="88" t="s">
        <v>256</v>
      </c>
      <c r="AH7" s="71">
        <v>1.12500000000001</v>
      </c>
      <c r="AI7" s="71">
        <v>1.1666666666666801</v>
      </c>
      <c r="AJ7" s="64">
        <f t="shared" si="1"/>
        <v>0.43645265056006355</v>
      </c>
      <c r="AK7" s="64">
        <f t="shared" si="5"/>
        <v>1.4999680624880236</v>
      </c>
      <c r="AL7" s="64">
        <f t="shared" si="7"/>
        <v>4.4997216873956338</v>
      </c>
      <c r="AM7" s="62">
        <v>0</v>
      </c>
      <c r="AN7" s="62">
        <f t="shared" si="8"/>
        <v>0</v>
      </c>
      <c r="AO7" s="62">
        <f t="shared" si="6"/>
        <v>-1.4999680624880236</v>
      </c>
      <c r="AP7" s="62">
        <f t="shared" si="9"/>
        <v>-4.4997216873956338</v>
      </c>
      <c r="AQ7" s="62">
        <f t="shared" si="2"/>
        <v>19.000173375065032</v>
      </c>
      <c r="AZ7" s="124" t="s">
        <v>207</v>
      </c>
      <c r="BA7" s="144">
        <v>1.2</v>
      </c>
      <c r="BF7" s="119" t="s">
        <v>138</v>
      </c>
      <c r="BG7" s="115">
        <v>1</v>
      </c>
      <c r="BI7" s="148" t="s">
        <v>288</v>
      </c>
      <c r="BJ7" s="148">
        <f>BJ4+0.5</f>
        <v>437.27100000000002</v>
      </c>
      <c r="BK7" s="125"/>
    </row>
    <row r="8" spans="2:64" x14ac:dyDescent="0.3">
      <c r="B8" s="31" t="s">
        <v>177</v>
      </c>
      <c r="C8" s="20">
        <v>1.5</v>
      </c>
      <c r="D8" s="20">
        <v>82.19</v>
      </c>
      <c r="E8" s="38">
        <f t="shared" si="10"/>
        <v>22.830555555555556</v>
      </c>
      <c r="F8" s="38">
        <f>Proyeccion!$T$48/21813</f>
        <v>1.9117040297070554E-2</v>
      </c>
      <c r="G8" s="22">
        <f t="shared" si="11"/>
        <v>0.43645265056006355</v>
      </c>
      <c r="I8" s="71">
        <v>1.1666666666666801</v>
      </c>
      <c r="J8" s="38">
        <v>0.43645265056006355</v>
      </c>
      <c r="K8" s="38">
        <f t="shared" si="0"/>
        <v>4.3645265056006354E-4</v>
      </c>
      <c r="L8" s="38">
        <f t="shared" si="3"/>
        <v>1571.2295420162288</v>
      </c>
      <c r="M8" s="38">
        <f t="shared" si="4"/>
        <v>1.5712295420162288</v>
      </c>
      <c r="W8" s="229" t="s">
        <v>253</v>
      </c>
      <c r="X8" s="229"/>
      <c r="Y8" s="229"/>
      <c r="Z8" s="229"/>
      <c r="AA8" s="229"/>
      <c r="AB8" s="10" t="s">
        <v>255</v>
      </c>
      <c r="AC8" s="10">
        <v>60</v>
      </c>
      <c r="AD8" s="38">
        <f>0.0000757683211*AC8</f>
        <v>4.5460992660000003E-3</v>
      </c>
      <c r="AE8" s="38">
        <f>AD8*60*60</f>
        <v>16.365957357600003</v>
      </c>
      <c r="AF8" s="115">
        <f>ROUNDUP((Z3+Z4)/AE8,0)</f>
        <v>9</v>
      </c>
      <c r="AH8" s="71">
        <v>1.1666666666666801</v>
      </c>
      <c r="AI8" s="71">
        <v>1.2083333333333499</v>
      </c>
      <c r="AJ8" s="64">
        <f t="shared" si="1"/>
        <v>0.43645265056006355</v>
      </c>
      <c r="AK8" s="64">
        <f t="shared" si="5"/>
        <v>1.4999680624880236</v>
      </c>
      <c r="AL8" s="64">
        <f t="shared" si="7"/>
        <v>5.9996897498836574</v>
      </c>
      <c r="AM8" s="81">
        <v>0</v>
      </c>
      <c r="AN8" s="62">
        <f t="shared" si="8"/>
        <v>0</v>
      </c>
      <c r="AO8" s="62">
        <f t="shared" si="6"/>
        <v>-1.4999680624880236</v>
      </c>
      <c r="AP8" s="62">
        <f t="shared" si="9"/>
        <v>-5.9996897498836574</v>
      </c>
      <c r="AQ8" s="62">
        <f t="shared" si="2"/>
        <v>17.500205312577009</v>
      </c>
      <c r="AZ8" s="124" t="s">
        <v>137</v>
      </c>
      <c r="BA8" s="12">
        <f>BA5*(BA6/100)*BA7</f>
        <v>29.924049342255341</v>
      </c>
      <c r="BF8" s="119" t="s">
        <v>139</v>
      </c>
      <c r="BG8" s="115">
        <v>0.7</v>
      </c>
      <c r="BI8" s="157"/>
      <c r="BJ8" s="157"/>
      <c r="BK8" s="125"/>
    </row>
    <row r="9" spans="2:64" x14ac:dyDescent="0.3">
      <c r="B9" s="31" t="s">
        <v>178</v>
      </c>
      <c r="C9" s="20">
        <v>1.5</v>
      </c>
      <c r="D9" s="20">
        <v>82.19</v>
      </c>
      <c r="E9" s="38">
        <f t="shared" si="10"/>
        <v>22.830555555555556</v>
      </c>
      <c r="F9" s="38">
        <f>Proyeccion!$T$48/21813</f>
        <v>1.9117040297070554E-2</v>
      </c>
      <c r="G9" s="22">
        <f t="shared" si="11"/>
        <v>0.43645265056006355</v>
      </c>
      <c r="I9" s="71">
        <v>1.2083333333333499</v>
      </c>
      <c r="J9" s="38">
        <v>0.58195456837665616</v>
      </c>
      <c r="K9" s="38">
        <f t="shared" si="0"/>
        <v>5.8195456837665616E-4</v>
      </c>
      <c r="L9" s="38">
        <f t="shared" si="3"/>
        <v>2095.0364461559625</v>
      </c>
      <c r="M9" s="38">
        <f t="shared" si="4"/>
        <v>2.0950364461559623</v>
      </c>
      <c r="W9" s="229" t="s">
        <v>252</v>
      </c>
      <c r="X9" s="229"/>
      <c r="Y9" s="229"/>
      <c r="Z9" s="229"/>
      <c r="AA9" s="229"/>
      <c r="AB9" s="10" t="s">
        <v>225</v>
      </c>
      <c r="AC9" s="10">
        <v>140</v>
      </c>
      <c r="AD9" s="38">
        <f>0.0000757683211*AC9</f>
        <v>1.0607564954E-2</v>
      </c>
      <c r="AE9" s="38">
        <f>AD9*60*60</f>
        <v>38.187233834400004</v>
      </c>
      <c r="AF9" s="115">
        <f>ROUNDUP((Z3+Z4)/AE9,0)</f>
        <v>4</v>
      </c>
      <c r="AH9" s="71">
        <v>1.2083333333333499</v>
      </c>
      <c r="AI9" s="71">
        <v>1.25000000000002</v>
      </c>
      <c r="AJ9" s="64">
        <f t="shared" si="1"/>
        <v>0.58195456837665616</v>
      </c>
      <c r="AK9" s="64">
        <f t="shared" si="5"/>
        <v>2.0000182500068444</v>
      </c>
      <c r="AL9" s="64">
        <f t="shared" si="7"/>
        <v>7.9997079998905019</v>
      </c>
      <c r="AM9" s="81">
        <v>0</v>
      </c>
      <c r="AN9" s="62">
        <f t="shared" si="8"/>
        <v>0</v>
      </c>
      <c r="AO9" s="62">
        <f t="shared" si="6"/>
        <v>-2.0000182500068444</v>
      </c>
      <c r="AP9" s="62">
        <f t="shared" si="9"/>
        <v>-7.9997079998905019</v>
      </c>
      <c r="AQ9" s="62">
        <f t="shared" si="2"/>
        <v>15.500187062570165</v>
      </c>
      <c r="AZ9" s="204" t="s">
        <v>209</v>
      </c>
      <c r="BA9" s="204"/>
      <c r="BI9" s="41"/>
      <c r="BJ9" s="41"/>
      <c r="BK9" s="125"/>
    </row>
    <row r="10" spans="2:64" ht="14.4" customHeight="1" x14ac:dyDescent="0.3">
      <c r="B10" s="31" t="s">
        <v>179</v>
      </c>
      <c r="C10" s="20">
        <v>2</v>
      </c>
      <c r="D10" s="20">
        <v>109.59</v>
      </c>
      <c r="E10" s="38">
        <f t="shared" si="10"/>
        <v>30.441666666666666</v>
      </c>
      <c r="F10" s="38">
        <f>Proyeccion!$T$48/21813</f>
        <v>1.9117040297070554E-2</v>
      </c>
      <c r="G10" s="22">
        <f t="shared" si="11"/>
        <v>0.58195456837665616</v>
      </c>
      <c r="I10" s="71">
        <v>1.25000000000002</v>
      </c>
      <c r="J10" s="38">
        <v>1.0184072189367197</v>
      </c>
      <c r="K10" s="38">
        <f t="shared" si="0"/>
        <v>1.0184072189367197E-3</v>
      </c>
      <c r="L10" s="38">
        <f t="shared" si="3"/>
        <v>3666.2659881721911</v>
      </c>
      <c r="M10" s="38">
        <f t="shared" si="4"/>
        <v>3.6662659881721908</v>
      </c>
      <c r="W10" s="276" t="s">
        <v>257</v>
      </c>
      <c r="X10" s="277"/>
      <c r="Y10" s="277"/>
      <c r="Z10" s="277"/>
      <c r="AA10" s="278"/>
      <c r="AB10" s="273" t="s">
        <v>255</v>
      </c>
      <c r="AC10" s="273">
        <v>60</v>
      </c>
      <c r="AD10" s="258">
        <f>0.0000757683211*AC10</f>
        <v>4.5460992660000003E-3</v>
      </c>
      <c r="AE10" s="258">
        <f>AD10*60*60</f>
        <v>16.365957357600003</v>
      </c>
      <c r="AF10" s="267">
        <f>ROUNDUP((Z3)/AE10,0)</f>
        <v>7</v>
      </c>
      <c r="AH10" s="71">
        <v>1.25000000000002</v>
      </c>
      <c r="AI10" s="71">
        <v>1.2916666666666801</v>
      </c>
      <c r="AJ10" s="64">
        <f t="shared" si="1"/>
        <v>1.0184072189367197</v>
      </c>
      <c r="AK10" s="64">
        <f t="shared" si="5"/>
        <v>3.499986312494868</v>
      </c>
      <c r="AL10" s="64">
        <f t="shared" si="7"/>
        <v>11.499694312385369</v>
      </c>
      <c r="AM10" s="81">
        <v>0</v>
      </c>
      <c r="AN10" s="62">
        <f t="shared" si="8"/>
        <v>0</v>
      </c>
      <c r="AO10" s="62">
        <f t="shared" si="6"/>
        <v>-3.499986312494868</v>
      </c>
      <c r="AP10" s="62">
        <f t="shared" si="9"/>
        <v>-11.499694312385369</v>
      </c>
      <c r="AQ10" s="62">
        <f t="shared" si="2"/>
        <v>12.000200750075297</v>
      </c>
      <c r="AZ10" s="124" t="s">
        <v>210</v>
      </c>
      <c r="BA10" s="114">
        <v>5.0000000000000001E-3</v>
      </c>
      <c r="BI10" s="41"/>
      <c r="BJ10" s="41"/>
      <c r="BK10" s="125"/>
    </row>
    <row r="11" spans="2:64" x14ac:dyDescent="0.3">
      <c r="B11" s="31" t="s">
        <v>180</v>
      </c>
      <c r="C11" s="20">
        <v>3.5</v>
      </c>
      <c r="D11" s="20">
        <v>191.78</v>
      </c>
      <c r="E11" s="38">
        <f t="shared" si="10"/>
        <v>53.272222222222226</v>
      </c>
      <c r="F11" s="38">
        <f>Proyeccion!$T$48/21813</f>
        <v>1.9117040297070554E-2</v>
      </c>
      <c r="G11" s="22">
        <f t="shared" si="11"/>
        <v>1.0184072189367197</v>
      </c>
      <c r="I11" s="71">
        <v>1.2916666666666801</v>
      </c>
      <c r="J11" s="38">
        <v>2.6187690062500955</v>
      </c>
      <c r="K11" s="38">
        <f t="shared" si="0"/>
        <v>2.6187690062500955E-3</v>
      </c>
      <c r="L11" s="38">
        <f t="shared" si="3"/>
        <v>9427.5684225003424</v>
      </c>
      <c r="M11" s="38">
        <f t="shared" si="4"/>
        <v>9.4275684225003431</v>
      </c>
      <c r="W11" s="279"/>
      <c r="X11" s="280"/>
      <c r="Y11" s="280"/>
      <c r="Z11" s="280"/>
      <c r="AA11" s="281"/>
      <c r="AB11" s="274"/>
      <c r="AC11" s="274"/>
      <c r="AD11" s="285"/>
      <c r="AE11" s="285"/>
      <c r="AF11" s="268"/>
      <c r="AH11" s="142">
        <v>1.2916666666666801</v>
      </c>
      <c r="AI11" s="142">
        <v>1.3333333333333499</v>
      </c>
      <c r="AJ11" s="64">
        <f t="shared" si="1"/>
        <v>2.6187690062500955</v>
      </c>
      <c r="AK11" s="64">
        <f t="shared" si="5"/>
        <v>8.9999908749965805</v>
      </c>
      <c r="AL11" s="64">
        <f t="shared" si="7"/>
        <v>20.499685187381949</v>
      </c>
      <c r="AM11" s="81">
        <v>0</v>
      </c>
      <c r="AN11" s="62">
        <f t="shared" si="8"/>
        <v>0</v>
      </c>
      <c r="AO11" s="62">
        <f t="shared" si="6"/>
        <v>-8.9999908749965805</v>
      </c>
      <c r="AP11" s="62">
        <f t="shared" si="9"/>
        <v>-20.499685187381949</v>
      </c>
      <c r="AQ11" s="62">
        <f t="shared" si="2"/>
        <v>3.0002098750787169</v>
      </c>
      <c r="AZ11" s="124" t="s">
        <v>211</v>
      </c>
      <c r="BA11" s="134">
        <v>2</v>
      </c>
      <c r="BI11" s="41"/>
      <c r="BJ11" s="41"/>
      <c r="BK11" s="125"/>
    </row>
    <row r="12" spans="2:64" x14ac:dyDescent="0.3">
      <c r="B12" s="31" t="s">
        <v>181</v>
      </c>
      <c r="C12" s="20">
        <v>9</v>
      </c>
      <c r="D12" s="20">
        <v>493.15</v>
      </c>
      <c r="E12" s="38">
        <f t="shared" si="10"/>
        <v>136.98611111111111</v>
      </c>
      <c r="F12" s="38">
        <f>Proyeccion!$T$48/21813</f>
        <v>1.9117040297070554E-2</v>
      </c>
      <c r="G12" s="22">
        <f t="shared" si="11"/>
        <v>2.6187690062500955</v>
      </c>
      <c r="I12" s="71">
        <v>1.3333333333333499</v>
      </c>
      <c r="J12" s="38">
        <v>2.3278182735066246</v>
      </c>
      <c r="K12" s="38">
        <f t="shared" si="0"/>
        <v>2.3278182735066246E-3</v>
      </c>
      <c r="L12" s="38">
        <f t="shared" si="3"/>
        <v>8380.14578462385</v>
      </c>
      <c r="M12" s="38">
        <f t="shared" si="4"/>
        <v>8.3801457846238492</v>
      </c>
      <c r="W12" s="279"/>
      <c r="X12" s="280"/>
      <c r="Y12" s="280"/>
      <c r="Z12" s="280"/>
      <c r="AA12" s="281"/>
      <c r="AB12" s="274"/>
      <c r="AC12" s="274"/>
      <c r="AD12" s="285"/>
      <c r="AE12" s="285"/>
      <c r="AF12" s="268"/>
      <c r="AH12" s="141">
        <v>1.3333333333333499</v>
      </c>
      <c r="AI12" s="141">
        <v>1.37500000000002</v>
      </c>
      <c r="AJ12" s="64">
        <f t="shared" si="1"/>
        <v>2.3278182735066246</v>
      </c>
      <c r="AK12" s="64">
        <f t="shared" si="5"/>
        <v>8.0000730000273776</v>
      </c>
      <c r="AL12" s="64">
        <f t="shared" si="7"/>
        <v>28.499758187409327</v>
      </c>
      <c r="AM12" s="81">
        <f>$AK$28/4</f>
        <v>25</v>
      </c>
      <c r="AN12" s="62">
        <f t="shared" si="8"/>
        <v>25</v>
      </c>
      <c r="AO12" s="62">
        <f t="shared" si="6"/>
        <v>16.999926999972622</v>
      </c>
      <c r="AP12" s="62">
        <f t="shared" si="9"/>
        <v>-3.4997581874093271</v>
      </c>
      <c r="AQ12" s="62">
        <f t="shared" si="2"/>
        <v>20.000136875051339</v>
      </c>
      <c r="AZ12" s="119" t="s">
        <v>212</v>
      </c>
      <c r="BA12" s="119">
        <f>BA10*(BA11*3600)</f>
        <v>36</v>
      </c>
      <c r="BI12" s="41"/>
      <c r="BJ12" s="41"/>
      <c r="BK12" s="154"/>
      <c r="BL12" s="154"/>
    </row>
    <row r="13" spans="2:64" x14ac:dyDescent="0.3">
      <c r="B13" s="31" t="s">
        <v>182</v>
      </c>
      <c r="C13" s="20">
        <v>8</v>
      </c>
      <c r="D13" s="20">
        <v>438.36</v>
      </c>
      <c r="E13" s="38">
        <f t="shared" si="10"/>
        <v>121.76666666666667</v>
      </c>
      <c r="F13" s="38">
        <f>Proyeccion!$T$48/21813</f>
        <v>1.9117040297070554E-2</v>
      </c>
      <c r="G13" s="22">
        <f t="shared" si="11"/>
        <v>2.3278182735066246</v>
      </c>
      <c r="I13" s="71">
        <v>1.37500000000002</v>
      </c>
      <c r="J13" s="38">
        <v>2.0368144378734394</v>
      </c>
      <c r="K13" s="38">
        <f t="shared" si="0"/>
        <v>2.0368144378734394E-3</v>
      </c>
      <c r="L13" s="38">
        <f t="shared" si="3"/>
        <v>7332.5319763443822</v>
      </c>
      <c r="M13" s="38">
        <f t="shared" si="4"/>
        <v>7.3325319763443817</v>
      </c>
      <c r="W13" s="282"/>
      <c r="X13" s="283"/>
      <c r="Y13" s="283"/>
      <c r="Z13" s="283"/>
      <c r="AA13" s="284"/>
      <c r="AB13" s="275"/>
      <c r="AC13" s="275"/>
      <c r="AD13" s="286"/>
      <c r="AE13" s="286"/>
      <c r="AF13" s="269"/>
      <c r="AH13" s="141">
        <v>1.37500000000002</v>
      </c>
      <c r="AI13" s="141">
        <v>0.41666666666666702</v>
      </c>
      <c r="AJ13" s="64">
        <f t="shared" si="1"/>
        <v>2.0368144378734394</v>
      </c>
      <c r="AK13" s="64">
        <f t="shared" si="5"/>
        <v>6.999972624989736</v>
      </c>
      <c r="AL13" s="64">
        <f t="shared" si="7"/>
        <v>35.499730812399065</v>
      </c>
      <c r="AM13" s="121">
        <f>$AK$28/4</f>
        <v>25</v>
      </c>
      <c r="AN13" s="62">
        <f t="shared" si="8"/>
        <v>50</v>
      </c>
      <c r="AO13" s="62">
        <f t="shared" si="6"/>
        <v>18.000027375010262</v>
      </c>
      <c r="AP13" s="62">
        <f t="shared" si="9"/>
        <v>14.500269187600935</v>
      </c>
      <c r="AQ13" s="62">
        <f t="shared" si="2"/>
        <v>38.000164250061601</v>
      </c>
      <c r="AZ13" s="204" t="s">
        <v>213</v>
      </c>
      <c r="BA13" s="204"/>
      <c r="BI13" s="41"/>
      <c r="BJ13" s="41"/>
      <c r="BK13" s="154"/>
      <c r="BL13" s="154"/>
    </row>
    <row r="14" spans="2:64" x14ac:dyDescent="0.3">
      <c r="B14" s="31" t="s">
        <v>183</v>
      </c>
      <c r="C14" s="20">
        <v>7</v>
      </c>
      <c r="D14" s="20">
        <v>383.56</v>
      </c>
      <c r="E14" s="38">
        <f t="shared" si="10"/>
        <v>106.54444444444445</v>
      </c>
      <c r="F14" s="38">
        <f>Proyeccion!$T$48/21813</f>
        <v>1.9117040297070554E-2</v>
      </c>
      <c r="G14" s="22">
        <f t="shared" si="11"/>
        <v>2.0368144378734394</v>
      </c>
      <c r="I14" s="71">
        <v>0.41666666666666702</v>
      </c>
      <c r="J14" s="38">
        <v>1.1639091367533123</v>
      </c>
      <c r="K14" s="38">
        <f t="shared" si="0"/>
        <v>1.1639091367533123E-3</v>
      </c>
      <c r="L14" s="38">
        <f t="shared" si="3"/>
        <v>4190.072892311925</v>
      </c>
      <c r="M14" s="38">
        <f t="shared" si="4"/>
        <v>4.1900728923119246</v>
      </c>
      <c r="AH14" s="71">
        <v>0.41666666666666702</v>
      </c>
      <c r="AI14" s="71">
        <v>0.45833333333333298</v>
      </c>
      <c r="AJ14" s="64">
        <f t="shared" si="1"/>
        <v>1.1639091367533123</v>
      </c>
      <c r="AK14" s="64">
        <f t="shared" si="5"/>
        <v>4.0000365000136888</v>
      </c>
      <c r="AL14" s="64">
        <f t="shared" si="7"/>
        <v>39.499767312412757</v>
      </c>
      <c r="AM14" s="81">
        <v>0</v>
      </c>
      <c r="AN14" s="62">
        <f t="shared" si="8"/>
        <v>50</v>
      </c>
      <c r="AO14" s="62">
        <f t="shared" si="6"/>
        <v>-4.0000365000136888</v>
      </c>
      <c r="AP14" s="62">
        <f t="shared" si="9"/>
        <v>10.500232687587246</v>
      </c>
      <c r="AQ14" s="62">
        <f t="shared" si="2"/>
        <v>34.000127750047909</v>
      </c>
      <c r="AZ14" s="119" t="s">
        <v>215</v>
      </c>
      <c r="BA14" s="38">
        <f>0.25*BA8</f>
        <v>7.4810123355638352</v>
      </c>
      <c r="BI14" s="157"/>
      <c r="BJ14" s="157"/>
      <c r="BK14" s="154"/>
      <c r="BL14" s="154"/>
    </row>
    <row r="15" spans="2:64" x14ac:dyDescent="0.3">
      <c r="B15" s="31" t="s">
        <v>184</v>
      </c>
      <c r="C15" s="20">
        <v>4</v>
      </c>
      <c r="D15" s="20">
        <v>219.18</v>
      </c>
      <c r="E15" s="38">
        <f t="shared" si="10"/>
        <v>60.883333333333333</v>
      </c>
      <c r="F15" s="38">
        <f>Proyeccion!$T$48/21813</f>
        <v>1.9117040297070554E-2</v>
      </c>
      <c r="G15" s="22">
        <f t="shared" si="11"/>
        <v>1.1639091367533123</v>
      </c>
      <c r="I15" s="71">
        <v>0.45833333333333298</v>
      </c>
      <c r="J15" s="38">
        <v>1.0184072189367197</v>
      </c>
      <c r="K15" s="38">
        <f t="shared" si="0"/>
        <v>1.0184072189367197E-3</v>
      </c>
      <c r="L15" s="38">
        <f t="shared" si="3"/>
        <v>3666.2659881721911</v>
      </c>
      <c r="M15" s="38">
        <f t="shared" si="4"/>
        <v>3.6662659881721908</v>
      </c>
      <c r="AH15" s="71">
        <v>0.45833333333333298</v>
      </c>
      <c r="AI15" s="71">
        <v>0.5</v>
      </c>
      <c r="AJ15" s="64">
        <f t="shared" si="1"/>
        <v>1.0184072189367197</v>
      </c>
      <c r="AK15" s="64">
        <f t="shared" si="5"/>
        <v>3.499986312494868</v>
      </c>
      <c r="AL15" s="64">
        <f t="shared" si="7"/>
        <v>42.999753624907626</v>
      </c>
      <c r="AM15" s="81">
        <v>0</v>
      </c>
      <c r="AN15" s="62">
        <f t="shared" si="8"/>
        <v>50</v>
      </c>
      <c r="AO15" s="62">
        <f t="shared" si="6"/>
        <v>-3.499986312494868</v>
      </c>
      <c r="AP15" s="62">
        <f t="shared" si="9"/>
        <v>7.0002463750923782</v>
      </c>
      <c r="AQ15" s="62">
        <f t="shared" si="2"/>
        <v>30.500141437553044</v>
      </c>
      <c r="AZ15" s="204" t="s">
        <v>214</v>
      </c>
      <c r="BA15" s="204"/>
      <c r="BI15" s="41"/>
      <c r="BJ15" s="42"/>
      <c r="BK15" s="154"/>
      <c r="BL15" s="154"/>
    </row>
    <row r="16" spans="2:64" x14ac:dyDescent="0.3">
      <c r="B16" s="31" t="s">
        <v>185</v>
      </c>
      <c r="C16" s="20">
        <v>3.5</v>
      </c>
      <c r="D16" s="20">
        <v>191.78</v>
      </c>
      <c r="E16" s="38">
        <f t="shared" si="10"/>
        <v>53.272222222222226</v>
      </c>
      <c r="F16" s="38">
        <f>Proyeccion!$T$48/21813</f>
        <v>1.9117040297070554E-2</v>
      </c>
      <c r="G16" s="22">
        <f t="shared" si="11"/>
        <v>1.0184072189367197</v>
      </c>
      <c r="I16" s="71">
        <v>0.5</v>
      </c>
      <c r="J16" s="38">
        <v>1.4548598694967831</v>
      </c>
      <c r="K16" s="38">
        <f t="shared" si="0"/>
        <v>1.4548598694967831E-3</v>
      </c>
      <c r="L16" s="38">
        <f t="shared" si="3"/>
        <v>5237.4955301884193</v>
      </c>
      <c r="M16" s="38">
        <f t="shared" si="4"/>
        <v>5.2374955301884194</v>
      </c>
      <c r="AH16" s="71">
        <v>0.5</v>
      </c>
      <c r="AI16" s="71">
        <v>0.54166666666666696</v>
      </c>
      <c r="AJ16" s="64">
        <f t="shared" si="1"/>
        <v>1.4548598694967831</v>
      </c>
      <c r="AK16" s="64">
        <f t="shared" si="5"/>
        <v>4.9999543749828916</v>
      </c>
      <c r="AL16" s="64">
        <f t="shared" si="7"/>
        <v>47.999707999890518</v>
      </c>
      <c r="AM16" s="62">
        <v>0</v>
      </c>
      <c r="AN16" s="62">
        <f t="shared" si="8"/>
        <v>50</v>
      </c>
      <c r="AO16" s="62">
        <f t="shared" si="6"/>
        <v>-4.9999543749828916</v>
      </c>
      <c r="AP16" s="62">
        <f t="shared" si="9"/>
        <v>2.0002920001094866</v>
      </c>
      <c r="AQ16" s="62">
        <f t="shared" si="2"/>
        <v>25.500187062570152</v>
      </c>
      <c r="AZ16" s="119" t="s">
        <v>216</v>
      </c>
      <c r="BA16" s="38">
        <f>BA8+BA12+BA14</f>
        <v>73.405061677819177</v>
      </c>
      <c r="BI16" s="41"/>
      <c r="BJ16" s="42"/>
      <c r="BK16" s="154"/>
      <c r="BL16" s="154"/>
    </row>
    <row r="17" spans="2:67" x14ac:dyDescent="0.3">
      <c r="B17" s="31" t="s">
        <v>186</v>
      </c>
      <c r="C17" s="20">
        <v>5</v>
      </c>
      <c r="D17" s="20">
        <v>273.97000000000003</v>
      </c>
      <c r="E17" s="38">
        <f t="shared" si="10"/>
        <v>76.102777777777774</v>
      </c>
      <c r="F17" s="38">
        <f>Proyeccion!$T$48/21813</f>
        <v>1.9117040297070554E-2</v>
      </c>
      <c r="G17" s="22">
        <f t="shared" si="11"/>
        <v>1.4548598694967831</v>
      </c>
      <c r="I17" s="71">
        <v>0.54166666666666696</v>
      </c>
      <c r="J17" s="38">
        <v>2.4733201913232166</v>
      </c>
      <c r="K17" s="38">
        <f t="shared" si="0"/>
        <v>2.4733201913232166E-3</v>
      </c>
      <c r="L17" s="38">
        <f t="shared" si="3"/>
        <v>8903.9526887635802</v>
      </c>
      <c r="M17" s="38">
        <f t="shared" si="4"/>
        <v>8.9039526887635798</v>
      </c>
      <c r="AH17" s="71">
        <v>0.54166666666666696</v>
      </c>
      <c r="AI17" s="71">
        <v>0.58333333333333304</v>
      </c>
      <c r="AJ17" s="64">
        <f t="shared" si="1"/>
        <v>2.4733201913232166</v>
      </c>
      <c r="AK17" s="64">
        <f t="shared" si="5"/>
        <v>8.5001231875461958</v>
      </c>
      <c r="AL17" s="64">
        <f t="shared" si="7"/>
        <v>56.499831187436712</v>
      </c>
      <c r="AM17" s="62">
        <v>0</v>
      </c>
      <c r="AN17" s="62">
        <f t="shared" si="8"/>
        <v>50</v>
      </c>
      <c r="AO17" s="62">
        <f t="shared" si="6"/>
        <v>-8.5001231875461958</v>
      </c>
      <c r="AP17" s="62">
        <f t="shared" si="9"/>
        <v>-6.4998311874367092</v>
      </c>
      <c r="AQ17" s="62">
        <f t="shared" si="2"/>
        <v>17.000063875023958</v>
      </c>
      <c r="AZ17" s="119" t="s">
        <v>220</v>
      </c>
      <c r="BA17" s="38">
        <f>BA16</f>
        <v>73.405061677819177</v>
      </c>
      <c r="BI17" s="157"/>
      <c r="BJ17" s="157"/>
      <c r="BK17" s="154"/>
      <c r="BL17" s="154"/>
    </row>
    <row r="18" spans="2:67" x14ac:dyDescent="0.3">
      <c r="B18" s="31" t="s">
        <v>187</v>
      </c>
      <c r="C18" s="20">
        <v>8.5</v>
      </c>
      <c r="D18" s="20">
        <v>465.76</v>
      </c>
      <c r="E18" s="38">
        <f t="shared" si="10"/>
        <v>129.37777777777777</v>
      </c>
      <c r="F18" s="38">
        <f>Proyeccion!$T$48/21813</f>
        <v>1.9117040297070554E-2</v>
      </c>
      <c r="G18" s="22">
        <f t="shared" si="11"/>
        <v>2.4733201913232166</v>
      </c>
      <c r="I18" s="71">
        <v>0.58333333333333304</v>
      </c>
      <c r="J18" s="38">
        <v>1.6003617873133757</v>
      </c>
      <c r="K18" s="38">
        <f t="shared" si="0"/>
        <v>1.6003617873133757E-3</v>
      </c>
      <c r="L18" s="38">
        <f t="shared" si="3"/>
        <v>5761.3024343281531</v>
      </c>
      <c r="M18" s="38">
        <f t="shared" si="4"/>
        <v>5.7613024343281527</v>
      </c>
      <c r="AH18" s="71">
        <v>0.58333333333333304</v>
      </c>
      <c r="AI18" s="71">
        <v>0.625</v>
      </c>
      <c r="AJ18" s="64">
        <f t="shared" si="1"/>
        <v>1.6003617873133757</v>
      </c>
      <c r="AK18" s="64">
        <f t="shared" si="5"/>
        <v>5.5000045625017115</v>
      </c>
      <c r="AL18" s="64">
        <f t="shared" si="7"/>
        <v>61.999835749938427</v>
      </c>
      <c r="AM18" s="62">
        <v>0</v>
      </c>
      <c r="AN18" s="62">
        <f t="shared" si="8"/>
        <v>50</v>
      </c>
      <c r="AO18" s="62">
        <f t="shared" si="6"/>
        <v>-5.5000045625017115</v>
      </c>
      <c r="AP18" s="62">
        <f t="shared" si="9"/>
        <v>-11.99983574993842</v>
      </c>
      <c r="AQ18" s="62">
        <f t="shared" si="2"/>
        <v>11.500059312522247</v>
      </c>
      <c r="BI18" s="41"/>
      <c r="BJ18" s="42"/>
      <c r="BK18" s="154"/>
      <c r="BL18" s="154"/>
    </row>
    <row r="19" spans="2:67" x14ac:dyDescent="0.3">
      <c r="B19" s="31" t="s">
        <v>188</v>
      </c>
      <c r="C19" s="20">
        <v>5.5</v>
      </c>
      <c r="D19" s="20">
        <v>301.37</v>
      </c>
      <c r="E19" s="38">
        <f t="shared" si="10"/>
        <v>83.713888888888889</v>
      </c>
      <c r="F19" s="38">
        <f>Proyeccion!$T$48/21813</f>
        <v>1.9117040297070554E-2</v>
      </c>
      <c r="G19" s="22">
        <f t="shared" si="11"/>
        <v>1.6003617873133757</v>
      </c>
      <c r="I19" s="71">
        <v>0.625</v>
      </c>
      <c r="J19" s="38">
        <v>0.8729053011201271</v>
      </c>
      <c r="K19" s="38">
        <f t="shared" si="0"/>
        <v>8.7290530112012709E-4</v>
      </c>
      <c r="L19" s="38">
        <f t="shared" si="3"/>
        <v>3142.4590840324577</v>
      </c>
      <c r="M19" s="38">
        <f t="shared" si="4"/>
        <v>3.1424590840324576</v>
      </c>
      <c r="AH19" s="71">
        <v>0.625</v>
      </c>
      <c r="AI19" s="71">
        <v>0.66666666666666596</v>
      </c>
      <c r="AJ19" s="64">
        <f t="shared" si="1"/>
        <v>0.8729053011201271</v>
      </c>
      <c r="AK19" s="64">
        <f t="shared" si="5"/>
        <v>2.9999361249760472</v>
      </c>
      <c r="AL19" s="64">
        <f t="shared" si="7"/>
        <v>64.999771874914472</v>
      </c>
      <c r="AM19" s="62">
        <v>0</v>
      </c>
      <c r="AN19" s="62">
        <f t="shared" si="8"/>
        <v>50</v>
      </c>
      <c r="AO19" s="62">
        <f t="shared" si="6"/>
        <v>-2.9999361249760472</v>
      </c>
      <c r="AP19" s="62">
        <f t="shared" si="9"/>
        <v>-14.999771874914467</v>
      </c>
      <c r="AQ19" s="62">
        <f t="shared" si="2"/>
        <v>8.5001231875461993</v>
      </c>
      <c r="BI19" s="41"/>
      <c r="BJ19" s="155"/>
      <c r="BK19" s="154"/>
      <c r="BL19" s="154"/>
    </row>
    <row r="20" spans="2:67" x14ac:dyDescent="0.3">
      <c r="B20" s="31" t="s">
        <v>189</v>
      </c>
      <c r="C20" s="20">
        <v>3</v>
      </c>
      <c r="D20" s="20">
        <v>164.38</v>
      </c>
      <c r="E20" s="38">
        <f t="shared" si="10"/>
        <v>45.661111111111111</v>
      </c>
      <c r="F20" s="38">
        <f>Proyeccion!$T$48/21813</f>
        <v>1.9117040297070554E-2</v>
      </c>
      <c r="G20" s="22">
        <f t="shared" si="11"/>
        <v>0.8729053011201271</v>
      </c>
      <c r="I20" s="71">
        <v>0.66666666666666596</v>
      </c>
      <c r="J20" s="38">
        <v>0.72745648619324865</v>
      </c>
      <c r="K20" s="38">
        <f t="shared" ref="K20:K27" si="12">J20/1000</f>
        <v>7.2745648619324866E-4</v>
      </c>
      <c r="L20" s="38">
        <f t="shared" si="3"/>
        <v>2618.843350295695</v>
      </c>
      <c r="M20" s="38">
        <f t="shared" si="4"/>
        <v>2.6188433502956951</v>
      </c>
      <c r="AH20" s="71">
        <v>0.66666666666666596</v>
      </c>
      <c r="AI20" s="71">
        <v>0.70833333333333304</v>
      </c>
      <c r="AJ20" s="64">
        <f t="shared" si="1"/>
        <v>0.72745648619324865</v>
      </c>
      <c r="AK20" s="64">
        <f t="shared" si="5"/>
        <v>2.5000684375256643</v>
      </c>
      <c r="AL20" s="64">
        <f t="shared" si="7"/>
        <v>67.499840312440142</v>
      </c>
      <c r="AM20" s="81">
        <v>0</v>
      </c>
      <c r="AN20" s="62">
        <f t="shared" si="8"/>
        <v>50</v>
      </c>
      <c r="AO20" s="62">
        <f t="shared" si="6"/>
        <v>-2.5000684375256643</v>
      </c>
      <c r="AP20" s="62">
        <f t="shared" si="9"/>
        <v>-17.499840312440131</v>
      </c>
      <c r="AQ20" s="62">
        <f t="shared" si="2"/>
        <v>6.000054750020535</v>
      </c>
      <c r="BI20" s="41"/>
      <c r="BJ20" s="156"/>
      <c r="BK20" s="154"/>
      <c r="BL20" s="154"/>
    </row>
    <row r="21" spans="2:67" x14ac:dyDescent="0.3">
      <c r="B21" s="31" t="s">
        <v>190</v>
      </c>
      <c r="C21" s="20">
        <v>2.5</v>
      </c>
      <c r="D21" s="20">
        <v>136.99</v>
      </c>
      <c r="E21" s="38">
        <f t="shared" si="10"/>
        <v>38.052777777777777</v>
      </c>
      <c r="F21" s="38">
        <f>Proyeccion!$T$48/21813</f>
        <v>1.9117040297070554E-2</v>
      </c>
      <c r="G21" s="22">
        <f t="shared" si="11"/>
        <v>0.72745648619324865</v>
      </c>
      <c r="I21" s="71">
        <v>0.70833333333333304</v>
      </c>
      <c r="J21" s="38">
        <v>0.72745648619324865</v>
      </c>
      <c r="K21" s="38">
        <f t="shared" si="12"/>
        <v>7.2745648619324866E-4</v>
      </c>
      <c r="L21" s="38">
        <f t="shared" si="3"/>
        <v>2618.843350295695</v>
      </c>
      <c r="M21" s="38">
        <f t="shared" si="4"/>
        <v>2.6188433502956951</v>
      </c>
      <c r="AH21" s="71">
        <v>0.70833333333333304</v>
      </c>
      <c r="AI21" s="71">
        <v>0.75</v>
      </c>
      <c r="AJ21" s="64">
        <f t="shared" si="1"/>
        <v>0.72745648619324865</v>
      </c>
      <c r="AK21" s="64">
        <f t="shared" si="5"/>
        <v>2.5000684375256643</v>
      </c>
      <c r="AL21" s="64">
        <f t="shared" si="7"/>
        <v>69.999908749965812</v>
      </c>
      <c r="AM21" s="81">
        <v>0</v>
      </c>
      <c r="AN21" s="62">
        <f t="shared" si="8"/>
        <v>50</v>
      </c>
      <c r="AO21" s="62">
        <f t="shared" si="6"/>
        <v>-2.5000684375256643</v>
      </c>
      <c r="AP21" s="62">
        <f t="shared" si="9"/>
        <v>-19.999908749965797</v>
      </c>
      <c r="AQ21" s="62">
        <f t="shared" si="2"/>
        <v>3.4999863124948689</v>
      </c>
      <c r="BI21" s="154"/>
      <c r="BJ21" s="154"/>
      <c r="BK21" s="154"/>
      <c r="BL21" s="154"/>
    </row>
    <row r="22" spans="2:67" x14ac:dyDescent="0.3">
      <c r="B22" s="31" t="s">
        <v>191</v>
      </c>
      <c r="C22" s="20">
        <v>2.5</v>
      </c>
      <c r="D22" s="20">
        <v>136.99</v>
      </c>
      <c r="E22" s="38">
        <f t="shared" si="10"/>
        <v>38.052777777777777</v>
      </c>
      <c r="F22" s="38">
        <f>Proyeccion!$T$48/21813</f>
        <v>1.9117040297070554E-2</v>
      </c>
      <c r="G22" s="22">
        <f t="shared" si="11"/>
        <v>0.72745648619324865</v>
      </c>
      <c r="I22" s="71">
        <v>0.75</v>
      </c>
      <c r="J22" s="38">
        <v>1.0184072189367197</v>
      </c>
      <c r="K22" s="38">
        <f t="shared" si="12"/>
        <v>1.0184072189367197E-3</v>
      </c>
      <c r="L22" s="38">
        <f t="shared" si="3"/>
        <v>3666.2659881721911</v>
      </c>
      <c r="M22" s="38">
        <f t="shared" si="4"/>
        <v>3.6662659881721908</v>
      </c>
      <c r="AH22" s="142">
        <v>0.75</v>
      </c>
      <c r="AI22" s="142">
        <v>0.79166666666666663</v>
      </c>
      <c r="AJ22" s="64">
        <f t="shared" si="1"/>
        <v>1.0184072189367197</v>
      </c>
      <c r="AK22" s="64">
        <f t="shared" si="5"/>
        <v>3.499986312494868</v>
      </c>
      <c r="AL22" s="64">
        <f t="shared" si="7"/>
        <v>73.499895062460681</v>
      </c>
      <c r="AM22" s="81">
        <v>0</v>
      </c>
      <c r="AN22" s="62">
        <f t="shared" si="8"/>
        <v>50</v>
      </c>
      <c r="AO22" s="62">
        <f t="shared" si="6"/>
        <v>-3.499986312494868</v>
      </c>
      <c r="AP22" s="62">
        <f t="shared" si="9"/>
        <v>-23.499895062460666</v>
      </c>
      <c r="AQ22" s="62">
        <f t="shared" si="2"/>
        <v>0</v>
      </c>
      <c r="BI22" s="154"/>
      <c r="BJ22" s="154"/>
      <c r="BK22" s="154"/>
      <c r="BL22" s="154"/>
    </row>
    <row r="23" spans="2:67" x14ac:dyDescent="0.3">
      <c r="B23" s="31" t="s">
        <v>192</v>
      </c>
      <c r="C23" s="20">
        <v>3.5</v>
      </c>
      <c r="D23" s="20">
        <v>191.78</v>
      </c>
      <c r="E23" s="38">
        <f t="shared" si="10"/>
        <v>53.272222222222226</v>
      </c>
      <c r="F23" s="38">
        <f>Proyeccion!$T$48/21813</f>
        <v>1.9117040297070554E-2</v>
      </c>
      <c r="G23" s="22">
        <f t="shared" si="11"/>
        <v>1.0184072189367197</v>
      </c>
      <c r="I23" s="71">
        <v>0.79166666666666663</v>
      </c>
      <c r="J23" s="38">
        <v>1.6003617873133757</v>
      </c>
      <c r="K23" s="38">
        <f t="shared" si="12"/>
        <v>1.6003617873133757E-3</v>
      </c>
      <c r="L23" s="38">
        <f t="shared" si="3"/>
        <v>5761.3024343281531</v>
      </c>
      <c r="M23" s="38">
        <f t="shared" si="4"/>
        <v>5.7613024343281527</v>
      </c>
      <c r="AH23" s="141">
        <v>0.79166666666666663</v>
      </c>
      <c r="AI23" s="141">
        <v>0.83333333333333304</v>
      </c>
      <c r="AJ23" s="64">
        <f t="shared" si="1"/>
        <v>1.6003617873133757</v>
      </c>
      <c r="AK23" s="64">
        <f t="shared" si="5"/>
        <v>5.5000045625017115</v>
      </c>
      <c r="AL23" s="64">
        <f t="shared" si="7"/>
        <v>78.999899624962396</v>
      </c>
      <c r="AM23" s="81">
        <f>$AK$28/4</f>
        <v>25</v>
      </c>
      <c r="AN23" s="62">
        <f t="shared" si="8"/>
        <v>75</v>
      </c>
      <c r="AO23" s="62">
        <f t="shared" si="6"/>
        <v>19.499995437498288</v>
      </c>
      <c r="AP23" s="62">
        <f t="shared" si="9"/>
        <v>-3.9998996249623779</v>
      </c>
      <c r="AQ23" s="62">
        <f t="shared" si="2"/>
        <v>19.499995437498288</v>
      </c>
      <c r="BI23" s="154"/>
      <c r="BJ23" s="154"/>
      <c r="BK23" s="154"/>
      <c r="BL23" s="154"/>
    </row>
    <row r="24" spans="2:67" x14ac:dyDescent="0.3">
      <c r="B24" s="31" t="s">
        <v>193</v>
      </c>
      <c r="C24" s="20">
        <v>5.5</v>
      </c>
      <c r="D24" s="20">
        <v>301.37</v>
      </c>
      <c r="E24" s="38">
        <f t="shared" si="10"/>
        <v>83.713888888888889</v>
      </c>
      <c r="F24" s="38">
        <f>Proyeccion!$T$48/21813</f>
        <v>1.9117040297070554E-2</v>
      </c>
      <c r="G24" s="22">
        <f t="shared" si="11"/>
        <v>1.6003617873133757</v>
      </c>
      <c r="I24" s="71">
        <v>0.83333333333333304</v>
      </c>
      <c r="J24" s="38">
        <v>2.6187690062500955</v>
      </c>
      <c r="K24" s="38">
        <f t="shared" si="12"/>
        <v>2.6187690062500955E-3</v>
      </c>
      <c r="L24" s="38">
        <f t="shared" si="3"/>
        <v>9427.5684225003424</v>
      </c>
      <c r="M24" s="38">
        <f t="shared" si="4"/>
        <v>9.4275684225003431</v>
      </c>
      <c r="AH24" s="141">
        <v>0.83333333333333304</v>
      </c>
      <c r="AI24" s="141">
        <v>0.875</v>
      </c>
      <c r="AJ24" s="64">
        <f t="shared" si="1"/>
        <v>2.6187690062500955</v>
      </c>
      <c r="AK24" s="64">
        <f t="shared" si="5"/>
        <v>8.9999908749965805</v>
      </c>
      <c r="AL24" s="64">
        <f t="shared" si="7"/>
        <v>87.99989049995898</v>
      </c>
      <c r="AM24" s="121">
        <f>$AK$28/4</f>
        <v>25</v>
      </c>
      <c r="AN24" s="62">
        <f t="shared" si="8"/>
        <v>100</v>
      </c>
      <c r="AO24" s="62">
        <f t="shared" si="6"/>
        <v>16.00000912500342</v>
      </c>
      <c r="AP24" s="62">
        <f t="shared" si="9"/>
        <v>12.000109500041042</v>
      </c>
      <c r="AQ24" s="62">
        <f t="shared" si="2"/>
        <v>35.500004562501708</v>
      </c>
      <c r="BI24" s="154"/>
      <c r="BJ24" s="154"/>
      <c r="BK24" s="154"/>
      <c r="BL24" s="154"/>
    </row>
    <row r="25" spans="2:67" x14ac:dyDescent="0.3">
      <c r="B25" s="31" t="s">
        <v>194</v>
      </c>
      <c r="C25" s="20">
        <v>9</v>
      </c>
      <c r="D25" s="20">
        <v>493.15</v>
      </c>
      <c r="E25" s="38">
        <f t="shared" si="10"/>
        <v>136.98611111111111</v>
      </c>
      <c r="F25" s="38">
        <f>Proyeccion!$T$48/21813</f>
        <v>1.9117040297070554E-2</v>
      </c>
      <c r="G25" s="22">
        <f t="shared" si="11"/>
        <v>2.6187690062500955</v>
      </c>
      <c r="I25" s="71">
        <v>0.875</v>
      </c>
      <c r="J25" s="38">
        <v>2.3278182735066246</v>
      </c>
      <c r="K25" s="38">
        <f t="shared" si="12"/>
        <v>2.3278182735066246E-3</v>
      </c>
      <c r="L25" s="38">
        <f t="shared" si="3"/>
        <v>8380.14578462385</v>
      </c>
      <c r="M25" s="38">
        <f t="shared" si="4"/>
        <v>8.3801457846238492</v>
      </c>
      <c r="AH25" s="71">
        <v>0.875</v>
      </c>
      <c r="AI25" s="71">
        <v>0.91666666666667596</v>
      </c>
      <c r="AJ25" s="64">
        <f t="shared" si="1"/>
        <v>2.3278182735066246</v>
      </c>
      <c r="AK25" s="64">
        <f t="shared" si="5"/>
        <v>8.0000730000273776</v>
      </c>
      <c r="AL25" s="64">
        <f t="shared" si="7"/>
        <v>95.999963499986364</v>
      </c>
      <c r="AM25" s="62">
        <v>0</v>
      </c>
      <c r="AN25" s="62">
        <f t="shared" si="8"/>
        <v>100</v>
      </c>
      <c r="AO25" s="62">
        <f t="shared" si="6"/>
        <v>-8.0000730000273776</v>
      </c>
      <c r="AP25" s="62">
        <f t="shared" si="9"/>
        <v>4.000036500013664</v>
      </c>
      <c r="AQ25" s="62">
        <f t="shared" si="2"/>
        <v>27.49993156247433</v>
      </c>
    </row>
    <row r="26" spans="2:67" x14ac:dyDescent="0.3">
      <c r="B26" s="31" t="s">
        <v>195</v>
      </c>
      <c r="C26" s="20">
        <v>8</v>
      </c>
      <c r="D26" s="20">
        <v>438.36</v>
      </c>
      <c r="E26" s="38">
        <f t="shared" si="10"/>
        <v>121.76666666666667</v>
      </c>
      <c r="F26" s="38">
        <f>Proyeccion!$T$48/21813</f>
        <v>1.9117040297070554E-2</v>
      </c>
      <c r="G26" s="22">
        <f t="shared" si="11"/>
        <v>2.3278182735066246</v>
      </c>
      <c r="I26" s="71">
        <v>0.91666666666667596</v>
      </c>
      <c r="J26" s="38">
        <v>0.72745648619324865</v>
      </c>
      <c r="K26" s="38">
        <f t="shared" si="12"/>
        <v>7.2745648619324866E-4</v>
      </c>
      <c r="L26" s="38">
        <f t="shared" si="3"/>
        <v>2618.843350295695</v>
      </c>
      <c r="M26" s="38">
        <f t="shared" si="4"/>
        <v>2.6188433502956951</v>
      </c>
      <c r="AH26" s="71">
        <v>0.91666666666667596</v>
      </c>
      <c r="AI26" s="71">
        <v>0.95833333333334303</v>
      </c>
      <c r="AJ26" s="64">
        <f t="shared" si="1"/>
        <v>0.72745648619324865</v>
      </c>
      <c r="AK26" s="64">
        <f t="shared" si="5"/>
        <v>2.5000684375256643</v>
      </c>
      <c r="AL26" s="64">
        <f t="shared" si="7"/>
        <v>98.500031937512034</v>
      </c>
      <c r="AM26" s="62">
        <v>0</v>
      </c>
      <c r="AN26" s="62">
        <f t="shared" si="8"/>
        <v>100</v>
      </c>
      <c r="AO26" s="62">
        <f t="shared" si="6"/>
        <v>-2.5000684375256643</v>
      </c>
      <c r="AP26" s="62">
        <f t="shared" si="9"/>
        <v>1.4999680624879996</v>
      </c>
      <c r="AQ26" s="62">
        <f t="shared" si="2"/>
        <v>24.999863124948668</v>
      </c>
    </row>
    <row r="27" spans="2:67" x14ac:dyDescent="0.3">
      <c r="B27" s="31" t="s">
        <v>196</v>
      </c>
      <c r="C27" s="20">
        <v>2.5</v>
      </c>
      <c r="D27" s="20">
        <v>136.99</v>
      </c>
      <c r="E27" s="38">
        <f t="shared" si="10"/>
        <v>38.052777777777777</v>
      </c>
      <c r="F27" s="38">
        <f>Proyeccion!$T$48/21813</f>
        <v>1.9117040297070554E-2</v>
      </c>
      <c r="G27" s="22">
        <f t="shared" si="11"/>
        <v>0.72745648619324865</v>
      </c>
      <c r="I27" s="71">
        <v>0.95833333333334303</v>
      </c>
      <c r="J27" s="38">
        <v>0.43645265056006355</v>
      </c>
      <c r="K27" s="38">
        <f t="shared" si="12"/>
        <v>4.3645265056006354E-4</v>
      </c>
      <c r="L27" s="38">
        <f t="shared" si="3"/>
        <v>1571.2295420162288</v>
      </c>
      <c r="M27" s="38">
        <f t="shared" si="4"/>
        <v>1.5712295420162288</v>
      </c>
      <c r="T27" s="74"/>
      <c r="AH27" s="71">
        <v>0.95833333333334303</v>
      </c>
      <c r="AI27" s="71">
        <v>0</v>
      </c>
      <c r="AJ27" s="64">
        <f t="shared" si="1"/>
        <v>0.43645265056006355</v>
      </c>
      <c r="AK27" s="64">
        <f t="shared" si="5"/>
        <v>1.4999680624880236</v>
      </c>
      <c r="AL27" s="64">
        <f t="shared" si="7"/>
        <v>100.00000000000006</v>
      </c>
      <c r="AM27" s="62">
        <v>0</v>
      </c>
      <c r="AN27" s="62">
        <f t="shared" si="8"/>
        <v>100</v>
      </c>
      <c r="AO27" s="62">
        <f t="shared" si="6"/>
        <v>-1.4999680624880236</v>
      </c>
      <c r="AP27" s="62">
        <f t="shared" si="9"/>
        <v>-2.3980817331903381E-14</v>
      </c>
      <c r="AQ27" s="62">
        <f t="shared" si="2"/>
        <v>23.499895062460642</v>
      </c>
    </row>
    <row r="28" spans="2:67" x14ac:dyDescent="0.3">
      <c r="B28" s="31" t="s">
        <v>197</v>
      </c>
      <c r="C28" s="20">
        <v>1.5</v>
      </c>
      <c r="D28" s="20">
        <v>82.19</v>
      </c>
      <c r="E28" s="38">
        <f t="shared" si="10"/>
        <v>22.830555555555556</v>
      </c>
      <c r="F28" s="38">
        <f>Proyeccion!$T$48/21813</f>
        <v>1.9117040297070554E-2</v>
      </c>
      <c r="G28" s="22">
        <f t="shared" si="11"/>
        <v>0.43645265056006355</v>
      </c>
      <c r="I28" s="247" t="s">
        <v>261</v>
      </c>
      <c r="J28" s="247"/>
      <c r="K28" s="247"/>
      <c r="L28" s="291">
        <f>SUM(L4:L27)</f>
        <v>104750.86645578322</v>
      </c>
      <c r="M28" s="291">
        <f>SUM(M4:M27)</f>
        <v>104.75086645578324</v>
      </c>
      <c r="T28" s="75"/>
      <c r="U28" s="75"/>
      <c r="AH28" s="270" t="s">
        <v>15</v>
      </c>
      <c r="AI28" s="270"/>
      <c r="AJ28" s="64">
        <f>SUM(AJ4:AJ27)</f>
        <v>29.09746290438423</v>
      </c>
      <c r="AK28" s="64">
        <f t="shared" si="5"/>
        <v>100</v>
      </c>
      <c r="AL28" s="271" t="s">
        <v>206</v>
      </c>
      <c r="AM28" s="271"/>
      <c r="AN28" s="271"/>
      <c r="AO28" s="271"/>
      <c r="AP28" s="62">
        <f>MIN(AP4:AP27)</f>
        <v>-23.499895062460666</v>
      </c>
      <c r="AQ28" s="62">
        <f>MAX(AQ4:AQ27)</f>
        <v>38.000164250061601</v>
      </c>
      <c r="AT28" s="9"/>
      <c r="AU28" s="9"/>
      <c r="AV28" s="9"/>
      <c r="AW28" s="9"/>
      <c r="AX28" s="9"/>
    </row>
    <row r="29" spans="2:67" ht="15" thickBot="1" x14ac:dyDescent="0.35">
      <c r="B29" s="37" t="s">
        <v>198</v>
      </c>
      <c r="C29" s="21">
        <v>1</v>
      </c>
      <c r="D29" s="21">
        <v>54.79</v>
      </c>
      <c r="E29" s="39">
        <f t="shared" si="10"/>
        <v>15.219444444444445</v>
      </c>
      <c r="F29" s="39">
        <f>Proyeccion!$T$48/21813</f>
        <v>1.9117040297070554E-2</v>
      </c>
      <c r="G29" s="24">
        <f t="shared" si="11"/>
        <v>0.29095073274347105</v>
      </c>
      <c r="I29" s="247"/>
      <c r="J29" s="247"/>
      <c r="K29" s="247"/>
      <c r="L29" s="291"/>
      <c r="M29" s="291"/>
      <c r="AT29" s="9"/>
      <c r="AU29" s="9"/>
      <c r="AV29" s="9"/>
      <c r="AW29" s="9"/>
      <c r="AX29" s="9"/>
    </row>
    <row r="30" spans="2:67" x14ac:dyDescent="0.3">
      <c r="F30" s="73"/>
      <c r="K30" s="76"/>
      <c r="L30" s="76"/>
      <c r="M30" s="76"/>
      <c r="AH30" s="204" t="s">
        <v>227</v>
      </c>
      <c r="AI30" s="204"/>
      <c r="AJ30" s="204"/>
      <c r="AK30" s="204"/>
      <c r="AL30" s="204"/>
      <c r="AM30" s="204"/>
      <c r="AN30" s="204"/>
      <c r="AO30" s="204"/>
      <c r="AP30" s="204"/>
      <c r="AQ30" s="204"/>
      <c r="AT30" s="9"/>
      <c r="AU30" s="9"/>
      <c r="AV30" s="9"/>
      <c r="AW30" s="9"/>
      <c r="AX30" s="9"/>
      <c r="AZ30" s="204" t="s">
        <v>223</v>
      </c>
      <c r="BA30" s="204"/>
      <c r="BC30" s="204" t="s">
        <v>217</v>
      </c>
      <c r="BD30" s="204"/>
      <c r="BF30" s="117" t="s">
        <v>121</v>
      </c>
      <c r="BG30" s="117" t="s">
        <v>117</v>
      </c>
      <c r="BI30" s="204" t="s">
        <v>244</v>
      </c>
      <c r="BJ30" s="204"/>
      <c r="BL30" s="123" t="s">
        <v>74</v>
      </c>
      <c r="BM30" s="128" t="s">
        <v>269</v>
      </c>
      <c r="BN30" s="117" t="s">
        <v>36</v>
      </c>
      <c r="BO30" s="117" t="s">
        <v>35</v>
      </c>
    </row>
    <row r="31" spans="2:67" x14ac:dyDescent="0.3">
      <c r="I31" s="72"/>
      <c r="J31" s="9"/>
      <c r="K31" s="41"/>
      <c r="L31" s="76"/>
      <c r="M31" s="76"/>
      <c r="AH31" s="204" t="s">
        <v>124</v>
      </c>
      <c r="AI31" s="204"/>
      <c r="AJ31" s="61" t="s">
        <v>123</v>
      </c>
      <c r="AK31" s="61" t="s">
        <v>125</v>
      </c>
      <c r="AL31" s="44" t="s">
        <v>126</v>
      </c>
      <c r="AM31" s="61" t="s">
        <v>127</v>
      </c>
      <c r="AN31" s="61" t="s">
        <v>128</v>
      </c>
      <c r="AO31" s="63" t="s">
        <v>129</v>
      </c>
      <c r="AP31" s="61" t="s">
        <v>130</v>
      </c>
      <c r="AQ31" s="63" t="s">
        <v>131</v>
      </c>
      <c r="AZ31" s="203" t="s">
        <v>208</v>
      </c>
      <c r="BA31" s="203"/>
      <c r="BC31" s="119" t="s">
        <v>218</v>
      </c>
      <c r="BD31" s="38">
        <f>BA45/100</f>
        <v>1.4560110281834553</v>
      </c>
      <c r="BF31" s="119" t="s">
        <v>132</v>
      </c>
      <c r="BG31" s="115">
        <v>2</v>
      </c>
      <c r="BI31" s="119" t="s">
        <v>285</v>
      </c>
      <c r="BJ31" s="38">
        <f>(BA36)/(BD33*BD34)</f>
        <v>0.55119225990976306</v>
      </c>
      <c r="BL31" s="117" t="s">
        <v>38</v>
      </c>
      <c r="BM31" s="68">
        <v>0.6</v>
      </c>
      <c r="BN31" s="102"/>
      <c r="BO31" s="23" t="str">
        <f>IF(BN31="","",BN31*(0.00774*BM31*(150^1.85)*($BJ$38^4.85)*(($BA$32)^0.15)))</f>
        <v/>
      </c>
    </row>
    <row r="32" spans="2:67" x14ac:dyDescent="0.3">
      <c r="L32" s="41"/>
      <c r="M32" s="41"/>
      <c r="AH32" s="71">
        <v>1.00000000000001</v>
      </c>
      <c r="AI32" s="71">
        <v>1.0416666666666801</v>
      </c>
      <c r="AJ32" s="64">
        <f t="shared" ref="AJ32:AJ55" si="13">J4</f>
        <v>0.29095073274347105</v>
      </c>
      <c r="AK32" s="64">
        <f>(AJ32/$AJ$56)*100</f>
        <v>0.99991787496920348</v>
      </c>
      <c r="AL32" s="64">
        <f>AK32</f>
        <v>0.99991787496920348</v>
      </c>
      <c r="AM32" s="62">
        <v>0</v>
      </c>
      <c r="AN32" s="62">
        <f>AM32</f>
        <v>0</v>
      </c>
      <c r="AO32" s="62">
        <f>AM32-AK32</f>
        <v>-0.99991787496920348</v>
      </c>
      <c r="AP32" s="62">
        <f>AO32</f>
        <v>-0.99991787496920348</v>
      </c>
      <c r="AQ32" s="62">
        <f t="shared" ref="AQ32:AQ55" si="14">(-$AP$56)+AP32</f>
        <v>5.4443623194136253</v>
      </c>
      <c r="AZ32" s="124" t="s">
        <v>228</v>
      </c>
      <c r="BA32" s="12">
        <f>Proyeccion!$AE$48/1000</f>
        <v>7.5952119883040915E-4</v>
      </c>
      <c r="BC32" s="119" t="s">
        <v>219</v>
      </c>
      <c r="BD32" s="115">
        <f>ROUNDUP(((BD31/3)+IF(BD31&lt;4,BG31,IF(AND(BD31&gt;=4,BD31&lt;=6),BG32,IF(AND(BD31&gt;=7,BD31&lt;=9),BG33,IF(AND(BD31&gt;=10,BD31&lt;=13),BG34,IF(AND(BD31&gt;=14,BD31&lt;=16),BG35,IF(BD31&gt;=17,BG36,"Error"))))))),1)</f>
        <v>2.5</v>
      </c>
      <c r="BF32" s="143" t="s">
        <v>134</v>
      </c>
      <c r="BG32" s="115">
        <v>1.8</v>
      </c>
      <c r="BI32" s="119" t="s">
        <v>302</v>
      </c>
      <c r="BJ32" s="102">
        <v>426.3365</v>
      </c>
      <c r="BL32" s="117" t="s">
        <v>39</v>
      </c>
      <c r="BM32" s="68">
        <v>0.8</v>
      </c>
      <c r="BN32" s="102"/>
      <c r="BO32" s="23" t="str">
        <f t="shared" ref="BO32:BO49" si="15">IF(BN32="","",BN32*(0.00774*BM32*(150^1.85)*($BJ$38^4.85)*(($BA$32)^0.15)))</f>
        <v/>
      </c>
    </row>
    <row r="33" spans="8:67" x14ac:dyDescent="0.3">
      <c r="I33" s="87"/>
      <c r="K33" s="73"/>
      <c r="O33" s="292"/>
      <c r="P33" s="292"/>
      <c r="AH33" s="71">
        <v>1.0416666666666801</v>
      </c>
      <c r="AI33" s="71">
        <v>1.0833333333333499</v>
      </c>
      <c r="AJ33" s="64">
        <f t="shared" si="13"/>
        <v>0.29095073274347105</v>
      </c>
      <c r="AK33" s="64">
        <f t="shared" ref="AK33:AK55" si="16">(AJ33/$AJ$56)*100</f>
        <v>0.99991787496920348</v>
      </c>
      <c r="AL33" s="64">
        <f>AK33+AL32</f>
        <v>1.999835749938407</v>
      </c>
      <c r="AM33" s="62">
        <v>0</v>
      </c>
      <c r="AN33" s="62">
        <f>AM33+AN32</f>
        <v>0</v>
      </c>
      <c r="AO33" s="62">
        <f t="shared" ref="AO33:AO55" si="17">AM33-AK33</f>
        <v>-0.99991787496920348</v>
      </c>
      <c r="AP33" s="62">
        <f>AO33+AP32</f>
        <v>-1.999835749938407</v>
      </c>
      <c r="AQ33" s="62">
        <f t="shared" si="14"/>
        <v>4.4444444444444215</v>
      </c>
      <c r="AZ33" s="124" t="s">
        <v>133</v>
      </c>
      <c r="BA33" s="12">
        <f>BA32*86400</f>
        <v>65.622631578947349</v>
      </c>
      <c r="BC33" s="119" t="s">
        <v>221</v>
      </c>
      <c r="BD33" s="119">
        <f>ROUNDUP(SQRT(BA45/BD32),1)</f>
        <v>7.6999999999999993</v>
      </c>
      <c r="BF33" s="119" t="s">
        <v>135</v>
      </c>
      <c r="BG33" s="115">
        <v>1.5</v>
      </c>
      <c r="BI33" s="119" t="s">
        <v>286</v>
      </c>
      <c r="BJ33" s="38">
        <f>BJ32-BJ31</f>
        <v>425.78530774009022</v>
      </c>
      <c r="BL33" s="117" t="s">
        <v>40</v>
      </c>
      <c r="BM33" s="68">
        <v>0.9</v>
      </c>
      <c r="BN33" s="102">
        <v>3</v>
      </c>
      <c r="BO33" s="23">
        <f t="shared" si="15"/>
        <v>1.1518316890718012E-3</v>
      </c>
    </row>
    <row r="34" spans="8:67" x14ac:dyDescent="0.3">
      <c r="I34" s="87"/>
      <c r="J34" s="66"/>
      <c r="K34" s="77"/>
      <c r="L34" s="73"/>
      <c r="M34" s="73"/>
      <c r="O34" s="292"/>
      <c r="P34" s="292"/>
      <c r="AH34" s="71">
        <v>1.0833333333333499</v>
      </c>
      <c r="AI34" s="71">
        <v>1.12500000000001</v>
      </c>
      <c r="AJ34" s="64">
        <f t="shared" si="13"/>
        <v>0.29095073274347105</v>
      </c>
      <c r="AK34" s="64">
        <f t="shared" si="16"/>
        <v>0.99991787496920348</v>
      </c>
      <c r="AL34" s="64">
        <f t="shared" ref="AL34:AL55" si="18">AK34+AL33</f>
        <v>2.9997536249076102</v>
      </c>
      <c r="AM34" s="121">
        <v>0</v>
      </c>
      <c r="AN34" s="62">
        <f t="shared" ref="AN34:AN55" si="19">AM34+AN33</f>
        <v>0</v>
      </c>
      <c r="AO34" s="62">
        <f t="shared" si="17"/>
        <v>-0.99991787496920348</v>
      </c>
      <c r="AP34" s="62">
        <f t="shared" ref="AP34:AP55" si="20">AO34+AP33</f>
        <v>-2.9997536249076102</v>
      </c>
      <c r="AQ34" s="62">
        <f t="shared" si="14"/>
        <v>3.4445265694752187</v>
      </c>
      <c r="AZ34" s="124" t="s">
        <v>131</v>
      </c>
      <c r="BA34" s="12">
        <f>MAX($AQ$32:$AQ$55)</f>
        <v>41.50015056255647</v>
      </c>
      <c r="BC34" s="119" t="s">
        <v>222</v>
      </c>
      <c r="BD34" s="119">
        <f>BD33</f>
        <v>7.6999999999999993</v>
      </c>
      <c r="BF34" s="119" t="s">
        <v>136</v>
      </c>
      <c r="BG34" s="115">
        <v>1.3</v>
      </c>
      <c r="BI34" s="119" t="s">
        <v>287</v>
      </c>
      <c r="BJ34" s="38">
        <f>BJ32-BD32</f>
        <v>423.8365</v>
      </c>
      <c r="BL34" s="117" t="s">
        <v>271</v>
      </c>
      <c r="BM34" s="68">
        <v>0.4</v>
      </c>
      <c r="BN34" s="102">
        <v>1</v>
      </c>
      <c r="BO34" s="23">
        <f t="shared" si="15"/>
        <v>1.7064173171434091E-4</v>
      </c>
    </row>
    <row r="35" spans="8:67" x14ac:dyDescent="0.3">
      <c r="H35" s="87"/>
      <c r="I35" s="72"/>
      <c r="J35" s="9"/>
      <c r="K35" s="72"/>
      <c r="L35" s="77"/>
      <c r="M35" s="77"/>
      <c r="O35" s="292"/>
      <c r="P35" s="292"/>
      <c r="AH35" s="141">
        <v>1.12500000000001</v>
      </c>
      <c r="AI35" s="141">
        <v>1.1666666666666801</v>
      </c>
      <c r="AJ35" s="64">
        <f t="shared" si="13"/>
        <v>0.43645265056006355</v>
      </c>
      <c r="AK35" s="64">
        <f t="shared" si="16"/>
        <v>1.4999680624880236</v>
      </c>
      <c r="AL35" s="64">
        <f t="shared" si="18"/>
        <v>4.4997216873956338</v>
      </c>
      <c r="AM35" s="121">
        <f>$AL$55/9</f>
        <v>11.111111111111118</v>
      </c>
      <c r="AN35" s="62">
        <f t="shared" si="19"/>
        <v>11.111111111111118</v>
      </c>
      <c r="AO35" s="62">
        <f t="shared" si="17"/>
        <v>9.6111430486230951</v>
      </c>
      <c r="AP35" s="62">
        <f t="shared" si="20"/>
        <v>6.6113894237154849</v>
      </c>
      <c r="AQ35" s="62">
        <f t="shared" si="14"/>
        <v>13.055669618098314</v>
      </c>
      <c r="AZ35" s="124" t="s">
        <v>207</v>
      </c>
      <c r="BA35" s="144">
        <v>1.2</v>
      </c>
      <c r="BF35" s="119" t="s">
        <v>138</v>
      </c>
      <c r="BG35" s="115">
        <v>1</v>
      </c>
      <c r="BI35" s="119" t="s">
        <v>288</v>
      </c>
      <c r="BJ35" s="119">
        <f>BJ32+0.5</f>
        <v>426.8365</v>
      </c>
      <c r="BL35" s="117" t="s">
        <v>272</v>
      </c>
      <c r="BM35" s="68">
        <v>0.2</v>
      </c>
      <c r="BN35" s="102"/>
      <c r="BO35" s="23" t="str">
        <f t="shared" si="15"/>
        <v/>
      </c>
    </row>
    <row r="36" spans="8:67" x14ac:dyDescent="0.3">
      <c r="H36" s="87"/>
      <c r="I36" s="72"/>
      <c r="J36" s="9"/>
      <c r="K36" s="72"/>
      <c r="L36" s="72"/>
      <c r="M36" s="72"/>
      <c r="AH36" s="141">
        <v>1.1666666666666801</v>
      </c>
      <c r="AI36" s="141">
        <v>1.2083333333333499</v>
      </c>
      <c r="AJ36" s="64">
        <f t="shared" si="13"/>
        <v>0.43645265056006355</v>
      </c>
      <c r="AK36" s="64">
        <f t="shared" si="16"/>
        <v>1.4999680624880236</v>
      </c>
      <c r="AL36" s="64">
        <f t="shared" si="18"/>
        <v>5.9996897498836574</v>
      </c>
      <c r="AM36" s="121">
        <f>$AL$55/9</f>
        <v>11.111111111111118</v>
      </c>
      <c r="AN36" s="62">
        <f t="shared" si="19"/>
        <v>22.222222222222236</v>
      </c>
      <c r="AO36" s="62">
        <f t="shared" si="17"/>
        <v>9.6111430486230951</v>
      </c>
      <c r="AP36" s="62">
        <f t="shared" si="20"/>
        <v>16.222532472338578</v>
      </c>
      <c r="AQ36" s="62">
        <f t="shared" si="14"/>
        <v>22.666812666721405</v>
      </c>
      <c r="AZ36" s="124" t="s">
        <v>137</v>
      </c>
      <c r="BA36" s="12">
        <f>BA33*(BA34/100)*BA35</f>
        <v>32.680189090049851</v>
      </c>
      <c r="BF36" s="119" t="s">
        <v>139</v>
      </c>
      <c r="BG36" s="115">
        <v>0.7</v>
      </c>
      <c r="BI36" s="204" t="s">
        <v>289</v>
      </c>
      <c r="BJ36" s="204"/>
      <c r="BL36" s="117" t="s">
        <v>41</v>
      </c>
      <c r="BM36" s="68">
        <v>0.5</v>
      </c>
      <c r="BN36" s="102">
        <v>1</v>
      </c>
      <c r="BO36" s="23">
        <f t="shared" si="15"/>
        <v>2.1330216464292612E-4</v>
      </c>
    </row>
    <row r="37" spans="8:67" x14ac:dyDescent="0.3">
      <c r="I37" s="72"/>
      <c r="J37" s="9"/>
      <c r="K37" s="9"/>
      <c r="L37" s="72"/>
      <c r="M37" s="72"/>
      <c r="AH37" s="141">
        <v>1.2083333333333499</v>
      </c>
      <c r="AI37" s="141">
        <v>1.25000000000002</v>
      </c>
      <c r="AJ37" s="64">
        <f t="shared" si="13"/>
        <v>0.58195456837665616</v>
      </c>
      <c r="AK37" s="64">
        <f t="shared" si="16"/>
        <v>2.0000182500068444</v>
      </c>
      <c r="AL37" s="64">
        <f t="shared" si="18"/>
        <v>7.9997079998905019</v>
      </c>
      <c r="AM37" s="121">
        <f>$AL$55/9</f>
        <v>11.111111111111118</v>
      </c>
      <c r="AN37" s="62">
        <f t="shared" si="19"/>
        <v>33.333333333333357</v>
      </c>
      <c r="AO37" s="62">
        <f t="shared" si="17"/>
        <v>9.1110928611042734</v>
      </c>
      <c r="AP37" s="62">
        <f t="shared" si="20"/>
        <v>25.333625333442853</v>
      </c>
      <c r="AQ37" s="62">
        <f t="shared" si="14"/>
        <v>31.777905527825681</v>
      </c>
      <c r="AZ37" s="204" t="s">
        <v>209</v>
      </c>
      <c r="BA37" s="204"/>
      <c r="BI37" s="119" t="s">
        <v>291</v>
      </c>
      <c r="BJ37" s="109">
        <v>4</v>
      </c>
      <c r="BL37" s="117" t="s">
        <v>42</v>
      </c>
      <c r="BM37" s="68">
        <v>0.9</v>
      </c>
      <c r="BN37" s="102"/>
      <c r="BO37" s="23" t="str">
        <f t="shared" si="15"/>
        <v/>
      </c>
    </row>
    <row r="38" spans="8:67" x14ac:dyDescent="0.3">
      <c r="L38" s="9"/>
      <c r="M38" s="9"/>
      <c r="AH38" s="141">
        <v>1.25000000000002</v>
      </c>
      <c r="AI38" s="141">
        <v>1.2916666666666801</v>
      </c>
      <c r="AJ38" s="64">
        <f t="shared" si="13"/>
        <v>1.0184072189367197</v>
      </c>
      <c r="AK38" s="64">
        <f t="shared" si="16"/>
        <v>3.499986312494868</v>
      </c>
      <c r="AL38" s="64">
        <f t="shared" si="18"/>
        <v>11.499694312385369</v>
      </c>
      <c r="AM38" s="81">
        <f>$AL$55/9</f>
        <v>11.111111111111118</v>
      </c>
      <c r="AN38" s="62">
        <f t="shared" si="19"/>
        <v>44.444444444444471</v>
      </c>
      <c r="AO38" s="62">
        <f t="shared" si="17"/>
        <v>7.6111247986162498</v>
      </c>
      <c r="AP38" s="62">
        <f t="shared" si="20"/>
        <v>32.944750132059106</v>
      </c>
      <c r="AQ38" s="62">
        <f t="shared" si="14"/>
        <v>39.389030326441933</v>
      </c>
      <c r="AZ38" s="124" t="s">
        <v>210</v>
      </c>
      <c r="BA38" s="145">
        <v>0</v>
      </c>
      <c r="BI38" s="119" t="s">
        <v>292</v>
      </c>
      <c r="BJ38" s="119">
        <f>BJ37*0.0254</f>
        <v>0.1016</v>
      </c>
      <c r="BL38" s="117" t="s">
        <v>43</v>
      </c>
      <c r="BM38" s="68">
        <v>0.2</v>
      </c>
      <c r="BN38" s="102"/>
      <c r="BO38" s="23" t="str">
        <f t="shared" si="15"/>
        <v/>
      </c>
    </row>
    <row r="39" spans="8:67" x14ac:dyDescent="0.3">
      <c r="AH39" s="141">
        <v>1.2916666666666801</v>
      </c>
      <c r="AI39" s="141">
        <v>1.3333333333333499</v>
      </c>
      <c r="AJ39" s="64">
        <f t="shared" si="13"/>
        <v>2.6187690062500955</v>
      </c>
      <c r="AK39" s="64">
        <f t="shared" si="16"/>
        <v>8.9999908749965805</v>
      </c>
      <c r="AL39" s="64">
        <f t="shared" si="18"/>
        <v>20.499685187381949</v>
      </c>
      <c r="AM39" s="81">
        <f>$AL$55/9</f>
        <v>11.111111111111118</v>
      </c>
      <c r="AN39" s="62">
        <f t="shared" si="19"/>
        <v>55.555555555555586</v>
      </c>
      <c r="AO39" s="62">
        <f t="shared" si="17"/>
        <v>2.1111202361145374</v>
      </c>
      <c r="AP39" s="62">
        <f t="shared" si="20"/>
        <v>35.055870368173643</v>
      </c>
      <c r="AQ39" s="62">
        <f t="shared" si="14"/>
        <v>41.50015056255647</v>
      </c>
      <c r="AZ39" s="124" t="s">
        <v>211</v>
      </c>
      <c r="BA39" s="134">
        <v>0</v>
      </c>
      <c r="BD39" s="87"/>
      <c r="BI39" s="119" t="s">
        <v>290</v>
      </c>
      <c r="BJ39" s="102">
        <v>421.53699999999998</v>
      </c>
      <c r="BL39" s="117" t="s">
        <v>345</v>
      </c>
      <c r="BM39" s="68">
        <v>0.05</v>
      </c>
      <c r="BN39" s="102">
        <v>1</v>
      </c>
      <c r="BO39" s="23">
        <f t="shared" si="15"/>
        <v>2.1330216464292614E-5</v>
      </c>
    </row>
    <row r="40" spans="8:67" x14ac:dyDescent="0.3">
      <c r="AH40" s="142">
        <v>1.3333333333333499</v>
      </c>
      <c r="AI40" s="142">
        <v>1.37500000000002</v>
      </c>
      <c r="AJ40" s="64">
        <f t="shared" si="13"/>
        <v>2.3278182735066246</v>
      </c>
      <c r="AK40" s="64">
        <f t="shared" si="16"/>
        <v>8.0000730000273776</v>
      </c>
      <c r="AL40" s="64">
        <f t="shared" si="18"/>
        <v>28.499758187409327</v>
      </c>
      <c r="AM40" s="81">
        <v>0</v>
      </c>
      <c r="AN40" s="62">
        <f t="shared" si="19"/>
        <v>55.555555555555586</v>
      </c>
      <c r="AO40" s="62">
        <f t="shared" si="17"/>
        <v>-8.0000730000273776</v>
      </c>
      <c r="AP40" s="62">
        <f t="shared" si="20"/>
        <v>27.055797368146266</v>
      </c>
      <c r="AQ40" s="62">
        <f t="shared" si="14"/>
        <v>33.500077562529093</v>
      </c>
      <c r="AZ40" s="119" t="s">
        <v>212</v>
      </c>
      <c r="BA40" s="119">
        <f>BA38*(BA39*3600)</f>
        <v>0</v>
      </c>
      <c r="BI40" s="119" t="s">
        <v>293</v>
      </c>
      <c r="BJ40" s="119">
        <f>BJ32-BJ39</f>
        <v>4.7995000000000232</v>
      </c>
      <c r="BL40" s="117" t="s">
        <v>44</v>
      </c>
      <c r="BM40" s="68">
        <v>10</v>
      </c>
      <c r="BN40" s="102"/>
      <c r="BO40" s="23" t="str">
        <f t="shared" si="15"/>
        <v/>
      </c>
    </row>
    <row r="41" spans="8:67" x14ac:dyDescent="0.3">
      <c r="AH41" s="142">
        <v>1.37500000000002</v>
      </c>
      <c r="AI41" s="142">
        <v>0.41666666666666702</v>
      </c>
      <c r="AJ41" s="64">
        <f t="shared" si="13"/>
        <v>2.0368144378734394</v>
      </c>
      <c r="AK41" s="64">
        <f t="shared" si="16"/>
        <v>6.999972624989736</v>
      </c>
      <c r="AL41" s="64">
        <f t="shared" si="18"/>
        <v>35.499730812399065</v>
      </c>
      <c r="AM41" s="81">
        <v>0</v>
      </c>
      <c r="AN41" s="62">
        <f t="shared" si="19"/>
        <v>55.555555555555586</v>
      </c>
      <c r="AO41" s="62">
        <f t="shared" si="17"/>
        <v>-6.999972624989736</v>
      </c>
      <c r="AP41" s="62">
        <f t="shared" si="20"/>
        <v>20.055824743156528</v>
      </c>
      <c r="AQ41" s="62">
        <f t="shared" si="14"/>
        <v>26.500104937539355</v>
      </c>
      <c r="AZ41" s="204" t="s">
        <v>213</v>
      </c>
      <c r="BA41" s="204"/>
      <c r="BI41" s="119" t="s">
        <v>294</v>
      </c>
      <c r="BJ41" s="102">
        <f>0.829+2+85.763+26.934+40</f>
        <v>155.52600000000001</v>
      </c>
      <c r="BL41" s="117" t="s">
        <v>45</v>
      </c>
      <c r="BM41" s="68">
        <v>5</v>
      </c>
      <c r="BN41" s="102"/>
      <c r="BO41" s="23" t="str">
        <f t="shared" si="15"/>
        <v/>
      </c>
    </row>
    <row r="42" spans="8:67" x14ac:dyDescent="0.3">
      <c r="AH42" s="142">
        <v>0.41666666666666702</v>
      </c>
      <c r="AI42" s="142">
        <v>0.45833333333333298</v>
      </c>
      <c r="AJ42" s="64">
        <f t="shared" si="13"/>
        <v>1.1639091367533123</v>
      </c>
      <c r="AK42" s="64">
        <f t="shared" si="16"/>
        <v>4.0000365000136888</v>
      </c>
      <c r="AL42" s="64">
        <f t="shared" si="18"/>
        <v>39.499767312412757</v>
      </c>
      <c r="AM42" s="81">
        <v>0</v>
      </c>
      <c r="AN42" s="62">
        <f t="shared" si="19"/>
        <v>55.555555555555586</v>
      </c>
      <c r="AO42" s="62">
        <f t="shared" si="17"/>
        <v>-4.0000365000136888</v>
      </c>
      <c r="AP42" s="62">
        <f t="shared" si="20"/>
        <v>16.055788243142839</v>
      </c>
      <c r="AQ42" s="62">
        <f t="shared" si="14"/>
        <v>22.50006843752567</v>
      </c>
      <c r="AZ42" s="119" t="s">
        <v>215</v>
      </c>
      <c r="BA42" s="38">
        <f>0.25*BA36</f>
        <v>8.1700472725124627</v>
      </c>
      <c r="BI42" s="204" t="s">
        <v>297</v>
      </c>
      <c r="BJ42" s="204"/>
      <c r="BL42" s="117" t="s">
        <v>46</v>
      </c>
      <c r="BM42" s="68">
        <v>0.3</v>
      </c>
      <c r="BN42" s="102">
        <v>1</v>
      </c>
      <c r="BO42" s="23">
        <f t="shared" si="15"/>
        <v>1.2798129878575568E-4</v>
      </c>
    </row>
    <row r="43" spans="8:67" x14ac:dyDescent="0.3">
      <c r="AH43" s="71">
        <v>0.45833333333333298</v>
      </c>
      <c r="AI43" s="71">
        <v>0.5</v>
      </c>
      <c r="AJ43" s="64">
        <f t="shared" si="13"/>
        <v>1.0184072189367197</v>
      </c>
      <c r="AK43" s="64">
        <f t="shared" si="16"/>
        <v>3.499986312494868</v>
      </c>
      <c r="AL43" s="64">
        <f t="shared" si="18"/>
        <v>42.999753624907626</v>
      </c>
      <c r="AM43" s="81">
        <v>0</v>
      </c>
      <c r="AN43" s="62">
        <f t="shared" si="19"/>
        <v>55.555555555555586</v>
      </c>
      <c r="AO43" s="62">
        <f t="shared" si="17"/>
        <v>-3.499986312494868</v>
      </c>
      <c r="AP43" s="62">
        <f t="shared" si="20"/>
        <v>12.55580193064797</v>
      </c>
      <c r="AQ43" s="62">
        <f t="shared" si="14"/>
        <v>19.000082125030801</v>
      </c>
      <c r="AZ43" s="204" t="s">
        <v>214</v>
      </c>
      <c r="BA43" s="204"/>
      <c r="BI43" s="119" t="s">
        <v>298</v>
      </c>
      <c r="BJ43" s="38">
        <f>BJ40/BO51</f>
        <v>3.0859372931385552E-2</v>
      </c>
      <c r="BL43" s="117" t="s">
        <v>47</v>
      </c>
      <c r="BM43" s="68">
        <v>1.8</v>
      </c>
      <c r="BN43" s="102"/>
      <c r="BO43" s="23" t="str">
        <f t="shared" si="15"/>
        <v/>
      </c>
    </row>
    <row r="44" spans="8:67" x14ac:dyDescent="0.3">
      <c r="AH44" s="71">
        <v>0.5</v>
      </c>
      <c r="AI44" s="71">
        <v>0.54166666666666696</v>
      </c>
      <c r="AJ44" s="64">
        <f t="shared" si="13"/>
        <v>1.4548598694967831</v>
      </c>
      <c r="AK44" s="64">
        <f t="shared" si="16"/>
        <v>4.9999543749828916</v>
      </c>
      <c r="AL44" s="64">
        <f t="shared" si="18"/>
        <v>47.999707999890518</v>
      </c>
      <c r="AM44" s="62">
        <v>0</v>
      </c>
      <c r="AN44" s="62">
        <f t="shared" si="19"/>
        <v>55.555555555555586</v>
      </c>
      <c r="AO44" s="62">
        <f t="shared" si="17"/>
        <v>-4.9999543749828916</v>
      </c>
      <c r="AP44" s="62">
        <f t="shared" si="20"/>
        <v>7.5558475556650784</v>
      </c>
      <c r="AQ44" s="62">
        <f t="shared" si="14"/>
        <v>14.000127750047907</v>
      </c>
      <c r="AZ44" s="119" t="s">
        <v>216</v>
      </c>
      <c r="BA44" s="38">
        <f>BA36+BA40+BA42</f>
        <v>40.850236362562313</v>
      </c>
      <c r="BI44" s="119" t="s">
        <v>299</v>
      </c>
      <c r="BJ44" s="38">
        <f>0.2785*150*(BJ38^2.63)*(BJ43^0.54)</f>
        <v>1.5606874668617526E-2</v>
      </c>
      <c r="BL44" s="117" t="s">
        <v>48</v>
      </c>
      <c r="BM44" s="68">
        <v>1.8</v>
      </c>
      <c r="BN44" s="102"/>
      <c r="BO44" s="23" t="str">
        <f t="shared" si="15"/>
        <v/>
      </c>
    </row>
    <row r="45" spans="8:67" x14ac:dyDescent="0.3">
      <c r="AH45" s="71">
        <v>0.54166666666666696</v>
      </c>
      <c r="AI45" s="71">
        <v>0.58333333333333304</v>
      </c>
      <c r="AJ45" s="64">
        <f t="shared" si="13"/>
        <v>2.4733201913232166</v>
      </c>
      <c r="AK45" s="64">
        <f t="shared" si="16"/>
        <v>8.5001231875461958</v>
      </c>
      <c r="AL45" s="64">
        <f t="shared" si="18"/>
        <v>56.499831187436712</v>
      </c>
      <c r="AM45" s="62">
        <v>0</v>
      </c>
      <c r="AN45" s="62">
        <f t="shared" si="19"/>
        <v>55.555555555555586</v>
      </c>
      <c r="AO45" s="62">
        <f t="shared" si="17"/>
        <v>-8.5001231875461958</v>
      </c>
      <c r="AP45" s="62">
        <f t="shared" si="20"/>
        <v>-0.94427563188111741</v>
      </c>
      <c r="AQ45" s="62">
        <f t="shared" si="14"/>
        <v>5.5000045625017115</v>
      </c>
      <c r="AZ45" s="119" t="s">
        <v>220</v>
      </c>
      <c r="BA45" s="38">
        <f>BA44+Z3</f>
        <v>145.60110281834554</v>
      </c>
      <c r="BI45" s="204" t="s">
        <v>295</v>
      </c>
      <c r="BJ45" s="204"/>
      <c r="BL45" s="117" t="s">
        <v>49</v>
      </c>
      <c r="BM45" s="68">
        <v>3</v>
      </c>
      <c r="BN45" s="102"/>
      <c r="BO45" s="23" t="str">
        <f t="shared" si="15"/>
        <v/>
      </c>
    </row>
    <row r="46" spans="8:67" x14ac:dyDescent="0.3">
      <c r="AH46" s="71">
        <v>0.58333333333333304</v>
      </c>
      <c r="AI46" s="71">
        <v>0.625</v>
      </c>
      <c r="AJ46" s="64">
        <f t="shared" si="13"/>
        <v>1.6003617873133757</v>
      </c>
      <c r="AK46" s="64">
        <f t="shared" si="16"/>
        <v>5.5000045625017115</v>
      </c>
      <c r="AL46" s="64">
        <f t="shared" si="18"/>
        <v>61.999835749938427</v>
      </c>
      <c r="AM46" s="62">
        <v>0</v>
      </c>
      <c r="AN46" s="62">
        <f t="shared" si="19"/>
        <v>55.555555555555586</v>
      </c>
      <c r="AO46" s="62">
        <f t="shared" si="17"/>
        <v>-5.5000045625017115</v>
      </c>
      <c r="AP46" s="62">
        <f t="shared" si="20"/>
        <v>-6.444280194382829</v>
      </c>
      <c r="AQ46" s="62">
        <f t="shared" si="14"/>
        <v>0</v>
      </c>
      <c r="BI46" s="119" t="s">
        <v>296</v>
      </c>
      <c r="BJ46" s="38">
        <f>BJ44/(((PI()*(BJ38^2))/4)*SQRT(2*9.81*BD32))</f>
        <v>0.27486480841052419</v>
      </c>
      <c r="BL46" s="117" t="s">
        <v>50</v>
      </c>
      <c r="BM46" s="68">
        <v>2.5</v>
      </c>
      <c r="BN46" s="102"/>
      <c r="BO46" s="23" t="str">
        <f t="shared" si="15"/>
        <v/>
      </c>
    </row>
    <row r="47" spans="8:67" x14ac:dyDescent="0.3">
      <c r="AH47" s="141">
        <v>0.625</v>
      </c>
      <c r="AI47" s="141">
        <v>0.66666666666666596</v>
      </c>
      <c r="AJ47" s="64">
        <f t="shared" si="13"/>
        <v>0.8729053011201271</v>
      </c>
      <c r="AK47" s="64">
        <f t="shared" si="16"/>
        <v>2.9999361249760472</v>
      </c>
      <c r="AL47" s="64">
        <f t="shared" si="18"/>
        <v>64.999771874914472</v>
      </c>
      <c r="AM47" s="121">
        <f>$AL$55/9</f>
        <v>11.111111111111118</v>
      </c>
      <c r="AN47" s="62">
        <f t="shared" si="19"/>
        <v>66.6666666666667</v>
      </c>
      <c r="AO47" s="62">
        <f t="shared" si="17"/>
        <v>8.1111749861350706</v>
      </c>
      <c r="AP47" s="62">
        <f t="shared" si="20"/>
        <v>1.6668947917522416</v>
      </c>
      <c r="AQ47" s="62">
        <f t="shared" si="14"/>
        <v>8.1111749861350706</v>
      </c>
      <c r="BI47" s="119" t="s">
        <v>300</v>
      </c>
      <c r="BJ47" s="5">
        <f>((2*BD33*BD34)/(BJ46*((PI()*(BJ38^2))/4)*SQRT(2*9.81)))*(BJ40^(1/2))</f>
        <v>26318.643754850651</v>
      </c>
      <c r="BL47" s="117" t="s">
        <v>51</v>
      </c>
      <c r="BM47" s="68">
        <v>0.35</v>
      </c>
      <c r="BN47" s="102"/>
      <c r="BO47" s="23" t="str">
        <f t="shared" si="15"/>
        <v/>
      </c>
    </row>
    <row r="48" spans="8:67" x14ac:dyDescent="0.3">
      <c r="AH48" s="141">
        <v>0.66666666666666596</v>
      </c>
      <c r="AI48" s="141">
        <v>0.70833333333333304</v>
      </c>
      <c r="AJ48" s="64">
        <f t="shared" si="13"/>
        <v>0.72745648619324865</v>
      </c>
      <c r="AK48" s="64">
        <f t="shared" si="16"/>
        <v>2.5000684375256643</v>
      </c>
      <c r="AL48" s="64">
        <f t="shared" si="18"/>
        <v>67.499840312440142</v>
      </c>
      <c r="AM48" s="121">
        <f t="shared" ref="AM48:AM50" si="21">$AL$55/9</f>
        <v>11.111111111111118</v>
      </c>
      <c r="AN48" s="62">
        <f t="shared" si="19"/>
        <v>77.777777777777814</v>
      </c>
      <c r="AO48" s="62">
        <f t="shared" si="17"/>
        <v>8.6110426735854535</v>
      </c>
      <c r="AP48" s="62">
        <f t="shared" si="20"/>
        <v>10.277937465337695</v>
      </c>
      <c r="AQ48" s="62">
        <f t="shared" si="14"/>
        <v>16.722217659720524</v>
      </c>
      <c r="BI48" s="119" t="s">
        <v>301</v>
      </c>
      <c r="BJ48" s="126">
        <f>BJ47/3600</f>
        <v>7.3107343763474031</v>
      </c>
      <c r="BL48" s="117" t="s">
        <v>52</v>
      </c>
      <c r="BM48" s="68">
        <v>0.3</v>
      </c>
      <c r="BN48" s="102"/>
      <c r="BO48" s="23" t="str">
        <f t="shared" si="15"/>
        <v/>
      </c>
    </row>
    <row r="49" spans="14:67" x14ac:dyDescent="0.3">
      <c r="AH49" s="141">
        <v>0.70833333333333304</v>
      </c>
      <c r="AI49" s="141">
        <v>0.75</v>
      </c>
      <c r="AJ49" s="64">
        <f t="shared" si="13"/>
        <v>0.72745648619324865</v>
      </c>
      <c r="AK49" s="64">
        <f t="shared" si="16"/>
        <v>2.5000684375256643</v>
      </c>
      <c r="AL49" s="64">
        <f t="shared" si="18"/>
        <v>69.999908749965812</v>
      </c>
      <c r="AM49" s="81">
        <f>$AL$55/9</f>
        <v>11.111111111111118</v>
      </c>
      <c r="AN49" s="62">
        <f t="shared" si="19"/>
        <v>88.888888888888928</v>
      </c>
      <c r="AO49" s="62">
        <f t="shared" si="17"/>
        <v>8.6110426735854535</v>
      </c>
      <c r="AP49" s="62">
        <f t="shared" si="20"/>
        <v>18.888980138923149</v>
      </c>
      <c r="AQ49" s="62">
        <f t="shared" si="14"/>
        <v>25.333260333305979</v>
      </c>
      <c r="BL49" s="117" t="s">
        <v>37</v>
      </c>
      <c r="BM49" s="68">
        <v>1</v>
      </c>
      <c r="BN49" s="102">
        <v>1</v>
      </c>
      <c r="BO49" s="23">
        <f t="shared" si="15"/>
        <v>4.2660432928585224E-4</v>
      </c>
    </row>
    <row r="50" spans="14:67" x14ac:dyDescent="0.3">
      <c r="AH50" s="141">
        <v>0.75</v>
      </c>
      <c r="AI50" s="141">
        <v>0.79166666666666663</v>
      </c>
      <c r="AJ50" s="64">
        <f t="shared" si="13"/>
        <v>1.0184072189367197</v>
      </c>
      <c r="AK50" s="64">
        <f t="shared" si="16"/>
        <v>3.499986312494868</v>
      </c>
      <c r="AL50" s="64">
        <f t="shared" si="18"/>
        <v>73.499895062460681</v>
      </c>
      <c r="AM50" s="81">
        <f t="shared" si="21"/>
        <v>11.111111111111118</v>
      </c>
      <c r="AN50" s="62">
        <f t="shared" si="19"/>
        <v>100.00000000000004</v>
      </c>
      <c r="AO50" s="62">
        <f t="shared" si="17"/>
        <v>7.6111247986162498</v>
      </c>
      <c r="AP50" s="62">
        <f t="shared" si="20"/>
        <v>26.500104937539398</v>
      </c>
      <c r="AQ50" s="62">
        <f t="shared" si="14"/>
        <v>32.944385131922225</v>
      </c>
      <c r="BL50" s="123" t="s">
        <v>53</v>
      </c>
      <c r="BM50" s="51"/>
      <c r="BN50" s="19"/>
      <c r="BO50" s="102">
        <f>0.829+2+85.763+26.934+40</f>
        <v>155.52600000000001</v>
      </c>
    </row>
    <row r="51" spans="14:67" ht="15" customHeight="1" x14ac:dyDescent="0.3">
      <c r="AH51" s="142">
        <v>0.79166666666666663</v>
      </c>
      <c r="AI51" s="142">
        <v>0.83333333333333304</v>
      </c>
      <c r="AJ51" s="64">
        <f t="shared" si="13"/>
        <v>1.6003617873133757</v>
      </c>
      <c r="AK51" s="64">
        <f t="shared" si="16"/>
        <v>5.5000045625017115</v>
      </c>
      <c r="AL51" s="64">
        <f t="shared" si="18"/>
        <v>78.999899624962396</v>
      </c>
      <c r="AM51" s="81">
        <v>0</v>
      </c>
      <c r="AN51" s="62">
        <f t="shared" si="19"/>
        <v>100.00000000000004</v>
      </c>
      <c r="AO51" s="62">
        <f t="shared" si="17"/>
        <v>-5.5000045625017115</v>
      </c>
      <c r="AP51" s="62">
        <f t="shared" si="20"/>
        <v>21.000100375037686</v>
      </c>
      <c r="AQ51" s="62">
        <f t="shared" si="14"/>
        <v>27.444380569420517</v>
      </c>
      <c r="BL51" s="131" t="s">
        <v>15</v>
      </c>
      <c r="BM51" s="129"/>
      <c r="BN51" s="19"/>
      <c r="BO51" s="121">
        <f>SUM(BO31:BO50)</f>
        <v>155.52811169142998</v>
      </c>
    </row>
    <row r="52" spans="14:67" x14ac:dyDescent="0.3">
      <c r="AH52" s="142">
        <v>0.83333333333333304</v>
      </c>
      <c r="AI52" s="142">
        <v>0.875</v>
      </c>
      <c r="AJ52" s="64">
        <f t="shared" si="13"/>
        <v>2.6187690062500955</v>
      </c>
      <c r="AK52" s="64">
        <f t="shared" si="16"/>
        <v>8.9999908749965805</v>
      </c>
      <c r="AL52" s="64">
        <f t="shared" si="18"/>
        <v>87.99989049995898</v>
      </c>
      <c r="AM52" s="81">
        <v>0</v>
      </c>
      <c r="AN52" s="62">
        <f t="shared" si="19"/>
        <v>100.00000000000004</v>
      </c>
      <c r="AO52" s="62">
        <f t="shared" si="17"/>
        <v>-8.9999908749965805</v>
      </c>
      <c r="AP52" s="62">
        <f t="shared" si="20"/>
        <v>12.000109500041106</v>
      </c>
      <c r="AQ52" s="62">
        <f t="shared" si="14"/>
        <v>18.444389694423933</v>
      </c>
    </row>
    <row r="53" spans="14:67" ht="15" customHeight="1" x14ac:dyDescent="0.3">
      <c r="AH53" s="71">
        <v>0.875</v>
      </c>
      <c r="AI53" s="71">
        <v>0.91666666666667596</v>
      </c>
      <c r="AJ53" s="64">
        <f t="shared" si="13"/>
        <v>2.3278182735066246</v>
      </c>
      <c r="AK53" s="64">
        <f t="shared" si="16"/>
        <v>8.0000730000273776</v>
      </c>
      <c r="AL53" s="64">
        <f t="shared" si="18"/>
        <v>95.999963499986364</v>
      </c>
      <c r="AM53" s="62">
        <v>0</v>
      </c>
      <c r="AN53" s="62">
        <f t="shared" si="19"/>
        <v>100.00000000000004</v>
      </c>
      <c r="AO53" s="62">
        <f t="shared" si="17"/>
        <v>-8.0000730000273776</v>
      </c>
      <c r="AP53" s="62">
        <f t="shared" si="20"/>
        <v>4.0000365000137279</v>
      </c>
      <c r="AQ53" s="62">
        <f t="shared" si="14"/>
        <v>10.444316694396557</v>
      </c>
    </row>
    <row r="54" spans="14:67" x14ac:dyDescent="0.3">
      <c r="AH54" s="71">
        <v>0.91666666666667596</v>
      </c>
      <c r="AI54" s="71">
        <v>0.95833333333334303</v>
      </c>
      <c r="AJ54" s="64">
        <f t="shared" si="13"/>
        <v>0.72745648619324865</v>
      </c>
      <c r="AK54" s="64">
        <f t="shared" si="16"/>
        <v>2.5000684375256643</v>
      </c>
      <c r="AL54" s="64">
        <f t="shared" si="18"/>
        <v>98.500031937512034</v>
      </c>
      <c r="AM54" s="62">
        <v>0</v>
      </c>
      <c r="AN54" s="62">
        <f t="shared" si="19"/>
        <v>100.00000000000004</v>
      </c>
      <c r="AO54" s="62">
        <f t="shared" si="17"/>
        <v>-2.5000684375256643</v>
      </c>
      <c r="AP54" s="62">
        <f t="shared" si="20"/>
        <v>1.4999680624880636</v>
      </c>
      <c r="AQ54" s="62">
        <f t="shared" si="14"/>
        <v>7.9442482568708925</v>
      </c>
    </row>
    <row r="55" spans="14:67" x14ac:dyDescent="0.3">
      <c r="AH55" s="71">
        <v>0.95833333333334303</v>
      </c>
      <c r="AI55" s="71">
        <v>0</v>
      </c>
      <c r="AJ55" s="64">
        <f t="shared" si="13"/>
        <v>0.43645265056006355</v>
      </c>
      <c r="AK55" s="64">
        <f t="shared" si="16"/>
        <v>1.4999680624880236</v>
      </c>
      <c r="AL55" s="64">
        <f t="shared" si="18"/>
        <v>100.00000000000006</v>
      </c>
      <c r="AM55" s="62">
        <v>0</v>
      </c>
      <c r="AN55" s="62">
        <f t="shared" si="19"/>
        <v>100.00000000000004</v>
      </c>
      <c r="AO55" s="62">
        <f t="shared" si="17"/>
        <v>-1.4999680624880236</v>
      </c>
      <c r="AP55" s="62">
        <f t="shared" si="20"/>
        <v>3.9968028886505635E-14</v>
      </c>
      <c r="AQ55" s="62">
        <f t="shared" si="14"/>
        <v>6.4442801943828689</v>
      </c>
    </row>
    <row r="56" spans="14:67" x14ac:dyDescent="0.3">
      <c r="AH56" s="270" t="s">
        <v>15</v>
      </c>
      <c r="AI56" s="270"/>
      <c r="AJ56" s="64">
        <f>SUM(AJ32:AJ55)</f>
        <v>29.09746290438423</v>
      </c>
      <c r="AK56" s="62">
        <f>SUM(AK32:AK55)</f>
        <v>100.00000000000006</v>
      </c>
      <c r="AL56" s="271" t="s">
        <v>206</v>
      </c>
      <c r="AM56" s="271"/>
      <c r="AN56" s="271"/>
      <c r="AO56" s="271"/>
      <c r="AP56" s="62">
        <f>MIN(AP32:AP55)</f>
        <v>-6.444280194382829</v>
      </c>
      <c r="AQ56" s="62">
        <f>MAX(AQ32:AQ55)</f>
        <v>41.50015056255647</v>
      </c>
    </row>
    <row r="61" spans="14:67" x14ac:dyDescent="0.3">
      <c r="AP61" s="25"/>
    </row>
    <row r="63" spans="14:67" x14ac:dyDescent="0.3">
      <c r="N63" s="16"/>
      <c r="O63" s="16"/>
    </row>
    <row r="64" spans="14:67" x14ac:dyDescent="0.3">
      <c r="N64" s="72"/>
      <c r="O64" s="9"/>
    </row>
    <row r="65" spans="14:15" x14ac:dyDescent="0.3">
      <c r="N65" s="72"/>
      <c r="O65" s="9"/>
    </row>
    <row r="66" spans="14:15" x14ac:dyDescent="0.3">
      <c r="N66" s="9"/>
      <c r="O66" s="9"/>
    </row>
    <row r="149" spans="2:2" x14ac:dyDescent="0.3">
      <c r="B149" s="111">
        <v>0.25</v>
      </c>
    </row>
    <row r="150" spans="2:2" x14ac:dyDescent="0.3">
      <c r="B150" s="111">
        <v>0.5</v>
      </c>
    </row>
    <row r="151" spans="2:2" x14ac:dyDescent="0.3">
      <c r="B151" s="111">
        <v>0.75</v>
      </c>
    </row>
    <row r="152" spans="2:2" x14ac:dyDescent="0.3">
      <c r="B152" s="6">
        <v>1</v>
      </c>
    </row>
    <row r="153" spans="2:2" x14ac:dyDescent="0.3">
      <c r="B153" s="111">
        <v>1.5</v>
      </c>
    </row>
    <row r="154" spans="2:2" x14ac:dyDescent="0.3">
      <c r="B154" s="6">
        <v>2</v>
      </c>
    </row>
    <row r="155" spans="2:2" x14ac:dyDescent="0.3">
      <c r="B155" s="111">
        <v>2.5</v>
      </c>
    </row>
    <row r="156" spans="2:2" x14ac:dyDescent="0.3">
      <c r="B156" s="6">
        <v>3</v>
      </c>
    </row>
    <row r="157" spans="2:2" x14ac:dyDescent="0.3">
      <c r="B157" s="6">
        <v>4</v>
      </c>
    </row>
    <row r="158" spans="2:2" x14ac:dyDescent="0.3">
      <c r="B158" s="6">
        <v>5</v>
      </c>
    </row>
    <row r="159" spans="2:2" x14ac:dyDescent="0.3">
      <c r="B159" s="6">
        <v>6</v>
      </c>
    </row>
    <row r="160" spans="2:2" x14ac:dyDescent="0.3">
      <c r="B160" s="6">
        <v>8</v>
      </c>
    </row>
    <row r="161" spans="2:2" x14ac:dyDescent="0.3">
      <c r="B161" s="6">
        <v>10</v>
      </c>
    </row>
    <row r="162" spans="2:2" x14ac:dyDescent="0.3">
      <c r="B162" s="6">
        <v>12</v>
      </c>
    </row>
    <row r="163" spans="2:2" x14ac:dyDescent="0.3">
      <c r="B163" s="6">
        <v>14</v>
      </c>
    </row>
    <row r="164" spans="2:2" x14ac:dyDescent="0.3">
      <c r="B164" s="6">
        <v>16</v>
      </c>
    </row>
  </sheetData>
  <mergeCells count="44">
    <mergeCell ref="I28:K29"/>
    <mergeCell ref="L28:L29"/>
    <mergeCell ref="M28:M29"/>
    <mergeCell ref="O34:P34"/>
    <mergeCell ref="O35:P35"/>
    <mergeCell ref="O33:P33"/>
    <mergeCell ref="F2:G4"/>
    <mergeCell ref="B2:E4"/>
    <mergeCell ref="AH3:AI3"/>
    <mergeCell ref="AH2:AQ2"/>
    <mergeCell ref="W9:AA9"/>
    <mergeCell ref="I2:M2"/>
    <mergeCell ref="AL56:AO56"/>
    <mergeCell ref="AH56:AI56"/>
    <mergeCell ref="BI2:BJ2"/>
    <mergeCell ref="W8:AA8"/>
    <mergeCell ref="W7:AA7"/>
    <mergeCell ref="W6:AF6"/>
    <mergeCell ref="AB10:AB13"/>
    <mergeCell ref="BC2:BD2"/>
    <mergeCell ref="AZ3:BA3"/>
    <mergeCell ref="AZ9:BA9"/>
    <mergeCell ref="AZ13:BA13"/>
    <mergeCell ref="AC10:AC13"/>
    <mergeCell ref="W10:AA13"/>
    <mergeCell ref="AD10:AD13"/>
    <mergeCell ref="AE10:AE13"/>
    <mergeCell ref="AZ43:BA43"/>
    <mergeCell ref="AF10:AF13"/>
    <mergeCell ref="AZ2:BA2"/>
    <mergeCell ref="AZ31:BA31"/>
    <mergeCell ref="AH31:AI31"/>
    <mergeCell ref="AZ37:BA37"/>
    <mergeCell ref="AH30:AQ30"/>
    <mergeCell ref="AZ15:BA15"/>
    <mergeCell ref="AH28:AI28"/>
    <mergeCell ref="AL28:AO28"/>
    <mergeCell ref="AZ41:BA41"/>
    <mergeCell ref="AZ30:BA30"/>
    <mergeCell ref="BI30:BJ30"/>
    <mergeCell ref="BI36:BJ36"/>
    <mergeCell ref="BI45:BJ45"/>
    <mergeCell ref="BI42:BJ42"/>
    <mergeCell ref="BC30:BD30"/>
  </mergeCells>
  <dataValidations disablePrompts="1" count="4">
    <dataValidation allowBlank="1" showInputMessage="1" showErrorMessage="1" prompt="Para esta ocacion se opta por escoger el maximo deficit como el porcentaje de volumen de consumo del tanque, con este valor se trabajara para determinar el volumen del tanque. Es de aclarar que esto va a criterio del diseñador" sqref="BA6 BA34" xr:uid="{00000000-0002-0000-0400-000000000000}"/>
    <dataValidation allowBlank="1" showInputMessage="1" showErrorMessage="1" prompt="Como no se puede utilizar la ecuacion de caudal de demanda contra incendio, se toma un valor minimo de 5 l/s que tambien es establecido por el RAS 2000" sqref="BA10 BA38" xr:uid="{00000000-0002-0000-0400-000001000000}"/>
    <dataValidation allowBlank="1" showInputMessage="1" showErrorMessage="1" prompt="El RAS 2000 establece que el caudal de incendio se tenga en cuenta para un incendio de 2 horas" sqref="BA11 BA39" xr:uid="{00000000-0002-0000-0400-000002000000}"/>
    <dataValidation type="list" allowBlank="1" showInputMessage="1" showErrorMessage="1" prompt="Se recomiendan diametros grandes para que el tiempo de vaciado sea menor" sqref="BJ37 BJ9" xr:uid="{00000000-0002-0000-0400-000003000000}">
      <formula1>$B$149:$B$164</formula1>
    </dataValidation>
  </dataValidations>
  <pageMargins left="0.7" right="0.7" top="0.75" bottom="0.75" header="0.3" footer="0.3"/>
  <pageSetup orientation="portrait" horizontalDpi="4294967292" r:id="rId1"/>
  <ignoredErrors>
    <ignoredError sqref="AO4:AO27 AO32:AO55 AM44:AM46"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T22"/>
  <sheetViews>
    <sheetView workbookViewId="0">
      <selection activeCell="J9" sqref="J9"/>
    </sheetView>
  </sheetViews>
  <sheetFormatPr baseColWidth="10" defaultColWidth="11.5546875" defaultRowHeight="14.4" x14ac:dyDescent="0.3"/>
  <cols>
    <col min="1" max="1" width="5.6640625" style="151" customWidth="1"/>
    <col min="2" max="2" width="5.5546875" style="151" bestFit="1" customWidth="1"/>
    <col min="3" max="3" width="9.6640625" style="151" bestFit="1" customWidth="1"/>
    <col min="4" max="4" width="9.33203125" style="151" bestFit="1" customWidth="1"/>
    <col min="5" max="5" width="6" style="151" bestFit="1" customWidth="1"/>
    <col min="6" max="6" width="6.5546875" style="151" bestFit="1" customWidth="1"/>
    <col min="7" max="7" width="12.6640625" style="151" customWidth="1"/>
    <col min="8" max="8" width="9.109375" style="151" bestFit="1" customWidth="1"/>
    <col min="9" max="9" width="10.88671875" style="151" customWidth="1"/>
    <col min="10" max="10" width="14" style="151" customWidth="1"/>
    <col min="11" max="11" width="7.5546875" style="151" bestFit="1" customWidth="1"/>
    <col min="12" max="12" width="7.109375" style="151" bestFit="1" customWidth="1"/>
    <col min="13" max="13" width="7.5546875" style="151" bestFit="1" customWidth="1"/>
    <col min="14" max="14" width="10.44140625" style="151" bestFit="1" customWidth="1"/>
    <col min="15" max="15" width="8.6640625" style="151" customWidth="1"/>
    <col min="16" max="16" width="5.33203125" style="151" bestFit="1" customWidth="1"/>
    <col min="17" max="17" width="10.5546875" style="151" bestFit="1" customWidth="1"/>
    <col min="18" max="18" width="5.33203125" style="151" bestFit="1" customWidth="1"/>
    <col min="19" max="19" width="7.5546875" style="151" bestFit="1" customWidth="1"/>
    <col min="20" max="20" width="10.5546875" style="151" bestFit="1" customWidth="1"/>
    <col min="21" max="16384" width="11.5546875" style="151"/>
  </cols>
  <sheetData>
    <row r="2" spans="2:20" x14ac:dyDescent="0.3">
      <c r="B2" s="229" t="s">
        <v>440</v>
      </c>
      <c r="C2" s="229"/>
      <c r="D2" s="229"/>
      <c r="E2" s="229"/>
      <c r="F2" s="229"/>
      <c r="G2" s="229"/>
      <c r="H2" s="229"/>
      <c r="I2" s="229"/>
      <c r="J2" s="229"/>
      <c r="K2" s="229"/>
      <c r="L2" s="229"/>
      <c r="M2" s="229"/>
      <c r="N2" s="229"/>
      <c r="O2" s="229"/>
      <c r="P2" s="229"/>
      <c r="Q2" s="229"/>
      <c r="R2" s="229"/>
      <c r="S2" s="229"/>
      <c r="T2" s="229"/>
    </row>
    <row r="3" spans="2:20" x14ac:dyDescent="0.3">
      <c r="B3" s="229" t="s">
        <v>305</v>
      </c>
      <c r="C3" s="229" t="s">
        <v>313</v>
      </c>
      <c r="D3" s="229" t="s">
        <v>314</v>
      </c>
      <c r="E3" s="229" t="s">
        <v>315</v>
      </c>
      <c r="F3" s="229" t="s">
        <v>323</v>
      </c>
      <c r="G3" s="247" t="s">
        <v>316</v>
      </c>
      <c r="H3" s="229" t="s">
        <v>319</v>
      </c>
      <c r="I3" s="247" t="s">
        <v>318</v>
      </c>
      <c r="J3" s="247" t="s">
        <v>317</v>
      </c>
      <c r="K3" s="229" t="s">
        <v>343</v>
      </c>
      <c r="L3" s="229"/>
      <c r="M3" s="229"/>
      <c r="N3" s="229" t="s">
        <v>118</v>
      </c>
      <c r="O3" s="247" t="s">
        <v>337</v>
      </c>
      <c r="P3" s="229" t="s">
        <v>63</v>
      </c>
      <c r="Q3" s="229"/>
      <c r="R3" s="229" t="s">
        <v>103</v>
      </c>
      <c r="S3" s="229"/>
      <c r="T3" s="229"/>
    </row>
    <row r="4" spans="2:20" x14ac:dyDescent="0.3">
      <c r="B4" s="229"/>
      <c r="C4" s="229"/>
      <c r="D4" s="229"/>
      <c r="E4" s="229"/>
      <c r="F4" s="229"/>
      <c r="G4" s="247"/>
      <c r="H4" s="229"/>
      <c r="I4" s="247"/>
      <c r="J4" s="247"/>
      <c r="K4" s="148" t="s">
        <v>342</v>
      </c>
      <c r="L4" s="148" t="s">
        <v>69</v>
      </c>
      <c r="M4" s="148" t="s">
        <v>70</v>
      </c>
      <c r="N4" s="229"/>
      <c r="O4" s="247"/>
      <c r="P4" s="148" t="s">
        <v>338</v>
      </c>
      <c r="Q4" s="148" t="s">
        <v>344</v>
      </c>
      <c r="R4" s="148" t="s">
        <v>237</v>
      </c>
      <c r="S4" s="148" t="s">
        <v>70</v>
      </c>
      <c r="T4" s="148" t="s">
        <v>69</v>
      </c>
    </row>
    <row r="5" spans="2:20" x14ac:dyDescent="0.3">
      <c r="B5" s="102" t="s">
        <v>306</v>
      </c>
      <c r="C5" s="102">
        <v>34</v>
      </c>
      <c r="D5" s="148">
        <v>200</v>
      </c>
      <c r="E5" s="148">
        <f>C5*D5</f>
        <v>6800</v>
      </c>
      <c r="F5" s="38">
        <f>E5/(24*60*60)</f>
        <v>7.8703703703703706E-2</v>
      </c>
      <c r="G5" s="106">
        <f>424.6727</f>
        <v>424.67270000000002</v>
      </c>
      <c r="H5" s="106" t="s">
        <v>320</v>
      </c>
      <c r="I5" s="135">
        <v>0.6</v>
      </c>
      <c r="J5" s="38">
        <f>G5-I5</f>
        <v>424.0727</v>
      </c>
      <c r="K5" s="106">
        <v>11.77</v>
      </c>
      <c r="L5" s="150" t="str">
        <f>IF(K5&gt;10,"Cumple","No cumple")</f>
        <v>Cumple</v>
      </c>
      <c r="M5" s="38" t="str">
        <f>IF(K5&lt;60,"Cumple","No cumple")</f>
        <v>Cumple</v>
      </c>
      <c r="N5" s="102" t="s">
        <v>324</v>
      </c>
      <c r="O5" s="106">
        <v>26.5383</v>
      </c>
      <c r="P5" s="102">
        <v>75</v>
      </c>
      <c r="Q5" s="7" t="str">
        <f>IF(P5&gt;=75,"Cumple","No cumple")</f>
        <v>Cumple</v>
      </c>
      <c r="R5" s="135">
        <v>1.19</v>
      </c>
      <c r="S5" s="7" t="str">
        <f>IF(R5&lt;=6,"Cumple","No cumple")</f>
        <v>Cumple</v>
      </c>
      <c r="T5" s="148" t="str">
        <f>IF(R5&gt;=0.5,"Cumple","No cumple")</f>
        <v>Cumple</v>
      </c>
    </row>
    <row r="6" spans="2:20" x14ac:dyDescent="0.3">
      <c r="B6" s="102" t="s">
        <v>307</v>
      </c>
      <c r="C6" s="102">
        <v>38</v>
      </c>
      <c r="D6" s="148">
        <v>200</v>
      </c>
      <c r="E6" s="148">
        <f t="shared" ref="E6:E17" si="0">C6*D6</f>
        <v>7600</v>
      </c>
      <c r="F6" s="38">
        <f t="shared" ref="F6:F17" si="1">E6/(24*60*60)</f>
        <v>8.7962962962962965E-2</v>
      </c>
      <c r="G6" s="106">
        <f>423.967</f>
        <v>423.96699999999998</v>
      </c>
      <c r="H6" s="106" t="s">
        <v>320</v>
      </c>
      <c r="I6" s="135">
        <v>0.6</v>
      </c>
      <c r="J6" s="38">
        <f t="shared" ref="J6:J18" si="2">G6-I6</f>
        <v>423.36699999999996</v>
      </c>
      <c r="K6" s="106">
        <v>12.06</v>
      </c>
      <c r="L6" s="150" t="str">
        <f t="shared" ref="L6:L18" si="3">IF(K6&gt;10,"Cumple","No cumple")</f>
        <v>Cumple</v>
      </c>
      <c r="M6" s="38" t="str">
        <f t="shared" ref="M6:M18" si="4">IF(K6&lt;60,"Cumple","No cumple")</f>
        <v>Cumple</v>
      </c>
      <c r="N6" s="102" t="s">
        <v>325</v>
      </c>
      <c r="O6" s="106">
        <v>67.5</v>
      </c>
      <c r="P6" s="102">
        <v>38</v>
      </c>
      <c r="Q6" s="7" t="str">
        <f t="shared" ref="Q6:Q20" si="5">IF(P6&gt;=75,"Cumple","No cumple")</f>
        <v>No cumple</v>
      </c>
      <c r="R6" s="135">
        <v>0.4</v>
      </c>
      <c r="S6" s="7" t="str">
        <f t="shared" ref="S6:S20" si="6">IF(R6&lt;=6,"Cumple","No cumple")</f>
        <v>Cumple</v>
      </c>
      <c r="T6" s="148" t="str">
        <f t="shared" ref="T6:T20" si="7">IF(R6&gt;=0.5,"Cumple","No cumple")</f>
        <v>No cumple</v>
      </c>
    </row>
    <row r="7" spans="2:20" x14ac:dyDescent="0.3">
      <c r="B7" s="102" t="s">
        <v>16</v>
      </c>
      <c r="C7" s="102">
        <v>20</v>
      </c>
      <c r="D7" s="148">
        <v>200</v>
      </c>
      <c r="E7" s="148">
        <f t="shared" si="0"/>
        <v>4000</v>
      </c>
      <c r="F7" s="38">
        <f t="shared" si="1"/>
        <v>4.6296296296296294E-2</v>
      </c>
      <c r="G7" s="106">
        <f>424.25</f>
        <v>424.25</v>
      </c>
      <c r="H7" s="106" t="s">
        <v>320</v>
      </c>
      <c r="I7" s="135">
        <v>0.6</v>
      </c>
      <c r="J7" s="38">
        <f t="shared" si="2"/>
        <v>423.65</v>
      </c>
      <c r="K7" s="106">
        <v>11.69</v>
      </c>
      <c r="L7" s="150" t="str">
        <f t="shared" si="3"/>
        <v>Cumple</v>
      </c>
      <c r="M7" s="38" t="str">
        <f t="shared" si="4"/>
        <v>Cumple</v>
      </c>
      <c r="N7" s="102" t="s">
        <v>326</v>
      </c>
      <c r="O7" s="106">
        <v>30.6</v>
      </c>
      <c r="P7" s="102">
        <v>38</v>
      </c>
      <c r="Q7" s="7" t="str">
        <f t="shared" si="5"/>
        <v>No cumple</v>
      </c>
      <c r="R7" s="135">
        <v>0.27</v>
      </c>
      <c r="S7" s="7" t="str">
        <f t="shared" si="6"/>
        <v>Cumple</v>
      </c>
      <c r="T7" s="148" t="str">
        <f t="shared" si="7"/>
        <v>No cumple</v>
      </c>
    </row>
    <row r="8" spans="2:20" x14ac:dyDescent="0.3">
      <c r="B8" s="102" t="s">
        <v>308</v>
      </c>
      <c r="C8" s="102">
        <v>17</v>
      </c>
      <c r="D8" s="148">
        <v>200</v>
      </c>
      <c r="E8" s="148">
        <f t="shared" si="0"/>
        <v>3400</v>
      </c>
      <c r="F8" s="38">
        <f t="shared" si="1"/>
        <v>3.9351851851851853E-2</v>
      </c>
      <c r="G8" s="106">
        <f>424.865</f>
        <v>424.86500000000001</v>
      </c>
      <c r="H8" s="106" t="s">
        <v>320</v>
      </c>
      <c r="I8" s="135">
        <v>0.6</v>
      </c>
      <c r="J8" s="38">
        <f t="shared" si="2"/>
        <v>424.26499999999999</v>
      </c>
      <c r="K8" s="106">
        <v>11.06</v>
      </c>
      <c r="L8" s="150" t="str">
        <f t="shared" si="3"/>
        <v>Cumple</v>
      </c>
      <c r="M8" s="38" t="str">
        <f t="shared" si="4"/>
        <v>Cumple</v>
      </c>
      <c r="N8" s="102" t="s">
        <v>327</v>
      </c>
      <c r="O8" s="106">
        <v>40.581000000000003</v>
      </c>
      <c r="P8" s="102">
        <v>38</v>
      </c>
      <c r="Q8" s="7" t="str">
        <f t="shared" si="5"/>
        <v>No cumple</v>
      </c>
      <c r="R8" s="135">
        <v>0.06</v>
      </c>
      <c r="S8" s="7" t="str">
        <f t="shared" si="6"/>
        <v>Cumple</v>
      </c>
      <c r="T8" s="148" t="str">
        <f t="shared" si="7"/>
        <v>No cumple</v>
      </c>
    </row>
    <row r="9" spans="2:20" x14ac:dyDescent="0.3">
      <c r="B9" s="102" t="s">
        <v>309</v>
      </c>
      <c r="C9" s="102">
        <v>21</v>
      </c>
      <c r="D9" s="148">
        <v>200</v>
      </c>
      <c r="E9" s="148">
        <f t="shared" si="0"/>
        <v>4200</v>
      </c>
      <c r="F9" s="38">
        <f t="shared" si="1"/>
        <v>4.8611111111111112E-2</v>
      </c>
      <c r="G9" s="106">
        <f>424.879</f>
        <v>424.87900000000002</v>
      </c>
      <c r="H9" s="106" t="s">
        <v>321</v>
      </c>
      <c r="I9" s="135">
        <v>0.5</v>
      </c>
      <c r="J9" s="38">
        <f t="shared" si="2"/>
        <v>424.37900000000002</v>
      </c>
      <c r="K9" s="106">
        <v>10.94</v>
      </c>
      <c r="L9" s="150" t="str">
        <f t="shared" si="3"/>
        <v>Cumple</v>
      </c>
      <c r="M9" s="38" t="str">
        <f t="shared" si="4"/>
        <v>Cumple</v>
      </c>
      <c r="N9" s="102" t="s">
        <v>328</v>
      </c>
      <c r="O9" s="106">
        <v>47.506</v>
      </c>
      <c r="P9" s="102">
        <v>38</v>
      </c>
      <c r="Q9" s="7" t="str">
        <f t="shared" si="5"/>
        <v>No cumple</v>
      </c>
      <c r="R9" s="135">
        <v>0.02</v>
      </c>
      <c r="S9" s="7" t="str">
        <f t="shared" si="6"/>
        <v>Cumple</v>
      </c>
      <c r="T9" s="148" t="str">
        <f t="shared" si="7"/>
        <v>No cumple</v>
      </c>
    </row>
    <row r="10" spans="2:20" x14ac:dyDescent="0.3">
      <c r="B10" s="102" t="s">
        <v>310</v>
      </c>
      <c r="C10" s="102">
        <v>22</v>
      </c>
      <c r="D10" s="148">
        <v>200</v>
      </c>
      <c r="E10" s="148">
        <f t="shared" si="0"/>
        <v>4400</v>
      </c>
      <c r="F10" s="38">
        <f t="shared" si="1"/>
        <v>5.0925925925925923E-2</v>
      </c>
      <c r="G10" s="106">
        <f>424.305</f>
        <v>424.30500000000001</v>
      </c>
      <c r="H10" s="106" t="s">
        <v>321</v>
      </c>
      <c r="I10" s="135">
        <v>0.8</v>
      </c>
      <c r="J10" s="38">
        <f t="shared" si="2"/>
        <v>423.505</v>
      </c>
      <c r="K10" s="106">
        <v>11.82</v>
      </c>
      <c r="L10" s="150" t="str">
        <f t="shared" si="3"/>
        <v>Cumple</v>
      </c>
      <c r="M10" s="38" t="str">
        <f t="shared" si="4"/>
        <v>Cumple</v>
      </c>
      <c r="N10" s="102" t="s">
        <v>329</v>
      </c>
      <c r="O10" s="106">
        <v>67.8</v>
      </c>
      <c r="P10" s="102">
        <v>38</v>
      </c>
      <c r="Q10" s="7" t="str">
        <f t="shared" si="5"/>
        <v>No cumple</v>
      </c>
      <c r="R10" s="135">
        <v>7.0000000000000007E-2</v>
      </c>
      <c r="S10" s="7" t="str">
        <f t="shared" si="6"/>
        <v>Cumple</v>
      </c>
      <c r="T10" s="148" t="str">
        <f t="shared" si="7"/>
        <v>No cumple</v>
      </c>
    </row>
    <row r="11" spans="2:20" x14ac:dyDescent="0.3">
      <c r="B11" s="102" t="s">
        <v>311</v>
      </c>
      <c r="C11" s="102">
        <v>19</v>
      </c>
      <c r="D11" s="148">
        <v>200</v>
      </c>
      <c r="E11" s="148">
        <f t="shared" si="0"/>
        <v>3800</v>
      </c>
      <c r="F11" s="38">
        <f t="shared" si="1"/>
        <v>4.3981481481481483E-2</v>
      </c>
      <c r="G11" s="106">
        <f>424.412</f>
        <v>424.41199999999998</v>
      </c>
      <c r="H11" s="106" t="s">
        <v>320</v>
      </c>
      <c r="I11" s="135">
        <v>0.8</v>
      </c>
      <c r="J11" s="38">
        <f t="shared" si="2"/>
        <v>423.61199999999997</v>
      </c>
      <c r="K11" s="106">
        <v>11.71</v>
      </c>
      <c r="L11" s="150" t="str">
        <f t="shared" si="3"/>
        <v>Cumple</v>
      </c>
      <c r="M11" s="38" t="str">
        <f t="shared" si="4"/>
        <v>Cumple</v>
      </c>
      <c r="N11" s="102" t="s">
        <v>330</v>
      </c>
      <c r="O11" s="106">
        <v>5.7069999999999999</v>
      </c>
      <c r="P11" s="102">
        <v>38</v>
      </c>
      <c r="Q11" s="7" t="str">
        <f t="shared" si="5"/>
        <v>No cumple</v>
      </c>
      <c r="R11" s="135">
        <v>0.16</v>
      </c>
      <c r="S11" s="7" t="str">
        <f t="shared" si="6"/>
        <v>Cumple</v>
      </c>
      <c r="T11" s="148" t="str">
        <f t="shared" si="7"/>
        <v>No cumple</v>
      </c>
    </row>
    <row r="12" spans="2:20" x14ac:dyDescent="0.3">
      <c r="B12" s="102" t="s">
        <v>18</v>
      </c>
      <c r="C12" s="102">
        <v>21</v>
      </c>
      <c r="D12" s="148">
        <v>200</v>
      </c>
      <c r="E12" s="148">
        <f t="shared" si="0"/>
        <v>4200</v>
      </c>
      <c r="F12" s="38">
        <f t="shared" si="1"/>
        <v>4.8611111111111112E-2</v>
      </c>
      <c r="G12" s="106">
        <f>424.96</f>
        <v>424.96</v>
      </c>
      <c r="H12" s="106" t="s">
        <v>320</v>
      </c>
      <c r="I12" s="135">
        <v>0.6</v>
      </c>
      <c r="J12" s="38">
        <f t="shared" si="2"/>
        <v>424.35999999999996</v>
      </c>
      <c r="K12" s="106">
        <v>10.96</v>
      </c>
      <c r="L12" s="150" t="str">
        <f t="shared" si="3"/>
        <v>Cumple</v>
      </c>
      <c r="M12" s="38" t="str">
        <f t="shared" si="4"/>
        <v>Cumple</v>
      </c>
      <c r="N12" s="102" t="s">
        <v>331</v>
      </c>
      <c r="O12" s="106">
        <v>5.21</v>
      </c>
      <c r="P12" s="102">
        <v>38</v>
      </c>
      <c r="Q12" s="7" t="str">
        <f t="shared" si="5"/>
        <v>No cumple</v>
      </c>
      <c r="R12" s="135">
        <v>0.04</v>
      </c>
      <c r="S12" s="7" t="str">
        <f t="shared" si="6"/>
        <v>Cumple</v>
      </c>
      <c r="T12" s="148" t="str">
        <f t="shared" si="7"/>
        <v>No cumple</v>
      </c>
    </row>
    <row r="13" spans="2:20" x14ac:dyDescent="0.3">
      <c r="B13" s="102" t="s">
        <v>312</v>
      </c>
      <c r="C13" s="102">
        <v>13</v>
      </c>
      <c r="D13" s="148">
        <v>200</v>
      </c>
      <c r="E13" s="148">
        <f t="shared" si="0"/>
        <v>2600</v>
      </c>
      <c r="F13" s="38">
        <f t="shared" si="1"/>
        <v>3.0092592592592591E-2</v>
      </c>
      <c r="G13" s="106">
        <f>425.199</f>
        <v>425.19900000000001</v>
      </c>
      <c r="H13" s="106" t="s">
        <v>320</v>
      </c>
      <c r="I13" s="135">
        <v>0.6</v>
      </c>
      <c r="J13" s="38">
        <f t="shared" si="2"/>
        <v>424.59899999999999</v>
      </c>
      <c r="K13" s="106">
        <v>10.72</v>
      </c>
      <c r="L13" s="150" t="str">
        <f t="shared" si="3"/>
        <v>Cumple</v>
      </c>
      <c r="M13" s="38" t="str">
        <f t="shared" si="4"/>
        <v>Cumple</v>
      </c>
      <c r="N13" s="102" t="s">
        <v>356</v>
      </c>
      <c r="O13" s="106">
        <v>66.599999999999994</v>
      </c>
      <c r="P13" s="102">
        <v>38</v>
      </c>
      <c r="Q13" s="7" t="str">
        <f t="shared" si="5"/>
        <v>No cumple</v>
      </c>
      <c r="R13" s="135">
        <v>0.04</v>
      </c>
      <c r="S13" s="7" t="str">
        <f t="shared" si="6"/>
        <v>Cumple</v>
      </c>
      <c r="T13" s="148" t="str">
        <f t="shared" si="7"/>
        <v>No cumple</v>
      </c>
    </row>
    <row r="14" spans="2:20" x14ac:dyDescent="0.3">
      <c r="B14" s="102" t="s">
        <v>29</v>
      </c>
      <c r="C14" s="102">
        <v>15</v>
      </c>
      <c r="D14" s="148">
        <v>200</v>
      </c>
      <c r="E14" s="148">
        <f t="shared" si="0"/>
        <v>3000</v>
      </c>
      <c r="F14" s="38">
        <f t="shared" si="1"/>
        <v>3.4722222222222224E-2</v>
      </c>
      <c r="G14" s="106">
        <f>423.266</f>
        <v>423.26600000000002</v>
      </c>
      <c r="H14" s="106" t="s">
        <v>321</v>
      </c>
      <c r="I14" s="135">
        <v>0.6</v>
      </c>
      <c r="J14" s="38">
        <f t="shared" si="2"/>
        <v>422.666</v>
      </c>
      <c r="K14" s="106">
        <v>12.76</v>
      </c>
      <c r="L14" s="150" t="str">
        <f t="shared" si="3"/>
        <v>Cumple</v>
      </c>
      <c r="M14" s="38" t="str">
        <f t="shared" si="4"/>
        <v>Cumple</v>
      </c>
      <c r="N14" s="102" t="s">
        <v>332</v>
      </c>
      <c r="O14" s="106">
        <v>30.4</v>
      </c>
      <c r="P14" s="102">
        <v>38</v>
      </c>
      <c r="Q14" s="7" t="str">
        <f t="shared" si="5"/>
        <v>No cumple</v>
      </c>
      <c r="R14" s="135">
        <v>0.04</v>
      </c>
      <c r="S14" s="7" t="str">
        <f t="shared" si="6"/>
        <v>Cumple</v>
      </c>
      <c r="T14" s="148" t="str">
        <f t="shared" si="7"/>
        <v>No cumple</v>
      </c>
    </row>
    <row r="15" spans="2:20" x14ac:dyDescent="0.3">
      <c r="B15" s="102" t="s">
        <v>269</v>
      </c>
      <c r="C15" s="102">
        <v>12</v>
      </c>
      <c r="D15" s="148">
        <v>200</v>
      </c>
      <c r="E15" s="148">
        <f t="shared" si="0"/>
        <v>2400</v>
      </c>
      <c r="F15" s="38">
        <f t="shared" si="1"/>
        <v>2.7777777777777776E-2</v>
      </c>
      <c r="G15" s="106">
        <f>423.598</f>
        <v>423.59800000000001</v>
      </c>
      <c r="H15" s="106" t="s">
        <v>321</v>
      </c>
      <c r="I15" s="135">
        <v>0.6</v>
      </c>
      <c r="J15" s="38">
        <f t="shared" si="2"/>
        <v>422.99799999999999</v>
      </c>
      <c r="K15" s="106">
        <v>12.43</v>
      </c>
      <c r="L15" s="150" t="str">
        <f t="shared" si="3"/>
        <v>Cumple</v>
      </c>
      <c r="M15" s="38" t="str">
        <f t="shared" si="4"/>
        <v>Cumple</v>
      </c>
      <c r="N15" s="102" t="s">
        <v>333</v>
      </c>
      <c r="O15" s="106">
        <v>30.4</v>
      </c>
      <c r="P15" s="102">
        <v>38</v>
      </c>
      <c r="Q15" s="7" t="str">
        <f t="shared" si="5"/>
        <v>No cumple</v>
      </c>
      <c r="R15" s="135">
        <v>7.0000000000000007E-2</v>
      </c>
      <c r="S15" s="7" t="str">
        <f t="shared" si="6"/>
        <v>Cumple</v>
      </c>
      <c r="T15" s="148" t="str">
        <f t="shared" si="7"/>
        <v>No cumple</v>
      </c>
    </row>
    <row r="16" spans="2:20" x14ac:dyDescent="0.3">
      <c r="B16" s="102" t="s">
        <v>322</v>
      </c>
      <c r="C16" s="102">
        <v>0</v>
      </c>
      <c r="D16" s="148">
        <v>200</v>
      </c>
      <c r="E16" s="148">
        <f t="shared" si="0"/>
        <v>0</v>
      </c>
      <c r="F16" s="38">
        <f t="shared" si="1"/>
        <v>0</v>
      </c>
      <c r="G16" s="106">
        <v>425.21300000000002</v>
      </c>
      <c r="H16" s="102" t="s">
        <v>321</v>
      </c>
      <c r="I16" s="135">
        <v>0.6</v>
      </c>
      <c r="J16" s="38">
        <f t="shared" si="2"/>
        <v>424.613</v>
      </c>
      <c r="K16" s="106">
        <v>10.7</v>
      </c>
      <c r="L16" s="150" t="str">
        <f t="shared" si="3"/>
        <v>Cumple</v>
      </c>
      <c r="M16" s="38" t="str">
        <f t="shared" si="4"/>
        <v>Cumple</v>
      </c>
      <c r="N16" s="102" t="s">
        <v>334</v>
      </c>
      <c r="O16" s="106">
        <v>66.599999999999994</v>
      </c>
      <c r="P16" s="102">
        <v>38</v>
      </c>
      <c r="Q16" s="7" t="str">
        <f t="shared" si="5"/>
        <v>No cumple</v>
      </c>
      <c r="R16" s="135">
        <v>0.03</v>
      </c>
      <c r="S16" s="7" t="str">
        <f t="shared" si="6"/>
        <v>Cumple</v>
      </c>
      <c r="T16" s="148" t="str">
        <f t="shared" si="7"/>
        <v>No cumple</v>
      </c>
    </row>
    <row r="17" spans="2:20" x14ac:dyDescent="0.3">
      <c r="B17" s="102" t="s">
        <v>339</v>
      </c>
      <c r="C17" s="102">
        <v>0</v>
      </c>
      <c r="D17" s="148">
        <v>200</v>
      </c>
      <c r="E17" s="148">
        <f t="shared" si="0"/>
        <v>0</v>
      </c>
      <c r="F17" s="38">
        <f t="shared" si="1"/>
        <v>0</v>
      </c>
      <c r="G17" s="106">
        <v>424.84</v>
      </c>
      <c r="H17" s="102" t="s">
        <v>340</v>
      </c>
      <c r="I17" s="135">
        <v>1</v>
      </c>
      <c r="J17" s="38">
        <f t="shared" si="2"/>
        <v>423.84</v>
      </c>
      <c r="K17" s="106">
        <v>11.8</v>
      </c>
      <c r="L17" s="150" t="str">
        <f t="shared" si="3"/>
        <v>Cumple</v>
      </c>
      <c r="M17" s="38" t="str">
        <f t="shared" si="4"/>
        <v>Cumple</v>
      </c>
      <c r="N17" s="102" t="s">
        <v>335</v>
      </c>
      <c r="O17" s="106">
        <v>24.9</v>
      </c>
      <c r="P17" s="102">
        <v>38</v>
      </c>
      <c r="Q17" s="7" t="str">
        <f t="shared" si="5"/>
        <v>No cumple</v>
      </c>
      <c r="R17" s="135">
        <v>0.03</v>
      </c>
      <c r="S17" s="7" t="str">
        <f t="shared" si="6"/>
        <v>Cumple</v>
      </c>
      <c r="T17" s="148" t="str">
        <f t="shared" si="7"/>
        <v>No cumple</v>
      </c>
    </row>
    <row r="18" spans="2:20" x14ac:dyDescent="0.3">
      <c r="B18" s="102" t="s">
        <v>341</v>
      </c>
      <c r="C18" s="102">
        <v>0</v>
      </c>
      <c r="D18" s="148">
        <v>200</v>
      </c>
      <c r="E18" s="102">
        <f>5*60*60*2</f>
        <v>36000</v>
      </c>
      <c r="F18" s="158">
        <f>E18/(2*60*60)</f>
        <v>5</v>
      </c>
      <c r="G18" s="106">
        <v>424.983</v>
      </c>
      <c r="H18" s="102" t="s">
        <v>340</v>
      </c>
      <c r="I18" s="135">
        <v>1.1499999999999999</v>
      </c>
      <c r="J18" s="38">
        <f t="shared" si="2"/>
        <v>423.83300000000003</v>
      </c>
      <c r="K18" s="106">
        <v>11.12</v>
      </c>
      <c r="L18" s="150" t="str">
        <f t="shared" si="3"/>
        <v>Cumple</v>
      </c>
      <c r="M18" s="38" t="str">
        <f t="shared" si="4"/>
        <v>Cumple</v>
      </c>
      <c r="N18" s="102" t="s">
        <v>336</v>
      </c>
      <c r="O18" s="106">
        <v>6.65</v>
      </c>
      <c r="P18" s="102">
        <v>38</v>
      </c>
      <c r="Q18" s="7" t="str">
        <f t="shared" si="5"/>
        <v>No cumple</v>
      </c>
      <c r="R18" s="135">
        <v>0</v>
      </c>
      <c r="S18" s="7" t="str">
        <f t="shared" si="6"/>
        <v>Cumple</v>
      </c>
      <c r="T18" s="148" t="str">
        <f t="shared" si="7"/>
        <v>No cumple</v>
      </c>
    </row>
    <row r="19" spans="2:20" x14ac:dyDescent="0.3">
      <c r="F19" s="73"/>
      <c r="J19" s="73"/>
      <c r="N19" s="102" t="s">
        <v>346</v>
      </c>
      <c r="O19" s="106">
        <v>7.5</v>
      </c>
      <c r="P19" s="102">
        <v>75</v>
      </c>
      <c r="Q19" s="7" t="str">
        <f t="shared" si="5"/>
        <v>Cumple</v>
      </c>
      <c r="R19" s="135">
        <v>1.1299999999999999</v>
      </c>
      <c r="S19" s="7" t="str">
        <f t="shared" si="6"/>
        <v>Cumple</v>
      </c>
      <c r="T19" s="148" t="str">
        <f t="shared" si="7"/>
        <v>Cumple</v>
      </c>
    </row>
    <row r="20" spans="2:20" x14ac:dyDescent="0.3">
      <c r="F20" s="185"/>
      <c r="J20" s="73"/>
      <c r="N20" s="102" t="s">
        <v>347</v>
      </c>
      <c r="O20" s="106">
        <v>32.6</v>
      </c>
      <c r="P20" s="102">
        <v>75</v>
      </c>
      <c r="Q20" s="7" t="str">
        <f t="shared" si="5"/>
        <v>Cumple</v>
      </c>
      <c r="R20" s="135">
        <v>1.1299999999999999</v>
      </c>
      <c r="S20" s="7" t="str">
        <f t="shared" si="6"/>
        <v>Cumple</v>
      </c>
      <c r="T20" s="148" t="str">
        <f t="shared" si="7"/>
        <v>Cumple</v>
      </c>
    </row>
    <row r="21" spans="2:20" x14ac:dyDescent="0.3">
      <c r="O21" s="73"/>
    </row>
    <row r="22" spans="2:20" x14ac:dyDescent="0.3">
      <c r="J22" s="73"/>
    </row>
  </sheetData>
  <mergeCells count="15">
    <mergeCell ref="B2:T2"/>
    <mergeCell ref="F3:F4"/>
    <mergeCell ref="E3:E4"/>
    <mergeCell ref="D3:D4"/>
    <mergeCell ref="C3:C4"/>
    <mergeCell ref="B3:B4"/>
    <mergeCell ref="N3:N4"/>
    <mergeCell ref="O3:O4"/>
    <mergeCell ref="P3:Q3"/>
    <mergeCell ref="R3:T3"/>
    <mergeCell ref="K3:M3"/>
    <mergeCell ref="J3:J4"/>
    <mergeCell ref="I3:I4"/>
    <mergeCell ref="H3:H4"/>
    <mergeCell ref="G3:G4"/>
  </mergeCells>
  <dataValidations disablePrompts="1" count="1">
    <dataValidation allowBlank="1" showInputMessage="1" showErrorMessage="1" prompt="Tener en cuenta la formula ya que el diametro minimo depende de si la red es matriz o menor en la distribución, o si es la tuberia de un hidrante" sqref="Q5:Q20" xr:uid="{00000000-0002-0000-0500-000000000000}"/>
  </dataValidations>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BF4994"/>
  <sheetViews>
    <sheetView topLeftCell="D1" zoomScaleNormal="100" workbookViewId="0">
      <selection activeCell="T6" sqref="T6"/>
    </sheetView>
  </sheetViews>
  <sheetFormatPr baseColWidth="10" defaultColWidth="11.5546875" defaultRowHeight="14.4" x14ac:dyDescent="0.3"/>
  <cols>
    <col min="1" max="1" width="5.6640625" style="175" customWidth="1"/>
    <col min="2" max="2" width="28.33203125" style="175" bestFit="1" customWidth="1"/>
    <col min="3" max="3" width="5.5546875" style="175" bestFit="1" customWidth="1"/>
    <col min="4" max="4" width="8.5546875" style="175" bestFit="1" customWidth="1"/>
    <col min="5" max="5" width="5.33203125" style="175" bestFit="1" customWidth="1"/>
    <col min="6" max="6" width="5.6640625" style="175" customWidth="1"/>
    <col min="7" max="7" width="11.44140625" style="175" bestFit="1" customWidth="1"/>
    <col min="8" max="8" width="8.88671875" style="175" bestFit="1" customWidth="1"/>
    <col min="9" max="9" width="11.5546875" style="175" bestFit="1" customWidth="1"/>
    <col min="10" max="10" width="5.6640625" style="175" customWidth="1"/>
    <col min="11" max="17" width="11.5546875" style="175"/>
    <col min="18" max="18" width="5.6640625" style="175" customWidth="1"/>
    <col min="19" max="20" width="5.5546875" style="175" bestFit="1" customWidth="1"/>
    <col min="21" max="21" width="5.6640625" style="175" customWidth="1"/>
    <col min="22" max="22" width="7.5546875" style="175" bestFit="1" customWidth="1"/>
    <col min="23" max="23" width="5.5546875" style="175" bestFit="1" customWidth="1"/>
    <col min="24" max="24" width="7.5546875" style="175" bestFit="1" customWidth="1"/>
    <col min="25" max="25" width="4.88671875" style="175" bestFit="1" customWidth="1"/>
    <col min="26" max="26" width="7" style="175" bestFit="1" customWidth="1"/>
    <col min="27" max="27" width="7.33203125" style="175" customWidth="1"/>
    <col min="28" max="28" width="6.6640625" style="175" customWidth="1"/>
    <col min="29" max="29" width="8.6640625" style="175" customWidth="1"/>
    <col min="30" max="30" width="12.33203125" style="175" customWidth="1"/>
    <col min="31" max="31" width="9.33203125" style="175" customWidth="1"/>
    <col min="32" max="32" width="10" style="175" bestFit="1" customWidth="1"/>
    <col min="33" max="33" width="4.5546875" style="175" bestFit="1" customWidth="1"/>
    <col min="34" max="34" width="5.6640625" style="175" customWidth="1"/>
    <col min="35" max="35" width="8.6640625" style="175" bestFit="1" customWidth="1"/>
    <col min="36" max="36" width="7.5546875" style="175" bestFit="1" customWidth="1"/>
    <col min="37" max="37" width="7.109375" style="175" bestFit="1" customWidth="1"/>
    <col min="38" max="38" width="8.33203125" style="175" bestFit="1" customWidth="1"/>
    <col min="39" max="39" width="5.6640625" style="175" customWidth="1"/>
    <col min="40" max="40" width="8.33203125" style="175" bestFit="1" customWidth="1"/>
    <col min="41" max="41" width="9" style="175" bestFit="1" customWidth="1"/>
    <col min="42" max="42" width="9.5546875" style="175" bestFit="1" customWidth="1"/>
    <col min="43" max="43" width="9.5546875" style="175" customWidth="1"/>
    <col min="44" max="44" width="9.5546875" style="175" bestFit="1" customWidth="1"/>
    <col min="45" max="45" width="8" style="175" bestFit="1" customWidth="1"/>
    <col min="46" max="46" width="4.5546875" style="175" bestFit="1" customWidth="1"/>
    <col min="47" max="48" width="7.33203125" style="175" bestFit="1" customWidth="1"/>
    <col min="49" max="49" width="10.33203125" style="175" bestFit="1" customWidth="1"/>
    <col min="50" max="50" width="11.33203125" style="175" bestFit="1" customWidth="1"/>
    <col min="51" max="51" width="8.33203125" style="175" bestFit="1" customWidth="1"/>
    <col min="52" max="52" width="11.5546875" style="175"/>
    <col min="53" max="53" width="7.5546875" style="175" bestFit="1" customWidth="1"/>
    <col min="54" max="54" width="14.33203125" style="175" bestFit="1" customWidth="1"/>
    <col min="55" max="55" width="5.5546875" style="175" bestFit="1" customWidth="1"/>
    <col min="56" max="56" width="8.33203125" style="175" bestFit="1" customWidth="1"/>
    <col min="57" max="57" width="7.5546875" style="175" bestFit="1" customWidth="1"/>
    <col min="58" max="58" width="10.109375" style="175" customWidth="1"/>
    <col min="59" max="16384" width="11.5546875" style="175"/>
  </cols>
  <sheetData>
    <row r="1" spans="2:58" ht="15" thickBot="1" x14ac:dyDescent="0.35"/>
    <row r="2" spans="2:58" ht="14.4" customHeight="1" x14ac:dyDescent="0.3">
      <c r="B2" s="171" t="s">
        <v>74</v>
      </c>
      <c r="C2" s="167" t="s">
        <v>269</v>
      </c>
      <c r="D2" s="166" t="s">
        <v>36</v>
      </c>
      <c r="E2" s="166" t="s">
        <v>362</v>
      </c>
      <c r="G2" s="168" t="s">
        <v>118</v>
      </c>
      <c r="H2" s="303" t="s">
        <v>324</v>
      </c>
      <c r="I2" s="303"/>
      <c r="K2" s="295"/>
      <c r="L2" s="296"/>
      <c r="M2" s="296"/>
      <c r="N2" s="296"/>
      <c r="O2" s="296"/>
      <c r="P2" s="296"/>
      <c r="Q2" s="297"/>
      <c r="S2" s="229" t="s">
        <v>403</v>
      </c>
      <c r="T2" s="229"/>
      <c r="V2" s="229" t="s">
        <v>118</v>
      </c>
      <c r="W2" s="247" t="s">
        <v>399</v>
      </c>
      <c r="X2" s="247"/>
      <c r="Y2" s="229" t="s">
        <v>63</v>
      </c>
      <c r="Z2" s="229"/>
      <c r="AA2" s="247" t="s">
        <v>402</v>
      </c>
      <c r="AB2" s="247" t="s">
        <v>401</v>
      </c>
      <c r="AC2" s="247" t="s">
        <v>380</v>
      </c>
      <c r="AD2" s="247" t="s">
        <v>379</v>
      </c>
      <c r="AE2" s="247" t="s">
        <v>384</v>
      </c>
      <c r="AF2" s="229" t="s">
        <v>120</v>
      </c>
      <c r="AG2" s="229" t="s">
        <v>110</v>
      </c>
      <c r="AI2" s="204" t="s">
        <v>416</v>
      </c>
      <c r="AJ2" s="204"/>
      <c r="AK2" s="204"/>
      <c r="AL2" s="204"/>
      <c r="AM2" s="204"/>
      <c r="AN2" s="204"/>
      <c r="AO2" s="204"/>
      <c r="AP2" s="204"/>
      <c r="AQ2" s="204"/>
      <c r="AR2" s="204"/>
      <c r="AS2" s="204"/>
      <c r="AT2" s="204"/>
      <c r="AU2" s="204"/>
      <c r="AV2" s="204"/>
      <c r="AW2" s="204"/>
      <c r="AX2" s="204"/>
      <c r="AY2" s="204"/>
      <c r="BA2" s="229" t="s">
        <v>424</v>
      </c>
      <c r="BB2" s="229"/>
      <c r="BC2" s="229"/>
      <c r="BD2" s="229"/>
      <c r="BE2" s="229"/>
      <c r="BF2" s="229"/>
    </row>
    <row r="3" spans="2:58" ht="14.4" customHeight="1" x14ac:dyDescent="0.3">
      <c r="B3" s="166" t="s">
        <v>38</v>
      </c>
      <c r="C3" s="68">
        <v>0.6</v>
      </c>
      <c r="D3" s="102"/>
      <c r="E3" s="176" t="str">
        <f>IF(D3="","",C3*D3)</f>
        <v/>
      </c>
      <c r="G3" s="229" t="s">
        <v>430</v>
      </c>
      <c r="H3" s="229"/>
      <c r="I3" s="174">
        <f>VLOOKUP(H2,'Energia actual'!$B$4:$U$11,3,FALSE)</f>
        <v>435.85</v>
      </c>
      <c r="K3" s="298"/>
      <c r="L3" s="229"/>
      <c r="M3" s="229"/>
      <c r="N3" s="229"/>
      <c r="O3" s="229"/>
      <c r="P3" s="229"/>
      <c r="Q3" s="299"/>
      <c r="S3" s="168" t="s">
        <v>305</v>
      </c>
      <c r="T3" s="168" t="s">
        <v>323</v>
      </c>
      <c r="V3" s="229"/>
      <c r="W3" s="247"/>
      <c r="X3" s="247"/>
      <c r="Y3" s="229"/>
      <c r="Z3" s="229"/>
      <c r="AA3" s="247"/>
      <c r="AB3" s="247"/>
      <c r="AC3" s="247"/>
      <c r="AD3" s="247"/>
      <c r="AE3" s="247"/>
      <c r="AF3" s="229"/>
      <c r="AG3" s="229"/>
      <c r="AI3" s="19"/>
      <c r="AJ3" s="19"/>
      <c r="AK3" s="168" t="s">
        <v>368</v>
      </c>
      <c r="AL3" s="293" t="s">
        <v>364</v>
      </c>
      <c r="AM3" s="294"/>
      <c r="AN3" s="294"/>
      <c r="AO3" s="168" t="s">
        <v>103</v>
      </c>
      <c r="AP3" s="168" t="s">
        <v>365</v>
      </c>
      <c r="AQ3" s="229" t="s">
        <v>366</v>
      </c>
      <c r="AR3" s="229"/>
      <c r="AS3" s="168" t="s">
        <v>409</v>
      </c>
      <c r="AT3" s="168" t="s">
        <v>110</v>
      </c>
      <c r="AU3" s="168" t="s">
        <v>410</v>
      </c>
      <c r="AV3" s="168" t="s">
        <v>411</v>
      </c>
      <c r="AW3" s="168" t="s">
        <v>414</v>
      </c>
      <c r="AX3" s="168" t="s">
        <v>415</v>
      </c>
      <c r="AY3" s="168" t="s">
        <v>119</v>
      </c>
      <c r="BA3" s="229" t="s">
        <v>118</v>
      </c>
      <c r="BB3" s="168" t="s">
        <v>399</v>
      </c>
      <c r="BC3" s="304" t="s">
        <v>425</v>
      </c>
      <c r="BD3" s="305"/>
      <c r="BE3" s="306"/>
      <c r="BF3" s="247" t="s">
        <v>432</v>
      </c>
    </row>
    <row r="4" spans="2:58" x14ac:dyDescent="0.3">
      <c r="B4" s="166" t="s">
        <v>39</v>
      </c>
      <c r="C4" s="68">
        <v>0.8</v>
      </c>
      <c r="D4" s="102"/>
      <c r="E4" s="176" t="str">
        <f t="shared" ref="E4:E22" si="0">IF(D4="","",C4*D4)</f>
        <v/>
      </c>
      <c r="G4" s="229" t="s">
        <v>431</v>
      </c>
      <c r="H4" s="229"/>
      <c r="I4" s="173">
        <f>VLOOKUP(H2,'Energia actual'!$B$4:$U$11,5,FALSE)</f>
        <v>424.0727</v>
      </c>
      <c r="K4" s="298"/>
      <c r="L4" s="229"/>
      <c r="M4" s="229"/>
      <c r="N4" s="229"/>
      <c r="O4" s="229"/>
      <c r="P4" s="229"/>
      <c r="Q4" s="299"/>
      <c r="S4" s="102" t="s">
        <v>306</v>
      </c>
      <c r="T4" s="170">
        <f>VLOOKUP(S4,'Dotación tub. actual'!$B$5:$M$18,5,FALSE)</f>
        <v>7.8703703703703706E-2</v>
      </c>
      <c r="V4" s="229"/>
      <c r="W4" s="169" t="s">
        <v>249</v>
      </c>
      <c r="X4" s="168" t="s">
        <v>226</v>
      </c>
      <c r="Y4" s="168" t="s">
        <v>400</v>
      </c>
      <c r="Z4" s="168" t="s">
        <v>106</v>
      </c>
      <c r="AA4" s="247"/>
      <c r="AB4" s="247"/>
      <c r="AC4" s="247"/>
      <c r="AD4" s="247"/>
      <c r="AE4" s="247"/>
      <c r="AF4" s="229"/>
      <c r="AG4" s="229"/>
      <c r="AI4" s="229" t="s">
        <v>404</v>
      </c>
      <c r="AJ4" s="102" t="s">
        <v>329</v>
      </c>
      <c r="AK4" s="102" t="s">
        <v>408</v>
      </c>
      <c r="AL4" s="23">
        <f>VLOOKUP(AJ4,$V$5:$AG$11,3,FALSE)</f>
        <v>8.0000000000000007E-5</v>
      </c>
      <c r="AM4" s="23"/>
      <c r="AN4" s="23">
        <f t="shared" ref="AN4:AN11" si="1">IF(AM4="SI",(IF(AK4="-",IF(SIGN(AL4)=-1,AL4,-1*AL4),AL4))*-1,(IF(AK4="-",IF(SIGN(AL4)=-1,AL4,-1*AL4),AL4)))</f>
        <v>8.0000000000000007E-5</v>
      </c>
      <c r="AO4" s="173">
        <f t="shared" ref="AO4:AO11" si="2">ABS(AN4/$AA$5)</f>
        <v>7.0169786360532824E-2</v>
      </c>
      <c r="AP4" s="170">
        <f>(AO4*$Z$5)/$AD$5</f>
        <v>2214.9700582736536</v>
      </c>
      <c r="AQ4" s="179">
        <f t="shared" ref="AQ4" ca="1" si="3">-2*LOG10(($AF$5/(3.7*$Z$5))+((2.51/AP4)*AQ4))</f>
        <v>4.5698092274063251</v>
      </c>
      <c r="AR4" s="179">
        <f ca="1">(1/AQ4)^2</f>
        <v>4.7885481583737045E-2</v>
      </c>
      <c r="AS4" s="170">
        <f t="shared" ref="AS4:AS11" si="4">VLOOKUP(AJ4,$V$5:$AG$11,7,FALSE)</f>
        <v>67.8</v>
      </c>
      <c r="AT4" s="176">
        <f t="shared" ref="AT4:AT11" si="5">VLOOKUP(AJ4,$V$5:$AG$11,12,FALSE)</f>
        <v>6.3</v>
      </c>
      <c r="AU4" s="173">
        <f ca="1">IF(SIGN(AN4)=-1,-1*(((AN4^2)/(2*9.81*($AA$5^2)))*((AT4)+(AR4*(AS4/$Z$5)))),1*(((AN4^2)/(2*9.81*($AA$5^2)))*((AS4)+(AR4*(AS4/$Z$5)))))</f>
        <v>3.8399993573042961E-2</v>
      </c>
      <c r="AV4" s="266">
        <f ca="1">SUM(AU4:AU7)</f>
        <v>1.4052442525339251E-2</v>
      </c>
      <c r="AW4" s="173">
        <f t="shared" ref="AW4:AW11" ca="1" si="6">AU4/AN4</f>
        <v>479.99991966303696</v>
      </c>
      <c r="AX4" s="266">
        <f ca="1">SUM(AW4:AW7)</f>
        <v>750.14225413786767</v>
      </c>
      <c r="AY4" s="307">
        <f ca="1">-(AV4/(2*AX4))</f>
        <v>-9.3665184488838111E-6</v>
      </c>
      <c r="BA4" s="229"/>
      <c r="BB4" s="168" t="s">
        <v>249</v>
      </c>
      <c r="BC4" s="169" t="s">
        <v>249</v>
      </c>
      <c r="BD4" s="304" t="s">
        <v>226</v>
      </c>
      <c r="BE4" s="306"/>
      <c r="BF4" s="247"/>
    </row>
    <row r="5" spans="2:58" x14ac:dyDescent="0.3">
      <c r="B5" s="166" t="s">
        <v>40</v>
      </c>
      <c r="C5" s="68">
        <v>0.9</v>
      </c>
      <c r="D5" s="102"/>
      <c r="E5" s="176" t="str">
        <f>IF(D5="","",C5*D5)</f>
        <v/>
      </c>
      <c r="G5" s="229" t="s">
        <v>63</v>
      </c>
      <c r="H5" s="168" t="s">
        <v>57</v>
      </c>
      <c r="I5" s="7">
        <f>VLOOKUP(H2,'Energia actual'!$B$4:$U$11,9,FALSE)</f>
        <v>3</v>
      </c>
      <c r="K5" s="298"/>
      <c r="L5" s="229"/>
      <c r="M5" s="229"/>
      <c r="N5" s="229"/>
      <c r="O5" s="229"/>
      <c r="P5" s="229"/>
      <c r="Q5" s="299"/>
      <c r="S5" s="102" t="s">
        <v>307</v>
      </c>
      <c r="T5" s="170">
        <f>VLOOKUP(S5,'Dotación tub. actual'!$B$5:$M$18,5,FALSE)</f>
        <v>8.7962962962962965E-2</v>
      </c>
      <c r="V5" s="102" t="s">
        <v>329</v>
      </c>
      <c r="W5" s="30">
        <v>0.08</v>
      </c>
      <c r="X5" s="23">
        <f>W5/1000</f>
        <v>8.0000000000000007E-5</v>
      </c>
      <c r="Y5" s="102">
        <v>1.5</v>
      </c>
      <c r="Z5" s="168">
        <f>Y5*0.0254</f>
        <v>3.8099999999999995E-2</v>
      </c>
      <c r="AA5" s="173">
        <f>PI()*((Z5^2)/4)</f>
        <v>1.1400918279693697E-3</v>
      </c>
      <c r="AB5" s="30">
        <f>VLOOKUP(V5,'Dotación tub. actual'!$N$5:$T$20,2,FALSE)</f>
        <v>67.8</v>
      </c>
      <c r="AC5" s="170">
        <f>X5/AA5</f>
        <v>7.0169786360532824E-2</v>
      </c>
      <c r="AD5" s="102">
        <v>1.207E-6</v>
      </c>
      <c r="AE5" s="170">
        <f>(AC5*Z5)/AD5</f>
        <v>2214.9700582736536</v>
      </c>
      <c r="AF5" s="102">
        <v>1.5E-6</v>
      </c>
      <c r="AG5" s="135">
        <v>6.3</v>
      </c>
      <c r="AI5" s="229"/>
      <c r="AJ5" s="102" t="s">
        <v>331</v>
      </c>
      <c r="AK5" s="102" t="s">
        <v>408</v>
      </c>
      <c r="AL5" s="23">
        <f>VLOOKUP(AJ5,$V$5:$AG$11,3,FALSE)</f>
        <v>4.0000000000000003E-5</v>
      </c>
      <c r="AM5" s="23"/>
      <c r="AN5" s="23">
        <f t="shared" si="1"/>
        <v>4.0000000000000003E-5</v>
      </c>
      <c r="AO5" s="173">
        <f t="shared" si="2"/>
        <v>3.5084893180266412E-2</v>
      </c>
      <c r="AP5" s="170">
        <f t="shared" ref="AP5:AP11" si="7">(AO5*$Z$5)/$AD$5</f>
        <v>1107.4850291368268</v>
      </c>
      <c r="AQ5" s="179"/>
      <c r="AR5" s="179">
        <f>64/AP5</f>
        <v>5.7788591553135094E-2</v>
      </c>
      <c r="AS5" s="170">
        <f t="shared" si="4"/>
        <v>5.21</v>
      </c>
      <c r="AT5" s="176">
        <f t="shared" si="5"/>
        <v>2.1</v>
      </c>
      <c r="AU5" s="173">
        <f t="shared" ref="AU5:AU11" si="8">IF(SIGN(AN5)=-1,-1*(((AN5^2)/(2*9.81*($AA$5^2)))*((AT5)+(AR5*(AS5/$Z$5)))),1*(((AN5^2)/(2*9.81*($AA$5^2)))*((AS5)+(AR5*(AS5/$Z$5)))))</f>
        <v>8.2266117476534589E-4</v>
      </c>
      <c r="AV5" s="229"/>
      <c r="AW5" s="173">
        <f t="shared" si="6"/>
        <v>20.566529369133647</v>
      </c>
      <c r="AX5" s="229"/>
      <c r="AY5" s="307"/>
      <c r="BA5" s="102" t="s">
        <v>329</v>
      </c>
      <c r="BB5" s="184">
        <f t="shared" ref="BB5:BB11" si="9">W5</f>
        <v>0.08</v>
      </c>
      <c r="BC5" s="170">
        <f ca="1">ABS(BD5*1000)</f>
        <v>7.1929813619481461E-2</v>
      </c>
      <c r="BD5" s="193">
        <f ca="1">AN70</f>
        <v>7.1929813619481462E-5</v>
      </c>
      <c r="BE5" s="193">
        <f ca="1">ABS(BD5)</f>
        <v>7.1929813619481462E-5</v>
      </c>
      <c r="BF5" s="184">
        <f t="shared" ref="BF5:BF11" ca="1" si="10">BE5/$Z$5</f>
        <v>1.8879216173092249E-3</v>
      </c>
    </row>
    <row r="6" spans="2:58" x14ac:dyDescent="0.3">
      <c r="B6" s="166" t="s">
        <v>271</v>
      </c>
      <c r="C6" s="68">
        <v>0.4</v>
      </c>
      <c r="D6" s="102">
        <v>1</v>
      </c>
      <c r="E6" s="176">
        <f t="shared" si="0"/>
        <v>0.4</v>
      </c>
      <c r="G6" s="229"/>
      <c r="H6" s="168" t="s">
        <v>106</v>
      </c>
      <c r="I6" s="173">
        <f>I5*0.0254</f>
        <v>7.619999999999999E-2</v>
      </c>
      <c r="K6" s="298"/>
      <c r="L6" s="229"/>
      <c r="M6" s="229"/>
      <c r="N6" s="229"/>
      <c r="O6" s="229"/>
      <c r="P6" s="229"/>
      <c r="Q6" s="299"/>
      <c r="S6" s="102" t="s">
        <v>16</v>
      </c>
      <c r="T6" s="170">
        <f>VLOOKUP(S6,'Dotación tub. actual'!$B$5:$M$18,5,FALSE)</f>
        <v>4.6296296296296294E-2</v>
      </c>
      <c r="V6" s="102" t="s">
        <v>330</v>
      </c>
      <c r="W6" s="30">
        <v>0.19</v>
      </c>
      <c r="X6" s="23">
        <f t="shared" ref="X6:X11" si="11">W6/1000</f>
        <v>1.9000000000000001E-4</v>
      </c>
      <c r="Y6" s="102">
        <v>1.5</v>
      </c>
      <c r="Z6" s="168">
        <f t="shared" ref="Z6:Z11" si="12">Y6*0.0254</f>
        <v>3.8099999999999995E-2</v>
      </c>
      <c r="AA6" s="173">
        <f t="shared" ref="AA6:AA11" si="13">PI()*((Z6^2)/4)</f>
        <v>1.1400918279693697E-3</v>
      </c>
      <c r="AB6" s="30">
        <f>VLOOKUP(V6,'Dotación tub. actual'!$N$5:$T$20,2,FALSE)</f>
        <v>5.7069999999999999</v>
      </c>
      <c r="AC6" s="170">
        <f t="shared" ref="AC6:AC11" si="14">X6/AA6</f>
        <v>0.16665324260626543</v>
      </c>
      <c r="AD6" s="102">
        <v>1.207E-6</v>
      </c>
      <c r="AE6" s="170">
        <f t="shared" ref="AE6:AE11" si="15">(AC6*Z6)/AD6</f>
        <v>5260.553888399927</v>
      </c>
      <c r="AF6" s="102">
        <v>1.5E-6</v>
      </c>
      <c r="AG6" s="135">
        <v>5</v>
      </c>
      <c r="AI6" s="229"/>
      <c r="AJ6" s="102" t="s">
        <v>356</v>
      </c>
      <c r="AK6" s="102" t="s">
        <v>111</v>
      </c>
      <c r="AL6" s="23">
        <f>VLOOKUP(AJ6,$V$5:$AG$11,3,FALSE)</f>
        <v>5.9999999999999995E-5</v>
      </c>
      <c r="AM6" s="23"/>
      <c r="AN6" s="23">
        <f t="shared" si="1"/>
        <v>-5.9999999999999995E-5</v>
      </c>
      <c r="AO6" s="173">
        <f t="shared" si="2"/>
        <v>5.2627339770399607E-2</v>
      </c>
      <c r="AP6" s="170">
        <f t="shared" si="7"/>
        <v>1661.2275437052401</v>
      </c>
      <c r="AQ6" s="179"/>
      <c r="AR6" s="179">
        <f>64/AP6</f>
        <v>3.8525727702090062E-2</v>
      </c>
      <c r="AS6" s="170">
        <f t="shared" si="4"/>
        <v>66.599999999999994</v>
      </c>
      <c r="AT6" s="176">
        <f t="shared" si="5"/>
        <v>5.4</v>
      </c>
      <c r="AU6" s="173">
        <f t="shared" si="8"/>
        <v>-1.0268857268129251E-2</v>
      </c>
      <c r="AV6" s="229"/>
      <c r="AW6" s="173">
        <f t="shared" si="6"/>
        <v>171.14762113548753</v>
      </c>
      <c r="AX6" s="229"/>
      <c r="AY6" s="307"/>
      <c r="BA6" s="102" t="s">
        <v>330</v>
      </c>
      <c r="BB6" s="184">
        <f t="shared" si="9"/>
        <v>0.19</v>
      </c>
      <c r="BC6" s="170">
        <f t="shared" ref="BC6:BC11" ca="1" si="16">ABS(BD6*1000)</f>
        <v>0.19807018638051857</v>
      </c>
      <c r="BD6" s="193">
        <f ca="1">AN73</f>
        <v>-1.9807018638051853E-4</v>
      </c>
      <c r="BE6" s="193">
        <f t="shared" ref="BE6:BE11" ca="1" si="17">ABS(BD6)</f>
        <v>1.9807018638051853E-4</v>
      </c>
      <c r="BF6" s="184">
        <f t="shared" ca="1" si="10"/>
        <v>5.1986925559191219E-3</v>
      </c>
    </row>
    <row r="7" spans="2:58" x14ac:dyDescent="0.3">
      <c r="B7" s="166" t="s">
        <v>272</v>
      </c>
      <c r="C7" s="68">
        <v>0.2</v>
      </c>
      <c r="D7" s="102"/>
      <c r="E7" s="176" t="str">
        <f t="shared" si="0"/>
        <v/>
      </c>
      <c r="G7" s="229" t="s">
        <v>391</v>
      </c>
      <c r="H7" s="229"/>
      <c r="I7" s="183">
        <f>PI()*((I6^2)/4)</f>
        <v>4.5603673118774788E-3</v>
      </c>
      <c r="K7" s="298"/>
      <c r="L7" s="229"/>
      <c r="M7" s="229"/>
      <c r="N7" s="229"/>
      <c r="O7" s="229"/>
      <c r="P7" s="229"/>
      <c r="Q7" s="299"/>
      <c r="S7" s="102" t="s">
        <v>308</v>
      </c>
      <c r="T7" s="170">
        <f>VLOOKUP(S7,'Dotación tub. actual'!$B$5:$M$18,5,FALSE)</f>
        <v>3.9351851851851853E-2</v>
      </c>
      <c r="V7" s="102" t="s">
        <v>331</v>
      </c>
      <c r="W7" s="30">
        <v>0.04</v>
      </c>
      <c r="X7" s="23">
        <f t="shared" si="11"/>
        <v>4.0000000000000003E-5</v>
      </c>
      <c r="Y7" s="102">
        <v>1.5</v>
      </c>
      <c r="Z7" s="168">
        <f t="shared" si="12"/>
        <v>3.8099999999999995E-2</v>
      </c>
      <c r="AA7" s="173">
        <f t="shared" si="13"/>
        <v>1.1400918279693697E-3</v>
      </c>
      <c r="AB7" s="30">
        <f>VLOOKUP(V7,'Dotación tub. actual'!$N$5:$T$20,2,FALSE)</f>
        <v>5.21</v>
      </c>
      <c r="AC7" s="170">
        <f t="shared" si="14"/>
        <v>3.5084893180266412E-2</v>
      </c>
      <c r="AD7" s="102">
        <v>1.207E-6</v>
      </c>
      <c r="AE7" s="170">
        <f t="shared" si="15"/>
        <v>1107.4850291368268</v>
      </c>
      <c r="AF7" s="102">
        <v>1.5E-6</v>
      </c>
      <c r="AG7" s="135">
        <v>2.1</v>
      </c>
      <c r="AH7" s="178"/>
      <c r="AI7" s="229"/>
      <c r="AJ7" s="102" t="s">
        <v>330</v>
      </c>
      <c r="AK7" s="102" t="s">
        <v>111</v>
      </c>
      <c r="AL7" s="23">
        <f>VLOOKUP(AJ7,$V$5:$AG$11,3,FALSE)</f>
        <v>1.9000000000000001E-4</v>
      </c>
      <c r="AM7" s="23"/>
      <c r="AN7" s="23">
        <f t="shared" si="1"/>
        <v>-1.9000000000000001E-4</v>
      </c>
      <c r="AO7" s="173">
        <f t="shared" si="2"/>
        <v>0.16665324260626543</v>
      </c>
      <c r="AP7" s="170">
        <f t="shared" si="7"/>
        <v>5260.553888399927</v>
      </c>
      <c r="AQ7" s="179">
        <f ca="1">-2*LOG10(($AF$5/(3.7*$Z$5))+((2.51/AP7)*AQ7))</f>
        <v>5.2059951608499944</v>
      </c>
      <c r="AR7" s="179">
        <f t="shared" ref="AR7:AR11" ca="1" si="18">(1/AQ7)^2</f>
        <v>3.6897120947691049E-2</v>
      </c>
      <c r="AS7" s="170">
        <f t="shared" si="4"/>
        <v>5.7069999999999999</v>
      </c>
      <c r="AT7" s="176">
        <f t="shared" si="5"/>
        <v>5</v>
      </c>
      <c r="AU7" s="173">
        <f t="shared" ca="1" si="8"/>
        <v>-1.4901354954339802E-2</v>
      </c>
      <c r="AV7" s="229"/>
      <c r="AW7" s="173">
        <f t="shared" ca="1" si="6"/>
        <v>78.428183970209474</v>
      </c>
      <c r="AX7" s="229"/>
      <c r="AY7" s="307"/>
      <c r="BA7" s="102" t="s">
        <v>331</v>
      </c>
      <c r="BB7" s="184">
        <f t="shared" si="9"/>
        <v>0.04</v>
      </c>
      <c r="BC7" s="170">
        <f t="shared" ca="1" si="16"/>
        <v>3.1929813619481467E-2</v>
      </c>
      <c r="BD7" s="193">
        <f ca="1">AN71</f>
        <v>3.1929813619481479E-5</v>
      </c>
      <c r="BE7" s="193">
        <f t="shared" ca="1" si="17"/>
        <v>3.1929813619481479E-5</v>
      </c>
      <c r="BF7" s="184">
        <f t="shared" ca="1" si="10"/>
        <v>8.3805285090502585E-4</v>
      </c>
    </row>
    <row r="8" spans="2:58" x14ac:dyDescent="0.3">
      <c r="B8" s="166" t="s">
        <v>41</v>
      </c>
      <c r="C8" s="68">
        <v>0.5</v>
      </c>
      <c r="D8" s="102"/>
      <c r="E8" s="176" t="str">
        <f t="shared" si="0"/>
        <v/>
      </c>
      <c r="G8" s="229" t="s">
        <v>337</v>
      </c>
      <c r="H8" s="229"/>
      <c r="I8" s="168">
        <f>VLOOKUP(H2,'Energia actual'!$B$4:$U$11,13,FALSE)</f>
        <v>26.5383</v>
      </c>
      <c r="K8" s="298"/>
      <c r="L8" s="229"/>
      <c r="M8" s="229"/>
      <c r="N8" s="229"/>
      <c r="O8" s="229"/>
      <c r="P8" s="229"/>
      <c r="Q8" s="299"/>
      <c r="S8" s="102" t="s">
        <v>309</v>
      </c>
      <c r="T8" s="170">
        <f>VLOOKUP(S8,'Dotación tub. actual'!$B$5:$M$18,5,FALSE)</f>
        <v>4.8611111111111112E-2</v>
      </c>
      <c r="V8" s="102" t="s">
        <v>356</v>
      </c>
      <c r="W8" s="30">
        <v>0.06</v>
      </c>
      <c r="X8" s="23">
        <f t="shared" si="11"/>
        <v>5.9999999999999995E-5</v>
      </c>
      <c r="Y8" s="102">
        <v>1.5</v>
      </c>
      <c r="Z8" s="168">
        <f t="shared" si="12"/>
        <v>3.8099999999999995E-2</v>
      </c>
      <c r="AA8" s="173">
        <f t="shared" si="13"/>
        <v>1.1400918279693697E-3</v>
      </c>
      <c r="AB8" s="30">
        <f>VLOOKUP(V8,'Dotación tub. actual'!$N$5:$T$20,2,FALSE)</f>
        <v>66.599999999999994</v>
      </c>
      <c r="AC8" s="170">
        <f t="shared" si="14"/>
        <v>5.2627339770399607E-2</v>
      </c>
      <c r="AD8" s="102">
        <v>1.207E-6</v>
      </c>
      <c r="AE8" s="170">
        <f t="shared" si="15"/>
        <v>1661.2275437052401</v>
      </c>
      <c r="AF8" s="102">
        <v>1.5E-6</v>
      </c>
      <c r="AG8" s="135">
        <v>5.4</v>
      </c>
      <c r="AH8" s="178"/>
      <c r="AI8" s="308" t="s">
        <v>405</v>
      </c>
      <c r="AJ8" s="102" t="s">
        <v>356</v>
      </c>
      <c r="AK8" s="102" t="s">
        <v>408</v>
      </c>
      <c r="AL8" s="182">
        <f ca="1">AN6+AY4</f>
        <v>-6.9366518448883799E-5</v>
      </c>
      <c r="AM8" s="182" t="s">
        <v>423</v>
      </c>
      <c r="AN8" s="182">
        <f t="shared" ca="1" si="1"/>
        <v>6.9366518448883799E-5</v>
      </c>
      <c r="AO8" s="173">
        <f t="shared" ca="1" si="2"/>
        <v>6.0842922251651679E-2</v>
      </c>
      <c r="AP8" s="170">
        <f t="shared" ca="1" si="7"/>
        <v>1920.5595176370575</v>
      </c>
      <c r="AQ8" s="179"/>
      <c r="AR8" s="179">
        <f ca="1">64/AP8</f>
        <v>3.3323622315408273E-2</v>
      </c>
      <c r="AS8" s="170">
        <f t="shared" si="4"/>
        <v>66.599999999999994</v>
      </c>
      <c r="AT8" s="176">
        <f t="shared" si="5"/>
        <v>5.4</v>
      </c>
      <c r="AU8" s="173">
        <f t="shared" ca="1" si="8"/>
        <v>2.3556580723066784E-2</v>
      </c>
      <c r="AV8" s="258">
        <f ca="1">SUM(AU8:AU11)</f>
        <v>1.1489377306917703E-2</v>
      </c>
      <c r="AW8" s="173">
        <f t="shared" ca="1" si="6"/>
        <v>339.59583455850725</v>
      </c>
      <c r="AX8" s="258">
        <f ca="1">SUM(AW8:AW11)</f>
        <v>753.89870429145287</v>
      </c>
      <c r="AY8" s="311">
        <f ca="1">-(AV8/(2*AX8))</f>
        <v>-7.6199741699489485E-6</v>
      </c>
      <c r="BA8" s="102" t="s">
        <v>356</v>
      </c>
      <c r="BB8" s="184">
        <f t="shared" si="9"/>
        <v>0.06</v>
      </c>
      <c r="BC8" s="170">
        <f t="shared" ca="1" si="16"/>
        <v>5.7753528263952796E-2</v>
      </c>
      <c r="BD8" s="193">
        <f ca="1">AN74</f>
        <v>5.7753528263952765E-5</v>
      </c>
      <c r="BE8" s="193">
        <f t="shared" ca="1" si="17"/>
        <v>5.7753528263952765E-5</v>
      </c>
      <c r="BF8" s="184">
        <f t="shared" ca="1" si="10"/>
        <v>1.5158406368491542E-3</v>
      </c>
    </row>
    <row r="9" spans="2:58" x14ac:dyDescent="0.3">
      <c r="B9" s="166" t="s">
        <v>42</v>
      </c>
      <c r="C9" s="68">
        <v>0.9</v>
      </c>
      <c r="D9" s="102"/>
      <c r="E9" s="176" t="str">
        <f t="shared" si="0"/>
        <v/>
      </c>
      <c r="G9" s="229" t="s">
        <v>120</v>
      </c>
      <c r="H9" s="229"/>
      <c r="I9" s="102">
        <v>1.5E-6</v>
      </c>
      <c r="K9" s="298"/>
      <c r="L9" s="229"/>
      <c r="M9" s="229"/>
      <c r="N9" s="229"/>
      <c r="O9" s="229"/>
      <c r="P9" s="229"/>
      <c r="Q9" s="299"/>
      <c r="S9" s="102" t="s">
        <v>310</v>
      </c>
      <c r="T9" s="170">
        <f>VLOOKUP(S9,'Dotación tub. actual'!$B$5:$M$18,5,FALSE)</f>
        <v>5.0925925925925923E-2</v>
      </c>
      <c r="V9" s="102" t="s">
        <v>332</v>
      </c>
      <c r="W9" s="30">
        <v>0.04</v>
      </c>
      <c r="X9" s="23">
        <f t="shared" si="11"/>
        <v>4.0000000000000003E-5</v>
      </c>
      <c r="Y9" s="102">
        <v>1.5</v>
      </c>
      <c r="Z9" s="168">
        <f t="shared" si="12"/>
        <v>3.8099999999999995E-2</v>
      </c>
      <c r="AA9" s="173">
        <f t="shared" si="13"/>
        <v>1.1400918279693697E-3</v>
      </c>
      <c r="AB9" s="30">
        <f>VLOOKUP(V9,'Dotación tub. actual'!$N$5:$T$20,2,FALSE)</f>
        <v>30.4</v>
      </c>
      <c r="AC9" s="170">
        <f t="shared" si="14"/>
        <v>3.5084893180266412E-2</v>
      </c>
      <c r="AD9" s="102">
        <v>1.207E-6</v>
      </c>
      <c r="AE9" s="170">
        <f t="shared" si="15"/>
        <v>1107.4850291368268</v>
      </c>
      <c r="AF9" s="102">
        <v>1.5E-6</v>
      </c>
      <c r="AG9" s="135">
        <v>3.6</v>
      </c>
      <c r="AH9" s="178"/>
      <c r="AI9" s="309"/>
      <c r="AJ9" s="102" t="s">
        <v>332</v>
      </c>
      <c r="AK9" s="102" t="s">
        <v>408</v>
      </c>
      <c r="AL9" s="23">
        <f>VLOOKUP(AJ9,$V$5:$AG$11,3,FALSE)</f>
        <v>4.0000000000000003E-5</v>
      </c>
      <c r="AM9" s="23"/>
      <c r="AN9" s="23">
        <f t="shared" si="1"/>
        <v>4.0000000000000003E-5</v>
      </c>
      <c r="AO9" s="173">
        <f t="shared" si="2"/>
        <v>3.5084893180266412E-2</v>
      </c>
      <c r="AP9" s="170">
        <f t="shared" si="7"/>
        <v>1107.4850291368268</v>
      </c>
      <c r="AQ9" s="179"/>
      <c r="AR9" s="179">
        <f t="shared" ref="AR9:AR10" si="19">64/AP9</f>
        <v>5.7788591553135094E-2</v>
      </c>
      <c r="AS9" s="170">
        <f t="shared" si="4"/>
        <v>30.4</v>
      </c>
      <c r="AT9" s="176">
        <f t="shared" si="5"/>
        <v>3.6</v>
      </c>
      <c r="AU9" s="173">
        <f t="shared" si="8"/>
        <v>4.8001726896096959E-3</v>
      </c>
      <c r="AV9" s="285"/>
      <c r="AW9" s="173">
        <f t="shared" si="6"/>
        <v>120.00431724024239</v>
      </c>
      <c r="AX9" s="285"/>
      <c r="AY9" s="312"/>
      <c r="BA9" s="102" t="s">
        <v>332</v>
      </c>
      <c r="BB9" s="184">
        <f t="shared" si="9"/>
        <v>0.04</v>
      </c>
      <c r="BC9" s="170">
        <f t="shared" ca="1" si="16"/>
        <v>2.9673631016884743E-2</v>
      </c>
      <c r="BD9" s="193">
        <f ca="1">AN75</f>
        <v>2.9673631016884736E-5</v>
      </c>
      <c r="BE9" s="193">
        <f t="shared" ca="1" si="17"/>
        <v>2.9673631016884736E-5</v>
      </c>
      <c r="BF9" s="184">
        <f t="shared" ca="1" si="10"/>
        <v>7.7883545976075428E-4</v>
      </c>
    </row>
    <row r="10" spans="2:58" x14ac:dyDescent="0.3">
      <c r="B10" s="166" t="s">
        <v>363</v>
      </c>
      <c r="C10" s="176">
        <v>0.3</v>
      </c>
      <c r="D10" s="102">
        <v>7</v>
      </c>
      <c r="E10" s="176">
        <f t="shared" si="0"/>
        <v>2.1</v>
      </c>
      <c r="G10" s="229" t="s">
        <v>429</v>
      </c>
      <c r="H10" s="229"/>
      <c r="I10" s="186">
        <v>1.207E-6</v>
      </c>
      <c r="K10" s="298"/>
      <c r="L10" s="229"/>
      <c r="M10" s="229"/>
      <c r="N10" s="229"/>
      <c r="O10" s="229"/>
      <c r="P10" s="229"/>
      <c r="Q10" s="299"/>
      <c r="S10" s="102" t="s">
        <v>311</v>
      </c>
      <c r="T10" s="170">
        <f>VLOOKUP(S10,'Dotación tub. actual'!$B$5:$M$18,5,FALSE)</f>
        <v>4.3981481481481483E-2</v>
      </c>
      <c r="V10" s="102" t="s">
        <v>333</v>
      </c>
      <c r="W10" s="30">
        <v>0.08</v>
      </c>
      <c r="X10" s="23">
        <f t="shared" si="11"/>
        <v>8.0000000000000007E-5</v>
      </c>
      <c r="Y10" s="102">
        <v>1.5</v>
      </c>
      <c r="Z10" s="168">
        <f t="shared" si="12"/>
        <v>3.8099999999999995E-2</v>
      </c>
      <c r="AA10" s="173">
        <f t="shared" si="13"/>
        <v>1.1400918279693697E-3</v>
      </c>
      <c r="AB10" s="30">
        <f>VLOOKUP(V10,'Dotación tub. actual'!$N$5:$T$20,2,FALSE)</f>
        <v>30.4</v>
      </c>
      <c r="AC10" s="170">
        <f t="shared" si="14"/>
        <v>7.0169786360532824E-2</v>
      </c>
      <c r="AD10" s="102">
        <v>1.207E-6</v>
      </c>
      <c r="AE10" s="170">
        <f t="shared" si="15"/>
        <v>2214.9700582736536</v>
      </c>
      <c r="AF10" s="102">
        <v>1.5E-6</v>
      </c>
      <c r="AG10" s="135">
        <v>2.4</v>
      </c>
      <c r="AH10" s="178"/>
      <c r="AI10" s="309"/>
      <c r="AJ10" s="102" t="s">
        <v>334</v>
      </c>
      <c r="AK10" s="102" t="s">
        <v>111</v>
      </c>
      <c r="AL10" s="23">
        <f>VLOOKUP(AJ10,$V$5:$AG$11,3,FALSE)</f>
        <v>4.0000000000000003E-5</v>
      </c>
      <c r="AM10" s="23"/>
      <c r="AN10" s="23">
        <f t="shared" si="1"/>
        <v>-4.0000000000000003E-5</v>
      </c>
      <c r="AO10" s="173">
        <f t="shared" si="2"/>
        <v>3.5084893180266412E-2</v>
      </c>
      <c r="AP10" s="170">
        <f t="shared" si="7"/>
        <v>1107.4850291368268</v>
      </c>
      <c r="AQ10" s="179"/>
      <c r="AR10" s="179">
        <f t="shared" si="19"/>
        <v>5.7788591553135094E-2</v>
      </c>
      <c r="AS10" s="170">
        <f t="shared" si="4"/>
        <v>66.599999999999994</v>
      </c>
      <c r="AT10" s="176">
        <f t="shared" si="5"/>
        <v>5.4</v>
      </c>
      <c r="AU10" s="173">
        <f t="shared" si="8"/>
        <v>-6.6765080936574796E-3</v>
      </c>
      <c r="AV10" s="285"/>
      <c r="AW10" s="173">
        <f t="shared" si="6"/>
        <v>166.91270234143698</v>
      </c>
      <c r="AX10" s="285"/>
      <c r="AY10" s="312"/>
      <c r="BA10" s="102" t="s">
        <v>333</v>
      </c>
      <c r="BB10" s="184">
        <f t="shared" si="9"/>
        <v>0.08</v>
      </c>
      <c r="BC10" s="170">
        <f t="shared" ca="1" si="16"/>
        <v>9.0326368983115288E-2</v>
      </c>
      <c r="BD10" s="193">
        <f ca="1">AN77</f>
        <v>-9.0326368983115291E-5</v>
      </c>
      <c r="BE10" s="193">
        <f t="shared" ca="1" si="17"/>
        <v>9.0326368983115291E-5</v>
      </c>
      <c r="BF10" s="184">
        <f t="shared" ca="1" si="10"/>
        <v>2.3707708394518452E-3</v>
      </c>
    </row>
    <row r="11" spans="2:58" x14ac:dyDescent="0.3">
      <c r="B11" s="166" t="s">
        <v>43</v>
      </c>
      <c r="C11" s="68">
        <v>0.2</v>
      </c>
      <c r="D11" s="102"/>
      <c r="E11" s="176" t="str">
        <f t="shared" si="0"/>
        <v/>
      </c>
      <c r="G11" s="229" t="s">
        <v>110</v>
      </c>
      <c r="H11" s="229"/>
      <c r="I11" s="7">
        <f>VLOOKUP(H2,'Energia actual'!$B$4:$U$11,14,FALSE)</f>
        <v>7.45</v>
      </c>
      <c r="K11" s="298"/>
      <c r="L11" s="229"/>
      <c r="M11" s="229"/>
      <c r="N11" s="229"/>
      <c r="O11" s="229"/>
      <c r="P11" s="229"/>
      <c r="Q11" s="299"/>
      <c r="S11" s="102" t="s">
        <v>18</v>
      </c>
      <c r="T11" s="170">
        <f>VLOOKUP(S11,'Dotación tub. actual'!$B$5:$M$18,5,FALSE)</f>
        <v>4.8611111111111112E-2</v>
      </c>
      <c r="V11" s="102" t="s">
        <v>334</v>
      </c>
      <c r="W11" s="30">
        <v>0.04</v>
      </c>
      <c r="X11" s="23">
        <f t="shared" si="11"/>
        <v>4.0000000000000003E-5</v>
      </c>
      <c r="Y11" s="102">
        <v>1.5</v>
      </c>
      <c r="Z11" s="168">
        <f t="shared" si="12"/>
        <v>3.8099999999999995E-2</v>
      </c>
      <c r="AA11" s="173">
        <f t="shared" si="13"/>
        <v>1.1400918279693697E-3</v>
      </c>
      <c r="AB11" s="30">
        <f>VLOOKUP(V11,'Dotación tub. actual'!$N$5:$T$20,2,FALSE)</f>
        <v>66.599999999999994</v>
      </c>
      <c r="AC11" s="170">
        <f t="shared" si="14"/>
        <v>3.5084893180266412E-2</v>
      </c>
      <c r="AD11" s="102">
        <v>1.207E-6</v>
      </c>
      <c r="AE11" s="170">
        <f t="shared" si="15"/>
        <v>1107.4850291368268</v>
      </c>
      <c r="AF11" s="102">
        <v>1.5E-6</v>
      </c>
      <c r="AG11" s="135">
        <v>5.4</v>
      </c>
      <c r="AH11" s="178"/>
      <c r="AI11" s="310"/>
      <c r="AJ11" s="102" t="s">
        <v>333</v>
      </c>
      <c r="AK11" s="102" t="s">
        <v>111</v>
      </c>
      <c r="AL11" s="23">
        <f>VLOOKUP(AJ11,$V$5:$AG$11,3,FALSE)</f>
        <v>8.0000000000000007E-5</v>
      </c>
      <c r="AM11" s="23"/>
      <c r="AN11" s="23">
        <f t="shared" si="1"/>
        <v>-8.0000000000000007E-5</v>
      </c>
      <c r="AO11" s="173">
        <f t="shared" si="2"/>
        <v>7.0169786360532824E-2</v>
      </c>
      <c r="AP11" s="170">
        <f t="shared" si="7"/>
        <v>2214.9700582736536</v>
      </c>
      <c r="AQ11" s="179">
        <f ca="1">-2*LOG10(($AF$5/(3.7*$Z$5))+((2.51/AP11)*AQ11))</f>
        <v>4.5698092274063251</v>
      </c>
      <c r="AR11" s="179">
        <f t="shared" ca="1" si="18"/>
        <v>4.7885481583737045E-2</v>
      </c>
      <c r="AS11" s="170">
        <f t="shared" si="4"/>
        <v>30.4</v>
      </c>
      <c r="AT11" s="176">
        <f t="shared" si="5"/>
        <v>2.4</v>
      </c>
      <c r="AU11" s="173">
        <f t="shared" ca="1" si="8"/>
        <v>-1.01908680121013E-2</v>
      </c>
      <c r="AV11" s="286"/>
      <c r="AW11" s="173">
        <f t="shared" ca="1" si="6"/>
        <v>127.38585015126624</v>
      </c>
      <c r="AX11" s="286"/>
      <c r="AY11" s="313"/>
      <c r="BA11" s="102" t="s">
        <v>334</v>
      </c>
      <c r="BB11" s="184">
        <f t="shared" si="9"/>
        <v>0.04</v>
      </c>
      <c r="BC11" s="170">
        <f t="shared" ca="1" si="16"/>
        <v>5.0326368983115266E-2</v>
      </c>
      <c r="BD11" s="193">
        <f ca="1">AN76</f>
        <v>-5.0326368983115274E-5</v>
      </c>
      <c r="BE11" s="193">
        <f t="shared" ca="1" si="17"/>
        <v>5.0326368983115274E-5</v>
      </c>
      <c r="BF11" s="184">
        <f t="shared" ca="1" si="10"/>
        <v>1.3209020730476451E-3</v>
      </c>
    </row>
    <row r="12" spans="2:58" x14ac:dyDescent="0.3">
      <c r="B12" s="166" t="s">
        <v>345</v>
      </c>
      <c r="C12" s="68">
        <v>0.05</v>
      </c>
      <c r="D12" s="102"/>
      <c r="E12" s="176" t="str">
        <f t="shared" si="0"/>
        <v/>
      </c>
      <c r="G12" s="229" t="s">
        <v>17</v>
      </c>
      <c r="H12" s="229"/>
      <c r="I12" s="173">
        <f>I3-I4</f>
        <v>11.777300000000025</v>
      </c>
      <c r="K12" s="298"/>
      <c r="L12" s="229"/>
      <c r="M12" s="229"/>
      <c r="N12" s="229"/>
      <c r="O12" s="229"/>
      <c r="P12" s="229"/>
      <c r="Q12" s="299"/>
      <c r="S12" s="102" t="s">
        <v>312</v>
      </c>
      <c r="T12" s="170">
        <f>VLOOKUP(S12,'Dotación tub. actual'!$B$5:$M$18,5,FALSE)</f>
        <v>3.0092592592592591E-2</v>
      </c>
      <c r="AH12" s="178"/>
      <c r="AI12" s="181"/>
      <c r="AJ12" s="41"/>
      <c r="AK12" s="41"/>
      <c r="AL12" s="27"/>
      <c r="AM12" s="27"/>
      <c r="AN12" s="27"/>
      <c r="AO12" s="26"/>
      <c r="AP12" s="18"/>
      <c r="AQ12" s="181"/>
      <c r="AR12" s="181"/>
      <c r="AS12" s="18"/>
      <c r="AT12" s="18"/>
      <c r="AU12" s="26"/>
      <c r="AV12" s="26"/>
      <c r="AW12" s="26"/>
      <c r="AX12" s="26"/>
      <c r="AY12" s="27"/>
      <c r="BE12" s="76"/>
    </row>
    <row r="13" spans="2:58" x14ac:dyDescent="0.3">
      <c r="B13" s="166" t="s">
        <v>44</v>
      </c>
      <c r="C13" s="68">
        <v>10</v>
      </c>
      <c r="D13" s="102"/>
      <c r="E13" s="176" t="str">
        <f>IF(D13="","",C13*D13)</f>
        <v/>
      </c>
      <c r="G13" s="229" t="s">
        <v>425</v>
      </c>
      <c r="H13" s="168" t="s">
        <v>226</v>
      </c>
      <c r="I13" s="173">
        <f>VLOOKUP(H2,'Energia actual'!$B$4:$U$11,8,FALSE)</f>
        <v>5.5370370370370374E-3</v>
      </c>
      <c r="K13" s="298"/>
      <c r="L13" s="229"/>
      <c r="M13" s="229"/>
      <c r="N13" s="229"/>
      <c r="O13" s="229"/>
      <c r="P13" s="229"/>
      <c r="Q13" s="299"/>
      <c r="S13" s="102" t="s">
        <v>29</v>
      </c>
      <c r="T13" s="170">
        <f>VLOOKUP(S13,'Dotación tub. actual'!$B$5:$M$18,5,FALSE)</f>
        <v>3.4722222222222224E-2</v>
      </c>
      <c r="AH13" s="178"/>
      <c r="AI13" s="204" t="s">
        <v>417</v>
      </c>
      <c r="AJ13" s="204"/>
      <c r="AK13" s="204"/>
      <c r="AL13" s="204"/>
      <c r="AM13" s="204"/>
      <c r="AN13" s="204"/>
      <c r="AO13" s="204"/>
      <c r="AP13" s="204"/>
      <c r="AQ13" s="204"/>
      <c r="AR13" s="204"/>
      <c r="AS13" s="204"/>
      <c r="AT13" s="204"/>
      <c r="AU13" s="204"/>
      <c r="AV13" s="204"/>
      <c r="AW13" s="204"/>
      <c r="AX13" s="204"/>
      <c r="AY13" s="204"/>
      <c r="BE13" s="76"/>
    </row>
    <row r="14" spans="2:58" x14ac:dyDescent="0.3">
      <c r="B14" s="166" t="s">
        <v>45</v>
      </c>
      <c r="C14" s="68">
        <v>5</v>
      </c>
      <c r="D14" s="102"/>
      <c r="E14" s="176" t="str">
        <f t="shared" si="0"/>
        <v/>
      </c>
      <c r="G14" s="229"/>
      <c r="H14" s="168" t="s">
        <v>249</v>
      </c>
      <c r="I14" s="173">
        <f>I13*1000</f>
        <v>5.5370370370370372</v>
      </c>
      <c r="K14" s="298"/>
      <c r="L14" s="229"/>
      <c r="M14" s="229"/>
      <c r="N14" s="229"/>
      <c r="O14" s="229"/>
      <c r="P14" s="229"/>
      <c r="Q14" s="299"/>
      <c r="S14" s="102" t="s">
        <v>269</v>
      </c>
      <c r="T14" s="170">
        <f>VLOOKUP(S14,'Dotación tub. actual'!$B$5:$M$18,5,FALSE)</f>
        <v>2.7777777777777776E-2</v>
      </c>
      <c r="AH14" s="178"/>
      <c r="AI14" s="19"/>
      <c r="AJ14" s="19"/>
      <c r="AK14" s="168" t="s">
        <v>368</v>
      </c>
      <c r="AL14" s="293" t="s">
        <v>364</v>
      </c>
      <c r="AM14" s="294"/>
      <c r="AN14" s="294"/>
      <c r="AO14" s="168" t="s">
        <v>103</v>
      </c>
      <c r="AP14" s="168" t="s">
        <v>365</v>
      </c>
      <c r="AQ14" s="229" t="s">
        <v>366</v>
      </c>
      <c r="AR14" s="229"/>
      <c r="AS14" s="168" t="s">
        <v>409</v>
      </c>
      <c r="AT14" s="168" t="s">
        <v>110</v>
      </c>
      <c r="AU14" s="168" t="s">
        <v>410</v>
      </c>
      <c r="AV14" s="168" t="s">
        <v>411</v>
      </c>
      <c r="AW14" s="168" t="s">
        <v>414</v>
      </c>
      <c r="AX14" s="168" t="s">
        <v>415</v>
      </c>
      <c r="AY14" s="168" t="s">
        <v>119</v>
      </c>
      <c r="BE14" s="76"/>
    </row>
    <row r="15" spans="2:58" x14ac:dyDescent="0.3">
      <c r="B15" s="166" t="s">
        <v>46</v>
      </c>
      <c r="C15" s="68">
        <v>0.3</v>
      </c>
      <c r="D15" s="102"/>
      <c r="E15" s="176" t="str">
        <f t="shared" si="0"/>
        <v/>
      </c>
      <c r="G15" s="229" t="s">
        <v>432</v>
      </c>
      <c r="H15" s="229"/>
      <c r="I15" s="173">
        <f>I13/I7</f>
        <v>1.2141647061226455</v>
      </c>
      <c r="K15" s="298"/>
      <c r="L15" s="229"/>
      <c r="M15" s="229"/>
      <c r="N15" s="229"/>
      <c r="O15" s="229"/>
      <c r="P15" s="229"/>
      <c r="Q15" s="299"/>
      <c r="S15" s="102" t="s">
        <v>322</v>
      </c>
      <c r="T15" s="170">
        <f>VLOOKUP(S15,'Dotación tub. actual'!$B$5:$M$18,5,FALSE)</f>
        <v>0</v>
      </c>
      <c r="AH15" s="178"/>
      <c r="AI15" s="229" t="s">
        <v>404</v>
      </c>
      <c r="AJ15" s="102" t="s">
        <v>329</v>
      </c>
      <c r="AK15" s="102" t="s">
        <v>408</v>
      </c>
      <c r="AL15" s="23">
        <f ca="1">AN4+AY4</f>
        <v>7.0633481551116189E-5</v>
      </c>
      <c r="AM15" s="23"/>
      <c r="AN15" s="23">
        <f t="shared" ref="AN15:AN22" ca="1" si="20">IF(AM15="SI",(IF(AK15="-",IF(SIGN(AL15)=-1,AL15,-1*AL15),AL15))*-1,(IF(AK15="-",IF(SIGN(AL15)=-1,AL15,-1*AL15),AL15)))</f>
        <v>7.0633481551116189E-5</v>
      </c>
      <c r="AO15" s="173">
        <f t="shared" ref="AO15:AO22" ca="1" si="21">ABS(AN15/$AA$5)</f>
        <v>6.1954203879280738E-2</v>
      </c>
      <c r="AP15" s="170">
        <f ca="1">(AO15*$Z$5)/$AD$5</f>
        <v>1955.6380843418358</v>
      </c>
      <c r="AQ15" s="179"/>
      <c r="AR15" s="179">
        <f ca="1">64/AP15</f>
        <v>3.2725891621986393E-2</v>
      </c>
      <c r="AS15" s="170">
        <f t="shared" ref="AS15:AS22" si="22">VLOOKUP(AJ15,$V$5:$AG$11,7,FALSE)</f>
        <v>67.8</v>
      </c>
      <c r="AT15" s="176">
        <f t="shared" ref="AT15:AT22" si="23">VLOOKUP(AJ15,$V$5:$AG$11,12,FALSE)</f>
        <v>6.3</v>
      </c>
      <c r="AU15" s="173">
        <f ca="1">IF(SIGN(AN15)=-1,-1*(((AN15^2)/(2*9.81*($AA$5^2)))*((AT15)+(AR15*(AS15/$Z$5)))),1*(((AN15^2)/(2*9.81*($AA$5^2)))*((AS15)+(AR15*(AS15/$Z$5)))))</f>
        <v>2.4656948432104583E-2</v>
      </c>
      <c r="AV15" s="266">
        <f ca="1">SUM(AU15:AU18)</f>
        <v>-1.6520722899897259E-3</v>
      </c>
      <c r="AW15" s="173">
        <f t="shared" ref="AW15:AW22" ca="1" si="24">AU15/AN15</f>
        <v>349.08301120992866</v>
      </c>
      <c r="AX15" s="266">
        <f ca="1">SUM(AW15:AW18)</f>
        <v>620.96133522539435</v>
      </c>
      <c r="AY15" s="307">
        <f ca="1">-(AV15/(2*AX15))</f>
        <v>1.3302537503321866E-6</v>
      </c>
      <c r="BE15" s="76"/>
    </row>
    <row r="16" spans="2:58" x14ac:dyDescent="0.3">
      <c r="B16" s="166" t="s">
        <v>47</v>
      </c>
      <c r="C16" s="68">
        <v>1.8</v>
      </c>
      <c r="D16" s="102"/>
      <c r="E16" s="176" t="str">
        <f t="shared" si="0"/>
        <v/>
      </c>
      <c r="G16" s="26"/>
      <c r="H16" s="26"/>
      <c r="I16" s="26"/>
      <c r="K16" s="298"/>
      <c r="L16" s="229"/>
      <c r="M16" s="229"/>
      <c r="N16" s="229"/>
      <c r="O16" s="229"/>
      <c r="P16" s="229"/>
      <c r="Q16" s="299"/>
      <c r="S16" s="102" t="s">
        <v>339</v>
      </c>
      <c r="T16" s="170">
        <f>VLOOKUP(S16,'Dotación tub. actual'!$B$5:$M$18,5,FALSE)</f>
        <v>0</v>
      </c>
      <c r="AH16" s="178"/>
      <c r="AI16" s="229"/>
      <c r="AJ16" s="102" t="s">
        <v>331</v>
      </c>
      <c r="AK16" s="102" t="s">
        <v>408</v>
      </c>
      <c r="AL16" s="23">
        <f ca="1">AN5+AY4</f>
        <v>3.0633481551116192E-5</v>
      </c>
      <c r="AM16" s="23"/>
      <c r="AN16" s="23">
        <f t="shared" ca="1" si="20"/>
        <v>3.0633481551116192E-5</v>
      </c>
      <c r="AO16" s="173">
        <f t="shared" ca="1" si="21"/>
        <v>2.6869310699014333E-2</v>
      </c>
      <c r="AP16" s="170">
        <f t="shared" ref="AP16:AP22" ca="1" si="25">(AO16*$Z$5)/$AD$5</f>
        <v>848.15305520500897</v>
      </c>
      <c r="AQ16" s="179"/>
      <c r="AR16" s="179">
        <f ca="1">64/AP16</f>
        <v>7.5458078712609733E-2</v>
      </c>
      <c r="AS16" s="170">
        <f t="shared" si="22"/>
        <v>5.21</v>
      </c>
      <c r="AT16" s="176">
        <f t="shared" si="23"/>
        <v>2.1</v>
      </c>
      <c r="AU16" s="173">
        <f t="shared" ref="AU16:AU22" ca="1" si="26">IF(SIGN(AN16)=-1,-1*(((AN16^2)/(2*9.81*($AA$5^2)))*((AT16)+(AR16*(AS16/$Z$5)))),1*(((AN16^2)/(2*9.81*($AA$5^2)))*((AS16)+(AR16*(AS16/$Z$5)))))</f>
        <v>5.7140604584154941E-4</v>
      </c>
      <c r="AV16" s="229"/>
      <c r="AW16" s="173">
        <f t="shared" ca="1" si="24"/>
        <v>18.652990679106441</v>
      </c>
      <c r="AX16" s="229"/>
      <c r="AY16" s="307"/>
    </row>
    <row r="17" spans="2:51" x14ac:dyDescent="0.3">
      <c r="B17" s="166" t="s">
        <v>48</v>
      </c>
      <c r="C17" s="68">
        <v>1.8</v>
      </c>
      <c r="D17" s="102"/>
      <c r="E17" s="176" t="str">
        <f t="shared" si="0"/>
        <v/>
      </c>
      <c r="G17" s="168" t="s">
        <v>118</v>
      </c>
      <c r="H17" s="303" t="s">
        <v>346</v>
      </c>
      <c r="I17" s="303"/>
      <c r="K17" s="298"/>
      <c r="L17" s="229"/>
      <c r="M17" s="229"/>
      <c r="N17" s="229"/>
      <c r="O17" s="229"/>
      <c r="P17" s="229"/>
      <c r="Q17" s="299"/>
      <c r="S17" s="102" t="s">
        <v>341</v>
      </c>
      <c r="T17" s="170">
        <f>VLOOKUP(S17,'Dotación tub. actual'!$B$5:$M$18,5,FALSE)</f>
        <v>5</v>
      </c>
      <c r="AH17" s="178"/>
      <c r="AI17" s="229"/>
      <c r="AJ17" s="102" t="s">
        <v>356</v>
      </c>
      <c r="AK17" s="102" t="s">
        <v>111</v>
      </c>
      <c r="AL17" s="23">
        <f ca="1">AN8+AY8</f>
        <v>6.1746544278934857E-5</v>
      </c>
      <c r="AM17" s="23"/>
      <c r="AN17" s="23">
        <f t="shared" ca="1" si="20"/>
        <v>-6.1746544278934857E-5</v>
      </c>
      <c r="AO17" s="173">
        <f t="shared" ca="1" si="21"/>
        <v>5.4159272756925482E-2</v>
      </c>
      <c r="AP17" s="170">
        <f t="shared" ca="1" si="25"/>
        <v>1709.5843347463633</v>
      </c>
      <c r="AQ17" s="179"/>
      <c r="AR17" s="179">
        <f ca="1">64/AP17</f>
        <v>3.7436000493941787E-2</v>
      </c>
      <c r="AS17" s="170">
        <f t="shared" si="22"/>
        <v>66.599999999999994</v>
      </c>
      <c r="AT17" s="176">
        <f t="shared" si="23"/>
        <v>5.4</v>
      </c>
      <c r="AU17" s="173">
        <f t="shared" ca="1" si="26"/>
        <v>-1.0590609499648103E-2</v>
      </c>
      <c r="AV17" s="229"/>
      <c r="AW17" s="173">
        <f t="shared" ca="1" si="24"/>
        <v>171.51744479506269</v>
      </c>
      <c r="AX17" s="229"/>
      <c r="AY17" s="307"/>
    </row>
    <row r="18" spans="2:51" x14ac:dyDescent="0.3">
      <c r="B18" s="166" t="s">
        <v>49</v>
      </c>
      <c r="C18" s="68">
        <v>3</v>
      </c>
      <c r="D18" s="102"/>
      <c r="E18" s="176" t="str">
        <f t="shared" si="0"/>
        <v/>
      </c>
      <c r="G18" s="229" t="s">
        <v>430</v>
      </c>
      <c r="H18" s="229"/>
      <c r="I18" s="174">
        <f>VLOOKUP(H17,'Energia actual'!$B$4:$U$11,3,FALSE)</f>
        <v>424.0727</v>
      </c>
      <c r="K18" s="298"/>
      <c r="L18" s="229"/>
      <c r="M18" s="229"/>
      <c r="N18" s="229"/>
      <c r="O18" s="229"/>
      <c r="P18" s="229"/>
      <c r="Q18" s="299"/>
      <c r="S18" s="168" t="s">
        <v>362</v>
      </c>
      <c r="T18" s="170">
        <f>SUM(T4:T17)</f>
        <v>5.5370370370370372</v>
      </c>
      <c r="AH18" s="178"/>
      <c r="AI18" s="229"/>
      <c r="AJ18" s="102" t="s">
        <v>330</v>
      </c>
      <c r="AK18" s="102" t="s">
        <v>111</v>
      </c>
      <c r="AL18" s="23">
        <f ca="1">AN7+AY4</f>
        <v>-1.9936651844888381E-4</v>
      </c>
      <c r="AM18" s="23"/>
      <c r="AN18" s="23">
        <f t="shared" ca="1" si="20"/>
        <v>-1.9936651844888381E-4</v>
      </c>
      <c r="AO18" s="173">
        <f t="shared" ca="1" si="21"/>
        <v>0.1748688250875175</v>
      </c>
      <c r="AP18" s="170">
        <f t="shared" ca="1" si="25"/>
        <v>5519.8858623317446</v>
      </c>
      <c r="AQ18" s="179">
        <f ca="1">-2*LOG10(($AF$5/(3.7*$Z$5))+((2.51/AP18)*AQ18))</f>
        <v>5.2416995355739697</v>
      </c>
      <c r="AR18" s="179">
        <f t="shared" ref="AR18:AR22" ca="1" si="27">(1/AQ18)^2</f>
        <v>3.6396175840228556E-2</v>
      </c>
      <c r="AS18" s="170">
        <f t="shared" si="22"/>
        <v>5.7069999999999999</v>
      </c>
      <c r="AT18" s="176">
        <f t="shared" si="23"/>
        <v>5</v>
      </c>
      <c r="AU18" s="173">
        <f t="shared" ca="1" si="26"/>
        <v>-1.6289817268287755E-2</v>
      </c>
      <c r="AV18" s="229"/>
      <c r="AW18" s="173">
        <f t="shared" ca="1" si="24"/>
        <v>81.707888541296612</v>
      </c>
      <c r="AX18" s="229"/>
      <c r="AY18" s="307"/>
    </row>
    <row r="19" spans="2:51" x14ac:dyDescent="0.3">
      <c r="B19" s="166" t="s">
        <v>50</v>
      </c>
      <c r="C19" s="68">
        <v>2.5</v>
      </c>
      <c r="D19" s="102"/>
      <c r="E19" s="176" t="str">
        <f t="shared" si="0"/>
        <v/>
      </c>
      <c r="G19" s="229" t="s">
        <v>431</v>
      </c>
      <c r="H19" s="229"/>
      <c r="I19" s="173">
        <f>VLOOKUP(H17,'Energia actual'!$B$4:$U$11,5,FALSE)</f>
        <v>423.84</v>
      </c>
      <c r="K19" s="298"/>
      <c r="L19" s="229"/>
      <c r="M19" s="229"/>
      <c r="N19" s="229"/>
      <c r="O19" s="229"/>
      <c r="P19" s="229"/>
      <c r="Q19" s="299"/>
      <c r="AH19" s="178"/>
      <c r="AI19" s="308" t="s">
        <v>405</v>
      </c>
      <c r="AJ19" s="102" t="s">
        <v>356</v>
      </c>
      <c r="AK19" s="102" t="s">
        <v>408</v>
      </c>
      <c r="AL19" s="182">
        <f ca="1">AN17+AY15</f>
        <v>-6.0416290528602673E-5</v>
      </c>
      <c r="AM19" s="182" t="s">
        <v>423</v>
      </c>
      <c r="AN19" s="182">
        <f t="shared" ca="1" si="20"/>
        <v>6.0416290528602673E-5</v>
      </c>
      <c r="AO19" s="173">
        <f t="shared" ca="1" si="21"/>
        <v>5.2992477488599143E-2</v>
      </c>
      <c r="AP19" s="170">
        <f t="shared" ca="1" si="25"/>
        <v>1672.7534319102128</v>
      </c>
      <c r="AQ19" s="179"/>
      <c r="AR19" s="179">
        <f ca="1">64/AP19</f>
        <v>3.8260271226533811E-2</v>
      </c>
      <c r="AS19" s="170">
        <f t="shared" si="22"/>
        <v>66.599999999999994</v>
      </c>
      <c r="AT19" s="176">
        <f t="shared" si="23"/>
        <v>5.4</v>
      </c>
      <c r="AU19" s="173">
        <f t="shared" ca="1" si="26"/>
        <v>1.9104961232061859E-2</v>
      </c>
      <c r="AV19" s="258">
        <f ca="1">SUM(AU19:AU22)</f>
        <v>2.7736175308426311E-3</v>
      </c>
      <c r="AW19" s="173">
        <f t="shared" ca="1" si="24"/>
        <v>316.22201669294913</v>
      </c>
      <c r="AX19" s="258">
        <f ca="1">SUM(AW19:AW22)</f>
        <v>731.45726658775675</v>
      </c>
      <c r="AY19" s="311">
        <f ca="1">-(AV19/(2*AX19))</f>
        <v>-1.8959532275764641E-6</v>
      </c>
    </row>
    <row r="20" spans="2:51" x14ac:dyDescent="0.3">
      <c r="B20" s="166" t="s">
        <v>51</v>
      </c>
      <c r="C20" s="68">
        <v>0.35</v>
      </c>
      <c r="D20" s="102"/>
      <c r="E20" s="176" t="str">
        <f t="shared" si="0"/>
        <v/>
      </c>
      <c r="G20" s="229" t="s">
        <v>63</v>
      </c>
      <c r="H20" s="168" t="s">
        <v>57</v>
      </c>
      <c r="I20" s="7">
        <f>VLOOKUP(H17,'Energia actual'!$B$4:$U$11,9,FALSE)</f>
        <v>3</v>
      </c>
      <c r="K20" s="298"/>
      <c r="L20" s="229"/>
      <c r="M20" s="229"/>
      <c r="N20" s="229"/>
      <c r="O20" s="229"/>
      <c r="P20" s="229"/>
      <c r="Q20" s="299"/>
      <c r="AI20" s="309"/>
      <c r="AJ20" s="102" t="s">
        <v>332</v>
      </c>
      <c r="AK20" s="102" t="s">
        <v>408</v>
      </c>
      <c r="AL20" s="23">
        <f ca="1">AN9+AY8</f>
        <v>3.2380025830051055E-5</v>
      </c>
      <c r="AM20" s="23"/>
      <c r="AN20" s="23">
        <f t="shared" ca="1" si="20"/>
        <v>3.2380025830051055E-5</v>
      </c>
      <c r="AO20" s="173">
        <f t="shared" ca="1" si="21"/>
        <v>2.8401243685540208E-2</v>
      </c>
      <c r="AP20" s="170">
        <f t="shared" ca="1" si="25"/>
        <v>896.50984624613227</v>
      </c>
      <c r="AQ20" s="179"/>
      <c r="AR20" s="179">
        <f t="shared" ref="AR20:AR21" ca="1" si="28">64/AP20</f>
        <v>7.1387949912631657E-2</v>
      </c>
      <c r="AS20" s="170">
        <f t="shared" si="22"/>
        <v>30.4</v>
      </c>
      <c r="AT20" s="176">
        <f t="shared" si="23"/>
        <v>3.6</v>
      </c>
      <c r="AU20" s="173">
        <f t="shared" ca="1" si="26"/>
        <v>3.591622182300365E-3</v>
      </c>
      <c r="AV20" s="285"/>
      <c r="AW20" s="173">
        <f t="shared" ca="1" si="24"/>
        <v>110.9209177642803</v>
      </c>
      <c r="AX20" s="285"/>
      <c r="AY20" s="312"/>
    </row>
    <row r="21" spans="2:51" x14ac:dyDescent="0.3">
      <c r="B21" s="166" t="s">
        <v>52</v>
      </c>
      <c r="C21" s="68">
        <v>0.3</v>
      </c>
      <c r="D21" s="102"/>
      <c r="E21" s="176" t="str">
        <f t="shared" si="0"/>
        <v/>
      </c>
      <c r="G21" s="229"/>
      <c r="H21" s="168" t="s">
        <v>106</v>
      </c>
      <c r="I21" s="173">
        <f>I20*0.0254</f>
        <v>7.619999999999999E-2</v>
      </c>
      <c r="K21" s="298"/>
      <c r="L21" s="229"/>
      <c r="M21" s="229"/>
      <c r="N21" s="229"/>
      <c r="O21" s="229"/>
      <c r="P21" s="229"/>
      <c r="Q21" s="299"/>
      <c r="AI21" s="309"/>
      <c r="AJ21" s="102" t="s">
        <v>334</v>
      </c>
      <c r="AK21" s="102" t="s">
        <v>111</v>
      </c>
      <c r="AL21" s="23">
        <f ca="1">AN10+AY8</f>
        <v>-4.7619974169948952E-5</v>
      </c>
      <c r="AM21" s="23"/>
      <c r="AN21" s="23">
        <f t="shared" ca="1" si="20"/>
        <v>-4.7619974169948952E-5</v>
      </c>
      <c r="AO21" s="173">
        <f t="shared" ca="1" si="21"/>
        <v>4.1768542674992609E-2</v>
      </c>
      <c r="AP21" s="170">
        <f t="shared" ca="1" si="25"/>
        <v>1318.4602120275213</v>
      </c>
      <c r="AQ21" s="179"/>
      <c r="AR21" s="179">
        <f t="shared" ca="1" si="28"/>
        <v>4.854147240558828E-2</v>
      </c>
      <c r="AS21" s="170">
        <f t="shared" si="22"/>
        <v>66.599999999999994</v>
      </c>
      <c r="AT21" s="176">
        <f t="shared" si="23"/>
        <v>5.4</v>
      </c>
      <c r="AU21" s="173">
        <f t="shared" ca="1" si="26"/>
        <v>-8.0252133353682191E-3</v>
      </c>
      <c r="AV21" s="285"/>
      <c r="AW21" s="173">
        <f t="shared" ca="1" si="24"/>
        <v>168.52620093256178</v>
      </c>
      <c r="AX21" s="285"/>
      <c r="AY21" s="312"/>
    </row>
    <row r="22" spans="2:51" x14ac:dyDescent="0.3">
      <c r="B22" s="166" t="s">
        <v>37</v>
      </c>
      <c r="C22" s="68">
        <v>1</v>
      </c>
      <c r="D22" s="102"/>
      <c r="E22" s="176" t="str">
        <f t="shared" si="0"/>
        <v/>
      </c>
      <c r="G22" s="229" t="s">
        <v>391</v>
      </c>
      <c r="H22" s="229"/>
      <c r="I22" s="183">
        <f>PI()*((I21^2)/4)</f>
        <v>4.5603673118774788E-3</v>
      </c>
      <c r="K22" s="298"/>
      <c r="L22" s="229"/>
      <c r="M22" s="229"/>
      <c r="N22" s="229"/>
      <c r="O22" s="229"/>
      <c r="P22" s="229"/>
      <c r="Q22" s="299"/>
      <c r="AI22" s="310"/>
      <c r="AJ22" s="102" t="s">
        <v>333</v>
      </c>
      <c r="AK22" s="102" t="s">
        <v>111</v>
      </c>
      <c r="AL22" s="23">
        <f ca="1">AN11+AY8</f>
        <v>-8.7619974169948962E-5</v>
      </c>
      <c r="AM22" s="23"/>
      <c r="AN22" s="23">
        <f t="shared" ca="1" si="20"/>
        <v>-8.7619974169948962E-5</v>
      </c>
      <c r="AO22" s="173">
        <f t="shared" ca="1" si="21"/>
        <v>7.6853435855259028E-2</v>
      </c>
      <c r="AP22" s="170">
        <f t="shared" ca="1" si="25"/>
        <v>2425.9452411643483</v>
      </c>
      <c r="AQ22" s="179">
        <f ca="1">-2*LOG10(($AF$5/(3.7*$Z$5))+((2.51/AP22)*AQ22))</f>
        <v>4.6361710255004507</v>
      </c>
      <c r="AR22" s="179">
        <f t="shared" ca="1" si="27"/>
        <v>4.6524434509129152E-2</v>
      </c>
      <c r="AS22" s="170">
        <f t="shared" si="22"/>
        <v>30.4</v>
      </c>
      <c r="AT22" s="176">
        <f t="shared" si="23"/>
        <v>2.4</v>
      </c>
      <c r="AU22" s="173">
        <f t="shared" ca="1" si="26"/>
        <v>-1.1897752548151374E-2</v>
      </c>
      <c r="AV22" s="286"/>
      <c r="AW22" s="173">
        <f t="shared" ca="1" si="24"/>
        <v>135.78813119796547</v>
      </c>
      <c r="AX22" s="286"/>
      <c r="AY22" s="313"/>
    </row>
    <row r="23" spans="2:51" x14ac:dyDescent="0.3">
      <c r="B23" s="172" t="s">
        <v>15</v>
      </c>
      <c r="C23" s="129"/>
      <c r="D23" s="19"/>
      <c r="E23" s="176">
        <f>SUM(E3:E22)</f>
        <v>2.5</v>
      </c>
      <c r="G23" s="229" t="s">
        <v>337</v>
      </c>
      <c r="H23" s="229"/>
      <c r="I23" s="168">
        <f>VLOOKUP(H17,'Energia actual'!$B$4:$U$11,13,FALSE)</f>
        <v>7.5</v>
      </c>
      <c r="K23" s="298"/>
      <c r="L23" s="229"/>
      <c r="M23" s="229"/>
      <c r="N23" s="229"/>
      <c r="O23" s="229"/>
      <c r="P23" s="229"/>
      <c r="Q23" s="299"/>
    </row>
    <row r="24" spans="2:51" x14ac:dyDescent="0.3">
      <c r="G24" s="229" t="s">
        <v>120</v>
      </c>
      <c r="H24" s="229"/>
      <c r="I24" s="102">
        <v>1.5E-6</v>
      </c>
      <c r="K24" s="298"/>
      <c r="L24" s="229"/>
      <c r="M24" s="229"/>
      <c r="N24" s="229"/>
      <c r="O24" s="229"/>
      <c r="P24" s="229"/>
      <c r="Q24" s="299"/>
      <c r="AI24" s="204" t="s">
        <v>418</v>
      </c>
      <c r="AJ24" s="204"/>
      <c r="AK24" s="204"/>
      <c r="AL24" s="204"/>
      <c r="AM24" s="204"/>
      <c r="AN24" s="204"/>
      <c r="AO24" s="204"/>
      <c r="AP24" s="204"/>
      <c r="AQ24" s="204"/>
      <c r="AR24" s="204"/>
      <c r="AS24" s="204"/>
      <c r="AT24" s="204"/>
      <c r="AU24" s="204"/>
      <c r="AV24" s="204"/>
      <c r="AW24" s="204"/>
      <c r="AX24" s="204"/>
      <c r="AY24" s="204"/>
    </row>
    <row r="25" spans="2:51" x14ac:dyDescent="0.3">
      <c r="G25" s="229" t="s">
        <v>429</v>
      </c>
      <c r="H25" s="229"/>
      <c r="I25" s="186">
        <v>1.207E-6</v>
      </c>
      <c r="K25" s="298"/>
      <c r="L25" s="229"/>
      <c r="M25" s="229"/>
      <c r="N25" s="229"/>
      <c r="O25" s="229"/>
      <c r="P25" s="229"/>
      <c r="Q25" s="299"/>
      <c r="AI25" s="19"/>
      <c r="AJ25" s="19"/>
      <c r="AK25" s="168" t="s">
        <v>368</v>
      </c>
      <c r="AL25" s="293" t="s">
        <v>364</v>
      </c>
      <c r="AM25" s="294"/>
      <c r="AN25" s="294"/>
      <c r="AO25" s="168" t="s">
        <v>103</v>
      </c>
      <c r="AP25" s="168" t="s">
        <v>365</v>
      </c>
      <c r="AQ25" s="229" t="s">
        <v>366</v>
      </c>
      <c r="AR25" s="229"/>
      <c r="AS25" s="168" t="s">
        <v>409</v>
      </c>
      <c r="AT25" s="168" t="s">
        <v>110</v>
      </c>
      <c r="AU25" s="168" t="s">
        <v>410</v>
      </c>
      <c r="AV25" s="168" t="s">
        <v>411</v>
      </c>
      <c r="AW25" s="168" t="s">
        <v>414</v>
      </c>
      <c r="AX25" s="168" t="s">
        <v>415</v>
      </c>
      <c r="AY25" s="168" t="s">
        <v>119</v>
      </c>
    </row>
    <row r="26" spans="2:51" ht="15" thickBot="1" x14ac:dyDescent="0.35">
      <c r="G26" s="229" t="s">
        <v>110</v>
      </c>
      <c r="H26" s="229"/>
      <c r="I26" s="7">
        <f>VLOOKUP(H17,'Energia actual'!$B$4:$U$11,14,FALSE)</f>
        <v>1.2</v>
      </c>
      <c r="K26" s="300"/>
      <c r="L26" s="301"/>
      <c r="M26" s="301"/>
      <c r="N26" s="301"/>
      <c r="O26" s="301"/>
      <c r="P26" s="301"/>
      <c r="Q26" s="302"/>
      <c r="AI26" s="229" t="s">
        <v>404</v>
      </c>
      <c r="AJ26" s="102" t="s">
        <v>329</v>
      </c>
      <c r="AK26" s="102" t="s">
        <v>408</v>
      </c>
      <c r="AL26" s="23">
        <f ca="1">AN15+AY15</f>
        <v>7.196373530144838E-5</v>
      </c>
      <c r="AM26" s="23"/>
      <c r="AN26" s="23">
        <f t="shared" ref="AN26:AN33" ca="1" si="29">IF(AM26="SI",(IF(AK26="-",IF(SIGN(AL26)=-1,AL26,-1*AL26),AL26))*-1,(IF(AK26="-",IF(SIGN(AL26)=-1,AL26,-1*AL26),AL26)))</f>
        <v>7.196373530144838E-5</v>
      </c>
      <c r="AO26" s="173">
        <f t="shared" ref="AO26:AO33" ca="1" si="30">ABS(AN26/$AA$5)</f>
        <v>6.3120999147607076E-2</v>
      </c>
      <c r="AP26" s="170">
        <f ca="1">(AO26*$Z$5)/$AD$5</f>
        <v>1992.4689871779858</v>
      </c>
      <c r="AQ26" s="179"/>
      <c r="AR26" s="179">
        <f ca="1">64/AP26</f>
        <v>3.2120951649363329E-2</v>
      </c>
      <c r="AS26" s="170">
        <f t="shared" ref="AS26:AS33" si="31">VLOOKUP(AJ26,$V$5:$AG$11,7,FALSE)</f>
        <v>67.8</v>
      </c>
      <c r="AT26" s="176">
        <f t="shared" ref="AT26:AT33" si="32">VLOOKUP(AJ26,$V$5:$AG$11,12,FALSE)</f>
        <v>6.3</v>
      </c>
      <c r="AU26" s="173">
        <f ca="1">IF(SIGN(AN26)=-1,-1*(((AN26^2)/(2*9.81*($AA$5^2)))*((AT26)+(AR26*(AS26/$Z$5)))),1*(((AN26^2)/(2*9.81*($AA$5^2)))*((AS26)+(AR26*(AS26/$Z$5)))))</f>
        <v>2.5375824114024361E-2</v>
      </c>
      <c r="AV26" s="266">
        <f ca="1">SUM(AU26:AU29)</f>
        <v>-1.0562786741043911E-4</v>
      </c>
      <c r="AW26" s="173">
        <f t="shared" ref="AW26:AW33" ca="1" si="33">AU26/AN26</f>
        <v>352.61960774725981</v>
      </c>
      <c r="AX26" s="266">
        <f ca="1">SUM(AW26:AW29)</f>
        <v>623.62175406423125</v>
      </c>
      <c r="AY26" s="307">
        <f ca="1">-(AV26/(2*AX26))</f>
        <v>8.4689049669970097E-8</v>
      </c>
    </row>
    <row r="27" spans="2:51" x14ac:dyDescent="0.3">
      <c r="G27" s="229" t="s">
        <v>17</v>
      </c>
      <c r="H27" s="229"/>
      <c r="I27" s="173">
        <f>I18-I19</f>
        <v>0.23270000000002256</v>
      </c>
      <c r="AI27" s="229"/>
      <c r="AJ27" s="102" t="s">
        <v>331</v>
      </c>
      <c r="AK27" s="102" t="s">
        <v>408</v>
      </c>
      <c r="AL27" s="23">
        <f ca="1">AN16+AY15</f>
        <v>3.1963735301448376E-5</v>
      </c>
      <c r="AM27" s="23"/>
      <c r="AN27" s="23">
        <f t="shared" ca="1" si="29"/>
        <v>3.1963735301448376E-5</v>
      </c>
      <c r="AO27" s="173">
        <f t="shared" ca="1" si="30"/>
        <v>2.8036105967340668E-2</v>
      </c>
      <c r="AP27" s="170">
        <f t="shared" ref="AP27:AP33" ca="1" si="34">(AO27*$Z$5)/$AD$5</f>
        <v>884.98395804115933</v>
      </c>
      <c r="AQ27" s="179"/>
      <c r="AR27" s="179">
        <f ca="1">64/AP27</f>
        <v>7.2317695048008376E-2</v>
      </c>
      <c r="AS27" s="170">
        <f t="shared" si="31"/>
        <v>5.21</v>
      </c>
      <c r="AT27" s="176">
        <f t="shared" si="32"/>
        <v>2.1</v>
      </c>
      <c r="AU27" s="173">
        <f t="shared" ref="AU27:AU33" ca="1" si="35">IF(SIGN(AN27)=-1,-1*(((AN27^2)/(2*9.81*($AA$5^2)))*((AT27)+(AR27*(AS27/$Z$5)))),1*(((AN27^2)/(2*9.81*($AA$5^2)))*((AS27)+(AR27*(AS27/$Z$5)))))</f>
        <v>6.0490588162388607E-4</v>
      </c>
      <c r="AV27" s="229"/>
      <c r="AW27" s="173">
        <f t="shared" ca="1" si="33"/>
        <v>18.924755693258287</v>
      </c>
      <c r="AX27" s="229"/>
      <c r="AY27" s="307"/>
    </row>
    <row r="28" spans="2:51" x14ac:dyDescent="0.3">
      <c r="G28" s="229" t="s">
        <v>425</v>
      </c>
      <c r="H28" s="168" t="s">
        <v>226</v>
      </c>
      <c r="I28" s="173">
        <f>VLOOKUP(H17,'Energia actual'!$B$4:$U$11,8,FALSE)</f>
        <v>5.0000000000000001E-3</v>
      </c>
      <c r="AI28" s="229"/>
      <c r="AJ28" s="102" t="s">
        <v>356</v>
      </c>
      <c r="AK28" s="102" t="s">
        <v>111</v>
      </c>
      <c r="AL28" s="23">
        <f ca="1">AN19+AY19</f>
        <v>5.852033730102621E-5</v>
      </c>
      <c r="AM28" s="23"/>
      <c r="AN28" s="23">
        <f t="shared" ca="1" si="29"/>
        <v>-5.852033730102621E-5</v>
      </c>
      <c r="AO28" s="173">
        <f t="shared" ca="1" si="30"/>
        <v>5.1329494576991604E-2</v>
      </c>
      <c r="AP28" s="170">
        <f t="shared" ca="1" si="34"/>
        <v>1620.2599365230985</v>
      </c>
      <c r="AQ28" s="179"/>
      <c r="AR28" s="179">
        <f ca="1">64/AP28</f>
        <v>3.9499834907562446E-2</v>
      </c>
      <c r="AS28" s="170">
        <f t="shared" si="31"/>
        <v>66.599999999999994</v>
      </c>
      <c r="AT28" s="176">
        <f t="shared" si="32"/>
        <v>5.4</v>
      </c>
      <c r="AU28" s="173">
        <f t="shared" ca="1" si="35"/>
        <v>-9.9972813599196863E-3</v>
      </c>
      <c r="AV28" s="229"/>
      <c r="AW28" s="173">
        <f t="shared" ca="1" si="33"/>
        <v>170.83430856685055</v>
      </c>
      <c r="AX28" s="229"/>
      <c r="AY28" s="307"/>
    </row>
    <row r="29" spans="2:51" x14ac:dyDescent="0.3">
      <c r="G29" s="229"/>
      <c r="H29" s="168" t="s">
        <v>249</v>
      </c>
      <c r="I29" s="173">
        <f>I28*1000</f>
        <v>5</v>
      </c>
      <c r="AI29" s="229"/>
      <c r="AJ29" s="102" t="s">
        <v>330</v>
      </c>
      <c r="AK29" s="102" t="s">
        <v>111</v>
      </c>
      <c r="AL29" s="23">
        <f ca="1">AN18+AY15</f>
        <v>-1.9803626469855164E-4</v>
      </c>
      <c r="AM29" s="23"/>
      <c r="AN29" s="23">
        <f t="shared" ca="1" si="29"/>
        <v>-1.9803626469855164E-4</v>
      </c>
      <c r="AO29" s="173">
        <f t="shared" ca="1" si="30"/>
        <v>0.17370202981919119</v>
      </c>
      <c r="AP29" s="170">
        <f t="shared" ca="1" si="34"/>
        <v>5483.0549594955946</v>
      </c>
      <c r="AQ29" s="179">
        <f ca="1">-2*LOG10(($AF$5/(3.7*$Z$5))+((2.51/AP29)*AQ29))</f>
        <v>5.2367304613714518</v>
      </c>
      <c r="AR29" s="179">
        <f t="shared" ref="AR29:AR33" ca="1" si="36">(1/AQ29)^2</f>
        <v>3.6465280448741241E-2</v>
      </c>
      <c r="AS29" s="170">
        <f t="shared" si="31"/>
        <v>5.7069999999999999</v>
      </c>
      <c r="AT29" s="176">
        <f t="shared" si="32"/>
        <v>5</v>
      </c>
      <c r="AU29" s="173">
        <f t="shared" ca="1" si="35"/>
        <v>-1.6089076503138997E-2</v>
      </c>
      <c r="AV29" s="229"/>
      <c r="AW29" s="173">
        <f t="shared" ca="1" si="33"/>
        <v>81.243082056862619</v>
      </c>
      <c r="AX29" s="229"/>
      <c r="AY29" s="307"/>
    </row>
    <row r="30" spans="2:51" x14ac:dyDescent="0.3">
      <c r="G30" s="229" t="s">
        <v>432</v>
      </c>
      <c r="H30" s="229"/>
      <c r="I30" s="173">
        <f>I28/I22</f>
        <v>1.0964029118833252</v>
      </c>
      <c r="AI30" s="308" t="s">
        <v>405</v>
      </c>
      <c r="AJ30" s="102" t="s">
        <v>356</v>
      </c>
      <c r="AK30" s="102" t="s">
        <v>408</v>
      </c>
      <c r="AL30" s="182">
        <f ca="1">AN28+AY26</f>
        <v>-5.8435648251356239E-5</v>
      </c>
      <c r="AM30" s="182" t="s">
        <v>423</v>
      </c>
      <c r="AN30" s="182">
        <f t="shared" ca="1" si="29"/>
        <v>5.8435648251356239E-5</v>
      </c>
      <c r="AO30" s="173">
        <f t="shared" ca="1" si="30"/>
        <v>5.1255211920461376E-2</v>
      </c>
      <c r="AP30" s="170">
        <f t="shared" ca="1" si="34"/>
        <v>1617.9151401570655</v>
      </c>
      <c r="AQ30" s="179"/>
      <c r="AR30" s="179">
        <f ca="1">64/AP30</f>
        <v>3.9557080845282741E-2</v>
      </c>
      <c r="AS30" s="170">
        <f t="shared" si="31"/>
        <v>66.599999999999994</v>
      </c>
      <c r="AT30" s="176">
        <f t="shared" si="32"/>
        <v>5.4</v>
      </c>
      <c r="AU30" s="173">
        <f t="shared" ca="1" si="35"/>
        <v>1.817637937627984E-2</v>
      </c>
      <c r="AV30" s="258">
        <f ca="1">SUM(AU30:AU33)</f>
        <v>7.8425163491653918E-4</v>
      </c>
      <c r="AW30" s="173">
        <f t="shared" ca="1" si="33"/>
        <v>311.0495035170245</v>
      </c>
      <c r="AX30" s="258">
        <f ca="1">SUM(AW30:AW33)</f>
        <v>726.48993524120942</v>
      </c>
      <c r="AY30" s="311">
        <f ca="1">-(AV30/(2*AX30))</f>
        <v>-5.3975395726311867E-7</v>
      </c>
    </row>
    <row r="31" spans="2:51" x14ac:dyDescent="0.3">
      <c r="G31" s="26"/>
      <c r="H31" s="26"/>
      <c r="I31" s="26"/>
      <c r="AI31" s="309"/>
      <c r="AJ31" s="102" t="s">
        <v>332</v>
      </c>
      <c r="AK31" s="102" t="s">
        <v>408</v>
      </c>
      <c r="AL31" s="23">
        <f ca="1">AN20+AY19</f>
        <v>3.0484072602474591E-5</v>
      </c>
      <c r="AM31" s="23"/>
      <c r="AN31" s="23">
        <f t="shared" ca="1" si="29"/>
        <v>3.0484072602474591E-5</v>
      </c>
      <c r="AO31" s="173">
        <f t="shared" ca="1" si="30"/>
        <v>2.6738260773932671E-2</v>
      </c>
      <c r="AP31" s="170">
        <f t="shared" ca="1" si="34"/>
        <v>844.01635085901796</v>
      </c>
      <c r="AQ31" s="179"/>
      <c r="AR31" s="179">
        <f t="shared" ref="AR31:AR32" ca="1" si="37">64/AP31</f>
        <v>7.5827914867836937E-2</v>
      </c>
      <c r="AS31" s="170">
        <f t="shared" si="31"/>
        <v>30.4</v>
      </c>
      <c r="AT31" s="176">
        <f t="shared" si="32"/>
        <v>3.6</v>
      </c>
      <c r="AU31" s="173">
        <f t="shared" ca="1" si="35"/>
        <v>3.3124250701526067E-3</v>
      </c>
      <c r="AV31" s="285"/>
      <c r="AW31" s="173">
        <f t="shared" ca="1" si="33"/>
        <v>108.66084441367312</v>
      </c>
      <c r="AX31" s="285"/>
      <c r="AY31" s="312"/>
    </row>
    <row r="32" spans="2:51" x14ac:dyDescent="0.3">
      <c r="G32" s="168" t="s">
        <v>118</v>
      </c>
      <c r="H32" s="303" t="s">
        <v>347</v>
      </c>
      <c r="I32" s="303"/>
      <c r="AI32" s="309"/>
      <c r="AJ32" s="102" t="s">
        <v>334</v>
      </c>
      <c r="AK32" s="102" t="s">
        <v>111</v>
      </c>
      <c r="AL32" s="23">
        <f ca="1">AN21+AY19</f>
        <v>-4.9515927397525415E-5</v>
      </c>
      <c r="AM32" s="23"/>
      <c r="AN32" s="23">
        <f t="shared" ca="1" si="29"/>
        <v>-4.9515927397525415E-5</v>
      </c>
      <c r="AO32" s="173">
        <f t="shared" ca="1" si="30"/>
        <v>4.3431525586600149E-2</v>
      </c>
      <c r="AP32" s="170">
        <f t="shared" ca="1" si="34"/>
        <v>1370.9537074146358</v>
      </c>
      <c r="AQ32" s="179"/>
      <c r="AR32" s="179">
        <f t="shared" ca="1" si="37"/>
        <v>4.6682830830730326E-2</v>
      </c>
      <c r="AS32" s="170">
        <f t="shared" si="31"/>
        <v>66.599999999999994</v>
      </c>
      <c r="AT32" s="176">
        <f t="shared" si="32"/>
        <v>5.4</v>
      </c>
      <c r="AU32" s="173">
        <f t="shared" ca="1" si="35"/>
        <v>-8.3646098138682162E-3</v>
      </c>
      <c r="AV32" s="285"/>
      <c r="AW32" s="173">
        <f t="shared" ca="1" si="33"/>
        <v>168.92766133036704</v>
      </c>
      <c r="AX32" s="285"/>
      <c r="AY32" s="312"/>
    </row>
    <row r="33" spans="7:51" x14ac:dyDescent="0.3">
      <c r="G33" s="229" t="s">
        <v>430</v>
      </c>
      <c r="H33" s="229"/>
      <c r="I33" s="174">
        <f>VLOOKUP(H32,'Energia actual'!$B$4:$U$11,3,FALSE)</f>
        <v>423.84</v>
      </c>
      <c r="AI33" s="310"/>
      <c r="AJ33" s="102" t="s">
        <v>333</v>
      </c>
      <c r="AK33" s="102" t="s">
        <v>111</v>
      </c>
      <c r="AL33" s="23">
        <f ca="1">AN22+AY19</f>
        <v>-8.9515927397525432E-5</v>
      </c>
      <c r="AM33" s="23"/>
      <c r="AN33" s="23">
        <f t="shared" ca="1" si="29"/>
        <v>-8.9515927397525432E-5</v>
      </c>
      <c r="AO33" s="173">
        <f t="shared" ca="1" si="30"/>
        <v>7.8516418766866575E-2</v>
      </c>
      <c r="AP33" s="170">
        <f t="shared" ca="1" si="34"/>
        <v>2478.4387365514631</v>
      </c>
      <c r="AQ33" s="179">
        <f ca="1">-2*LOG10(($AF$5/(3.7*$Z$5))+((2.51/AP33)*AQ33))</f>
        <v>4.6518061053951483</v>
      </c>
      <c r="AR33" s="179">
        <f t="shared" ca="1" si="36"/>
        <v>4.6212215647004923E-2</v>
      </c>
      <c r="AS33" s="170">
        <f t="shared" si="31"/>
        <v>30.4</v>
      </c>
      <c r="AT33" s="176">
        <f t="shared" si="32"/>
        <v>2.4</v>
      </c>
      <c r="AU33" s="173">
        <f t="shared" ca="1" si="35"/>
        <v>-1.2339942997647683E-2</v>
      </c>
      <c r="AV33" s="286"/>
      <c r="AW33" s="173">
        <f t="shared" ca="1" si="33"/>
        <v>137.8519259801447</v>
      </c>
      <c r="AX33" s="286"/>
      <c r="AY33" s="313"/>
    </row>
    <row r="34" spans="7:51" x14ac:dyDescent="0.3">
      <c r="G34" s="229" t="s">
        <v>431</v>
      </c>
      <c r="H34" s="229"/>
      <c r="I34" s="173">
        <f>VLOOKUP(H32,'Energia actual'!$B$4:$U$11,5,FALSE)</f>
        <v>423.83300000000003</v>
      </c>
    </row>
    <row r="35" spans="7:51" x14ac:dyDescent="0.3">
      <c r="G35" s="229" t="s">
        <v>63</v>
      </c>
      <c r="H35" s="168" t="s">
        <v>57</v>
      </c>
      <c r="I35" s="7">
        <f>VLOOKUP(H32,'Energia actual'!$B$4:$U$11,9,FALSE)</f>
        <v>3</v>
      </c>
      <c r="AI35" s="204" t="s">
        <v>419</v>
      </c>
      <c r="AJ35" s="204"/>
      <c r="AK35" s="204"/>
      <c r="AL35" s="204"/>
      <c r="AM35" s="204"/>
      <c r="AN35" s="204"/>
      <c r="AO35" s="204"/>
      <c r="AP35" s="204"/>
      <c r="AQ35" s="204"/>
      <c r="AR35" s="204"/>
      <c r="AS35" s="204"/>
      <c r="AT35" s="204"/>
      <c r="AU35" s="204"/>
      <c r="AV35" s="204"/>
      <c r="AW35" s="204"/>
      <c r="AX35" s="204"/>
      <c r="AY35" s="204"/>
    </row>
    <row r="36" spans="7:51" x14ac:dyDescent="0.3">
      <c r="G36" s="229"/>
      <c r="H36" s="168" t="s">
        <v>106</v>
      </c>
      <c r="I36" s="173">
        <f>I35*0.0254</f>
        <v>7.619999999999999E-2</v>
      </c>
      <c r="AI36" s="19"/>
      <c r="AJ36" s="19"/>
      <c r="AK36" s="168" t="s">
        <v>368</v>
      </c>
      <c r="AL36" s="293" t="s">
        <v>364</v>
      </c>
      <c r="AM36" s="294"/>
      <c r="AN36" s="294"/>
      <c r="AO36" s="168" t="s">
        <v>103</v>
      </c>
      <c r="AP36" s="168" t="s">
        <v>365</v>
      </c>
      <c r="AQ36" s="229" t="s">
        <v>366</v>
      </c>
      <c r="AR36" s="229"/>
      <c r="AS36" s="168" t="s">
        <v>409</v>
      </c>
      <c r="AT36" s="168" t="s">
        <v>110</v>
      </c>
      <c r="AU36" s="168" t="s">
        <v>410</v>
      </c>
      <c r="AV36" s="168" t="s">
        <v>411</v>
      </c>
      <c r="AW36" s="168" t="s">
        <v>414</v>
      </c>
      <c r="AX36" s="168" t="s">
        <v>415</v>
      </c>
      <c r="AY36" s="168" t="s">
        <v>119</v>
      </c>
    </row>
    <row r="37" spans="7:51" x14ac:dyDescent="0.3">
      <c r="G37" s="229" t="s">
        <v>391</v>
      </c>
      <c r="H37" s="229"/>
      <c r="I37" s="183">
        <f>PI()*((I36^2)/4)</f>
        <v>4.5603673118774788E-3</v>
      </c>
      <c r="AI37" s="229" t="s">
        <v>404</v>
      </c>
      <c r="AJ37" s="102" t="s">
        <v>329</v>
      </c>
      <c r="AK37" s="102" t="s">
        <v>408</v>
      </c>
      <c r="AL37" s="23">
        <f ca="1">AN26+AY26</f>
        <v>7.2048424351118344E-5</v>
      </c>
      <c r="AM37" s="23"/>
      <c r="AN37" s="23">
        <f t="shared" ref="AN37:AN44" ca="1" si="38">IF(AM37="SI",(IF(AK37="-",IF(SIGN(AL37)=-1,AL37,-1*AL37),AL37))*-1,(IF(AK37="-",IF(SIGN(AL37)=-1,AL37,-1*AL37),AL37)))</f>
        <v>7.2048424351118344E-5</v>
      </c>
      <c r="AO37" s="173">
        <f t="shared" ref="AO37:AO44" ca="1" si="39">ABS(AN37/$AA$5)</f>
        <v>6.3195281804137304E-2</v>
      </c>
      <c r="AP37" s="170">
        <f ca="1">(AO37*$Z$5)/$AD$5</f>
        <v>1994.8137835440191</v>
      </c>
      <c r="AQ37" s="179"/>
      <c r="AR37" s="179">
        <f ca="1">64/AP37</f>
        <v>3.2083195197446721E-2</v>
      </c>
      <c r="AS37" s="170">
        <f t="shared" ref="AS37:AS44" si="40">VLOOKUP(AJ37,$V$5:$AG$11,7,FALSE)</f>
        <v>67.8</v>
      </c>
      <c r="AT37" s="176">
        <f t="shared" ref="AT37:AT44" si="41">VLOOKUP(AJ37,$V$5:$AG$11,12,FALSE)</f>
        <v>6.3</v>
      </c>
      <c r="AU37" s="173">
        <f ca="1">IF(SIGN(AN37)=-1,-1*(((AN37^2)/(2*9.81*($AA$5^2)))*((AT37)+(AR37*(AS37/$Z$5)))),1*(((AN37^2)/(2*9.81*($AA$5^2)))*((AS37)+(AR37*(AS37/$Z$5)))))</f>
        <v>2.5421909072815135E-2</v>
      </c>
      <c r="AV37" s="266">
        <f ca="1">SUM(AU37:AU40)</f>
        <v>6.9685975149294532E-5</v>
      </c>
      <c r="AW37" s="173">
        <f t="shared" ref="AW37:AW44" ca="1" si="42">AU37/AN37</f>
        <v>352.84476103078765</v>
      </c>
      <c r="AX37" s="266">
        <f ca="1">SUM(AW37:AW40)</f>
        <v>623.7023834798365</v>
      </c>
      <c r="AY37" s="307">
        <f ca="1">-(AV37/(2*AX37))</f>
        <v>-5.5864765788206574E-8</v>
      </c>
    </row>
    <row r="38" spans="7:51" x14ac:dyDescent="0.3">
      <c r="G38" s="229" t="s">
        <v>337</v>
      </c>
      <c r="H38" s="229"/>
      <c r="I38" s="168">
        <f>VLOOKUP(H32,'Energia actual'!$B$4:$U$11,13,FALSE)</f>
        <v>32.6</v>
      </c>
      <c r="AI38" s="229"/>
      <c r="AJ38" s="102" t="s">
        <v>331</v>
      </c>
      <c r="AK38" s="102" t="s">
        <v>408</v>
      </c>
      <c r="AL38" s="23">
        <f ca="1">AN27+AY26</f>
        <v>3.2048424351118347E-5</v>
      </c>
      <c r="AM38" s="23"/>
      <c r="AN38" s="23">
        <f t="shared" ca="1" si="38"/>
        <v>3.2048424351118347E-5</v>
      </c>
      <c r="AO38" s="173">
        <f t="shared" ca="1" si="39"/>
        <v>2.8110388623870899E-2</v>
      </c>
      <c r="AP38" s="170">
        <f t="shared" ref="AP38:AP44" ca="1" si="43">(AO38*$Z$5)/$AD$5</f>
        <v>887.32875440719238</v>
      </c>
      <c r="AQ38" s="179"/>
      <c r="AR38" s="179">
        <f ca="1">64/AP38</f>
        <v>7.2126593083030641E-2</v>
      </c>
      <c r="AS38" s="170">
        <f t="shared" si="40"/>
        <v>5.21</v>
      </c>
      <c r="AT38" s="176">
        <f t="shared" si="41"/>
        <v>2.1</v>
      </c>
      <c r="AU38" s="173">
        <f t="shared" ref="AU38:AU44" ca="1" si="44">IF(SIGN(AN38)=-1,-1*(((AN38^2)/(2*9.81*($AA$5^2)))*((AT38)+(AR38*(AS38/$Z$5)))),1*(((AN38^2)/(2*9.81*($AA$5^2)))*((AS38)+(AR38*(AS38/$Z$5)))))</f>
        <v>6.0706309027765473E-4</v>
      </c>
      <c r="AV38" s="229"/>
      <c r="AW38" s="173">
        <f t="shared" ca="1" si="42"/>
        <v>18.942057295134102</v>
      </c>
      <c r="AX38" s="229"/>
      <c r="AY38" s="307"/>
    </row>
    <row r="39" spans="7:51" x14ac:dyDescent="0.3">
      <c r="G39" s="229" t="s">
        <v>120</v>
      </c>
      <c r="H39" s="229"/>
      <c r="I39" s="102">
        <v>1.5E-6</v>
      </c>
      <c r="AI39" s="229"/>
      <c r="AJ39" s="102" t="s">
        <v>356</v>
      </c>
      <c r="AK39" s="102" t="s">
        <v>111</v>
      </c>
      <c r="AL39" s="23">
        <f ca="1">AN30+AY30</f>
        <v>5.7895894294093118E-5</v>
      </c>
      <c r="AM39" s="23"/>
      <c r="AN39" s="23">
        <f t="shared" ca="1" si="38"/>
        <v>-5.7895894294093118E-5</v>
      </c>
      <c r="AO39" s="173">
        <f t="shared" ca="1" si="39"/>
        <v>5.0781781672106313E-2</v>
      </c>
      <c r="AP39" s="170">
        <f t="shared" ca="1" si="43"/>
        <v>1602.970904479909</v>
      </c>
      <c r="AQ39" s="179"/>
      <c r="AR39" s="179">
        <f ca="1">64/AP39</f>
        <v>3.9925865042924835E-2</v>
      </c>
      <c r="AS39" s="170">
        <f t="shared" si="40"/>
        <v>66.599999999999994</v>
      </c>
      <c r="AT39" s="176">
        <f t="shared" si="41"/>
        <v>5.4</v>
      </c>
      <c r="AU39" s="173">
        <f t="shared" ca="1" si="44"/>
        <v>-9.8829498860528268E-3</v>
      </c>
      <c r="AV39" s="229"/>
      <c r="AW39" s="173">
        <f t="shared" ca="1" si="42"/>
        <v>170.70208529555686</v>
      </c>
      <c r="AX39" s="229"/>
      <c r="AY39" s="307"/>
    </row>
    <row r="40" spans="7:51" x14ac:dyDescent="0.3">
      <c r="G40" s="229" t="s">
        <v>429</v>
      </c>
      <c r="H40" s="229"/>
      <c r="I40" s="186">
        <v>1.207E-6</v>
      </c>
      <c r="AI40" s="229"/>
      <c r="AJ40" s="102" t="s">
        <v>330</v>
      </c>
      <c r="AK40" s="102" t="s">
        <v>111</v>
      </c>
      <c r="AL40" s="23">
        <f ca="1">AN29+AY26</f>
        <v>-1.9795157564888167E-4</v>
      </c>
      <c r="AM40" s="23"/>
      <c r="AN40" s="23">
        <f t="shared" ca="1" si="38"/>
        <v>-1.9795157564888167E-4</v>
      </c>
      <c r="AO40" s="173">
        <f t="shared" ca="1" si="39"/>
        <v>0.17362774716266097</v>
      </c>
      <c r="AP40" s="170">
        <f t="shared" ca="1" si="43"/>
        <v>5480.7101631295618</v>
      </c>
      <c r="AQ40" s="179">
        <f ca="1">-2*LOG10(($AF$5/(3.7*$Z$5))+((2.51/AP40)*AQ40))</f>
        <v>5.2364130008821155</v>
      </c>
      <c r="AR40" s="179">
        <f t="shared" ref="AR40:AR44" ca="1" si="45">(1/AQ40)^2</f>
        <v>3.6469702039124786E-2</v>
      </c>
      <c r="AS40" s="170">
        <f t="shared" si="40"/>
        <v>5.7069999999999999</v>
      </c>
      <c r="AT40" s="176">
        <f t="shared" si="41"/>
        <v>5</v>
      </c>
      <c r="AU40" s="173">
        <f t="shared" ca="1" si="44"/>
        <v>-1.6076336301890672E-2</v>
      </c>
      <c r="AV40" s="229"/>
      <c r="AW40" s="173">
        <f t="shared" ca="1" si="42"/>
        <v>81.213479858357957</v>
      </c>
      <c r="AX40" s="229"/>
      <c r="AY40" s="307"/>
    </row>
    <row r="41" spans="7:51" x14ac:dyDescent="0.3">
      <c r="G41" s="229" t="s">
        <v>110</v>
      </c>
      <c r="H41" s="229"/>
      <c r="I41" s="7">
        <f>VLOOKUP(H32,'Energia actual'!$B$4:$U$11,14,FALSE)</f>
        <v>2.4</v>
      </c>
      <c r="AI41" s="308" t="s">
        <v>405</v>
      </c>
      <c r="AJ41" s="102" t="s">
        <v>356</v>
      </c>
      <c r="AK41" s="102" t="s">
        <v>408</v>
      </c>
      <c r="AL41" s="182">
        <f ca="1">AN39+AY37</f>
        <v>-5.7951759059881324E-5</v>
      </c>
      <c r="AM41" s="182" t="s">
        <v>423</v>
      </c>
      <c r="AN41" s="182">
        <f t="shared" ca="1" si="38"/>
        <v>5.7951759059881324E-5</v>
      </c>
      <c r="AO41" s="173">
        <f t="shared" ca="1" si="39"/>
        <v>5.0830781905611806E-2</v>
      </c>
      <c r="AP41" s="170">
        <f t="shared" ca="1" si="43"/>
        <v>1604.5176392740757</v>
      </c>
      <c r="AQ41" s="179"/>
      <c r="AR41" s="179">
        <f ca="1">64/AP41</f>
        <v>3.9887377011919432E-2</v>
      </c>
      <c r="AS41" s="170">
        <f t="shared" si="40"/>
        <v>66.599999999999994</v>
      </c>
      <c r="AT41" s="176">
        <f t="shared" si="41"/>
        <v>5.4</v>
      </c>
      <c r="AU41" s="173">
        <f t="shared" ca="1" si="44"/>
        <v>1.795263266771582E-2</v>
      </c>
      <c r="AV41" s="258">
        <f ca="1">SUM(AU41:AU44)</f>
        <v>2.5853771890694405E-4</v>
      </c>
      <c r="AW41" s="173">
        <f t="shared" ca="1" si="42"/>
        <v>309.78581080110848</v>
      </c>
      <c r="AX41" s="258">
        <f ca="1">SUM(AW41:AW44)</f>
        <v>725.28280192672196</v>
      </c>
      <c r="AY41" s="311">
        <f ca="1">-(AV41/(2*AX41))</f>
        <v>-1.7823235172551705E-7</v>
      </c>
    </row>
    <row r="42" spans="7:51" x14ac:dyDescent="0.3">
      <c r="G42" s="229" t="s">
        <v>17</v>
      </c>
      <c r="H42" s="229"/>
      <c r="I42" s="173">
        <f>I33-I34</f>
        <v>6.9999999999481588E-3</v>
      </c>
      <c r="AI42" s="309"/>
      <c r="AJ42" s="102" t="s">
        <v>332</v>
      </c>
      <c r="AK42" s="102" t="s">
        <v>408</v>
      </c>
      <c r="AL42" s="23">
        <f ca="1">AN31+AY30</f>
        <v>2.9944318645211474E-5</v>
      </c>
      <c r="AM42" s="23"/>
      <c r="AN42" s="23">
        <f t="shared" ca="1" si="38"/>
        <v>2.9944318645211474E-5</v>
      </c>
      <c r="AO42" s="173">
        <f t="shared" ca="1" si="39"/>
        <v>2.6264830525577605E-2</v>
      </c>
      <c r="AP42" s="170">
        <f t="shared" ca="1" si="43"/>
        <v>829.07211518186125</v>
      </c>
      <c r="AQ42" s="179"/>
      <c r="AR42" s="179">
        <f t="shared" ref="AR42:AR43" ca="1" si="46">64/AP42</f>
        <v>7.7194732313438458E-2</v>
      </c>
      <c r="AS42" s="170">
        <f t="shared" si="40"/>
        <v>30.4</v>
      </c>
      <c r="AT42" s="176">
        <f t="shared" si="41"/>
        <v>3.6</v>
      </c>
      <c r="AU42" s="173">
        <f t="shared" ca="1" si="44"/>
        <v>3.2345083447295354E-3</v>
      </c>
      <c r="AV42" s="285"/>
      <c r="AW42" s="173">
        <f t="shared" ca="1" si="42"/>
        <v>108.01743005252115</v>
      </c>
      <c r="AX42" s="285"/>
      <c r="AY42" s="312"/>
    </row>
    <row r="43" spans="7:51" x14ac:dyDescent="0.3">
      <c r="G43" s="229" t="s">
        <v>425</v>
      </c>
      <c r="H43" s="168" t="s">
        <v>226</v>
      </c>
      <c r="I43" s="173">
        <f>VLOOKUP(H32,'Energia actual'!$B$4:$U$11,8,FALSE)</f>
        <v>5.0000000000000001E-3</v>
      </c>
      <c r="AI43" s="309"/>
      <c r="AJ43" s="102" t="s">
        <v>334</v>
      </c>
      <c r="AK43" s="102" t="s">
        <v>111</v>
      </c>
      <c r="AL43" s="23">
        <f ca="1">AN32+AY30</f>
        <v>-5.0055681354788536E-5</v>
      </c>
      <c r="AM43" s="23"/>
      <c r="AN43" s="23">
        <f t="shared" ca="1" si="38"/>
        <v>-5.0055681354788536E-5</v>
      </c>
      <c r="AO43" s="173">
        <f t="shared" ca="1" si="39"/>
        <v>4.3904955834955219E-2</v>
      </c>
      <c r="AP43" s="170">
        <f t="shared" ca="1" si="43"/>
        <v>1385.8979430917925</v>
      </c>
      <c r="AQ43" s="179"/>
      <c r="AR43" s="179">
        <f t="shared" ca="1" si="46"/>
        <v>4.6179446559551661E-2</v>
      </c>
      <c r="AS43" s="170">
        <f t="shared" si="40"/>
        <v>66.599999999999994</v>
      </c>
      <c r="AT43" s="176">
        <f t="shared" si="41"/>
        <v>5.4</v>
      </c>
      <c r="AU43" s="173">
        <f t="shared" ca="1" si="44"/>
        <v>-8.4615100868684363E-3</v>
      </c>
      <c r="AV43" s="285"/>
      <c r="AW43" s="173">
        <f t="shared" ca="1" si="42"/>
        <v>169.04195203925585</v>
      </c>
      <c r="AX43" s="285"/>
      <c r="AY43" s="312"/>
    </row>
    <row r="44" spans="7:51" x14ac:dyDescent="0.3">
      <c r="G44" s="229"/>
      <c r="H44" s="168" t="s">
        <v>249</v>
      </c>
      <c r="I44" s="173">
        <f>I43*1000</f>
        <v>5</v>
      </c>
      <c r="AI44" s="310"/>
      <c r="AJ44" s="102" t="s">
        <v>333</v>
      </c>
      <c r="AK44" s="102" t="s">
        <v>111</v>
      </c>
      <c r="AL44" s="23">
        <f ca="1">AN33+AY30</f>
        <v>-9.0055681354788553E-5</v>
      </c>
      <c r="AM44" s="23"/>
      <c r="AN44" s="23">
        <f t="shared" ca="1" si="38"/>
        <v>-9.0055681354788553E-5</v>
      </c>
      <c r="AO44" s="173">
        <f t="shared" ca="1" si="39"/>
        <v>7.898984901522163E-2</v>
      </c>
      <c r="AP44" s="170">
        <f t="shared" ca="1" si="43"/>
        <v>2493.3829722286196</v>
      </c>
      <c r="AQ44" s="179">
        <f ca="1">-2*LOG10(($AF$5/(3.7*$Z$5))+((2.51/AP44)*AQ44))</f>
        <v>4.6561980768571303</v>
      </c>
      <c r="AR44" s="179">
        <f t="shared" ca="1" si="45"/>
        <v>4.6125077167758904E-2</v>
      </c>
      <c r="AS44" s="170">
        <f t="shared" si="40"/>
        <v>30.4</v>
      </c>
      <c r="AT44" s="176">
        <f t="shared" si="41"/>
        <v>2.4</v>
      </c>
      <c r="AU44" s="173">
        <f t="shared" ca="1" si="44"/>
        <v>-1.246709320666997E-2</v>
      </c>
      <c r="AV44" s="286"/>
      <c r="AW44" s="173">
        <f t="shared" ca="1" si="42"/>
        <v>138.43760903383642</v>
      </c>
      <c r="AX44" s="286"/>
      <c r="AY44" s="313"/>
    </row>
    <row r="45" spans="7:51" x14ac:dyDescent="0.3">
      <c r="G45" s="229" t="s">
        <v>432</v>
      </c>
      <c r="H45" s="229"/>
      <c r="I45" s="173">
        <f>I43/I37</f>
        <v>1.0964029118833252</v>
      </c>
    </row>
    <row r="46" spans="7:51" x14ac:dyDescent="0.3">
      <c r="G46" s="26"/>
      <c r="H46" s="26"/>
      <c r="I46" s="26"/>
      <c r="AI46" s="204" t="s">
        <v>420</v>
      </c>
      <c r="AJ46" s="204"/>
      <c r="AK46" s="204"/>
      <c r="AL46" s="204"/>
      <c r="AM46" s="204"/>
      <c r="AN46" s="204"/>
      <c r="AO46" s="204"/>
      <c r="AP46" s="204"/>
      <c r="AQ46" s="204"/>
      <c r="AR46" s="204"/>
      <c r="AS46" s="204"/>
      <c r="AT46" s="204"/>
      <c r="AU46" s="204"/>
      <c r="AV46" s="204"/>
      <c r="AW46" s="204"/>
      <c r="AX46" s="204"/>
      <c r="AY46" s="204"/>
    </row>
    <row r="47" spans="7:51" x14ac:dyDescent="0.3">
      <c r="G47" s="168" t="s">
        <v>118</v>
      </c>
      <c r="H47" s="303" t="s">
        <v>325</v>
      </c>
      <c r="I47" s="303"/>
      <c r="AI47" s="19"/>
      <c r="AJ47" s="19"/>
      <c r="AK47" s="168" t="s">
        <v>368</v>
      </c>
      <c r="AL47" s="293" t="s">
        <v>364</v>
      </c>
      <c r="AM47" s="294"/>
      <c r="AN47" s="294"/>
      <c r="AO47" s="168" t="s">
        <v>103</v>
      </c>
      <c r="AP47" s="168" t="s">
        <v>365</v>
      </c>
      <c r="AQ47" s="229" t="s">
        <v>366</v>
      </c>
      <c r="AR47" s="229"/>
      <c r="AS47" s="168" t="s">
        <v>409</v>
      </c>
      <c r="AT47" s="168" t="s">
        <v>110</v>
      </c>
      <c r="AU47" s="168" t="s">
        <v>410</v>
      </c>
      <c r="AV47" s="168" t="s">
        <v>411</v>
      </c>
      <c r="AW47" s="168" t="s">
        <v>414</v>
      </c>
      <c r="AX47" s="168" t="s">
        <v>415</v>
      </c>
      <c r="AY47" s="168" t="s">
        <v>119</v>
      </c>
    </row>
    <row r="48" spans="7:51" x14ac:dyDescent="0.3">
      <c r="G48" s="229" t="s">
        <v>430</v>
      </c>
      <c r="H48" s="229"/>
      <c r="I48" s="174">
        <f>VLOOKUP(H47,'Energia actual'!$B$4:$U$11,3,FALSE)</f>
        <v>424.0727</v>
      </c>
      <c r="AI48" s="229" t="s">
        <v>404</v>
      </c>
      <c r="AJ48" s="102" t="s">
        <v>329</v>
      </c>
      <c r="AK48" s="102" t="s">
        <v>408</v>
      </c>
      <c r="AL48" s="23">
        <f ca="1">AN37+AY37</f>
        <v>7.1992559585330138E-5</v>
      </c>
      <c r="AM48" s="23"/>
      <c r="AN48" s="23">
        <f t="shared" ref="AN48:AN55" ca="1" si="47">IF(AM48="SI",(IF(AK48="-",IF(SIGN(AL48)=-1,AL48,-1*AL48),AL48))*-1,(IF(AK48="-",IF(SIGN(AL48)=-1,AL48,-1*AL48),AL48)))</f>
        <v>7.1992559585330138E-5</v>
      </c>
      <c r="AO48" s="173">
        <f t="shared" ref="AO48:AO55" ca="1" si="48">ABS(AN48/$AA$5)</f>
        <v>6.3146281570631804E-2</v>
      </c>
      <c r="AP48" s="170">
        <f ca="1">(AO48*$Z$5)/$AD$5</f>
        <v>1993.2670487498519</v>
      </c>
      <c r="AQ48" s="179"/>
      <c r="AR48" s="179">
        <f ca="1">64/AP48</f>
        <v>3.2108091106076264E-2</v>
      </c>
      <c r="AS48" s="170">
        <f t="shared" ref="AS48:AS55" si="49">VLOOKUP(AJ48,$V$5:$AG$11,7,FALSE)</f>
        <v>67.8</v>
      </c>
      <c r="AT48" s="176">
        <f t="shared" ref="AT48:AT55" si="50">VLOOKUP(AJ48,$V$5:$AG$11,12,FALSE)</f>
        <v>6.3</v>
      </c>
      <c r="AU48" s="173">
        <f ca="1">IF(SIGN(AN48)=-1,-1*(((AN48^2)/(2*9.81*($AA$5^2)))*((AT48)+(AR48*(AS48/$Z$5)))),1*(((AN48^2)/(2*9.81*($AA$5^2)))*((AS48)+(AR48*(AS48/$Z$5)))))</f>
        <v>2.5391505047796702E-2</v>
      </c>
      <c r="AV48" s="266">
        <f ca="1">SUM(AU48:AU51)</f>
        <v>5.1840505666950198E-5</v>
      </c>
      <c r="AW48" s="173">
        <f t="shared" ref="AW48:AW55" ca="1" si="51">AU48/AN48</f>
        <v>352.69623963989062</v>
      </c>
      <c r="AX48" s="266">
        <f ca="1">SUM(AW48:AW51)</f>
        <v>623.53606543096942</v>
      </c>
      <c r="AY48" s="307">
        <f ca="1">-(AV48/(2*AX48))</f>
        <v>-4.1569773218426105E-8</v>
      </c>
    </row>
    <row r="49" spans="7:51" x14ac:dyDescent="0.3">
      <c r="G49" s="229" t="s">
        <v>431</v>
      </c>
      <c r="H49" s="229"/>
      <c r="I49" s="173">
        <f>VLOOKUP(H47,'Energia actual'!$B$4:$U$11,5,FALSE)</f>
        <v>423.36699999999996</v>
      </c>
      <c r="AI49" s="229"/>
      <c r="AJ49" s="102" t="s">
        <v>331</v>
      </c>
      <c r="AK49" s="102" t="s">
        <v>408</v>
      </c>
      <c r="AL49" s="23">
        <f ca="1">AN38+AY37</f>
        <v>3.1992559585330142E-5</v>
      </c>
      <c r="AM49" s="23"/>
      <c r="AN49" s="23">
        <f t="shared" ca="1" si="47"/>
        <v>3.1992559585330142E-5</v>
      </c>
      <c r="AO49" s="173">
        <f t="shared" ca="1" si="48"/>
        <v>2.8061388390365403E-2</v>
      </c>
      <c r="AP49" s="170">
        <f t="shared" ref="AP49:AP55" ca="1" si="52">(AO49*$Z$5)/$AD$5</f>
        <v>885.78201961302545</v>
      </c>
      <c r="AQ49" s="179"/>
      <c r="AR49" s="179">
        <f ca="1">64/AP49</f>
        <v>7.2252539093037693E-2</v>
      </c>
      <c r="AS49" s="170">
        <f t="shared" si="49"/>
        <v>5.21</v>
      </c>
      <c r="AT49" s="176">
        <f t="shared" si="50"/>
        <v>2.1</v>
      </c>
      <c r="AU49" s="173">
        <f t="shared" ref="AU49:AU55" ca="1" si="53">IF(SIGN(AN49)=-1,-1*(((AN49^2)/(2*9.81*($AA$5^2)))*((AT49)+(AR49*(AS49/$Z$5)))),1*(((AN49^2)/(2*9.81*($AA$5^2)))*((AS49)+(AR49*(AS49/$Z$5)))))</f>
        <v>6.0563976793812481E-4</v>
      </c>
      <c r="AV49" s="229"/>
      <c r="AW49" s="173">
        <f t="shared" ca="1" si="51"/>
        <v>18.930644368193494</v>
      </c>
      <c r="AX49" s="229"/>
      <c r="AY49" s="307"/>
    </row>
    <row r="50" spans="7:51" x14ac:dyDescent="0.3">
      <c r="G50" s="229" t="s">
        <v>63</v>
      </c>
      <c r="H50" s="168" t="s">
        <v>57</v>
      </c>
      <c r="I50" s="7">
        <f>VLOOKUP(H47,'Energia actual'!$B$4:$U$11,9,FALSE)</f>
        <v>1.5</v>
      </c>
      <c r="AI50" s="229"/>
      <c r="AJ50" s="102" t="s">
        <v>356</v>
      </c>
      <c r="AK50" s="102" t="s">
        <v>111</v>
      </c>
      <c r="AL50" s="23">
        <f ca="1">AN41+AY41</f>
        <v>5.7773526708155807E-5</v>
      </c>
      <c r="AM50" s="23"/>
      <c r="AN50" s="23">
        <f t="shared" ca="1" si="47"/>
        <v>-5.7773526708155807E-5</v>
      </c>
      <c r="AO50" s="173">
        <f t="shared" ca="1" si="48"/>
        <v>5.0674450330072868E-2</v>
      </c>
      <c r="AP50" s="170">
        <f t="shared" ca="1" si="52"/>
        <v>1599.5828977429794</v>
      </c>
      <c r="AQ50" s="179"/>
      <c r="AR50" s="179">
        <f ca="1">64/AP50</f>
        <v>4.0010430275482671E-2</v>
      </c>
      <c r="AS50" s="170">
        <f t="shared" si="49"/>
        <v>66.599999999999994</v>
      </c>
      <c r="AT50" s="176">
        <f t="shared" si="50"/>
        <v>5.4</v>
      </c>
      <c r="AU50" s="173">
        <f t="shared" ca="1" si="53"/>
        <v>-9.8605645233843936E-3</v>
      </c>
      <c r="AV50" s="229"/>
      <c r="AW50" s="173">
        <f t="shared" ca="1" si="51"/>
        <v>170.6761744560834</v>
      </c>
      <c r="AX50" s="229"/>
      <c r="AY50" s="307"/>
    </row>
    <row r="51" spans="7:51" x14ac:dyDescent="0.3">
      <c r="G51" s="229"/>
      <c r="H51" s="168" t="s">
        <v>106</v>
      </c>
      <c r="I51" s="173">
        <f>I50*0.0254</f>
        <v>3.8099999999999995E-2</v>
      </c>
      <c r="AI51" s="229"/>
      <c r="AJ51" s="102" t="s">
        <v>330</v>
      </c>
      <c r="AK51" s="102" t="s">
        <v>111</v>
      </c>
      <c r="AL51" s="23">
        <f ca="1">AN40+AY37</f>
        <v>-1.9800744041466989E-4</v>
      </c>
      <c r="AM51" s="23"/>
      <c r="AN51" s="23">
        <f t="shared" ca="1" si="47"/>
        <v>-1.9800744041466989E-4</v>
      </c>
      <c r="AO51" s="173">
        <f t="shared" ca="1" si="48"/>
        <v>0.17367674739616645</v>
      </c>
      <c r="AP51" s="170">
        <f t="shared" ca="1" si="52"/>
        <v>5482.2568979237285</v>
      </c>
      <c r="AQ51" s="179">
        <f ca="1">-2*LOG10(($AF$5/(3.7*$Z$5))+((2.51/AP51)*AQ51))</f>
        <v>5.2366224273085553</v>
      </c>
      <c r="AR51" s="179">
        <f t="shared" ref="AR51:AR55" ca="1" si="54">(1/AQ51)^2</f>
        <v>3.6466785057138379E-2</v>
      </c>
      <c r="AS51" s="170">
        <f t="shared" si="49"/>
        <v>5.7069999999999999</v>
      </c>
      <c r="AT51" s="176">
        <f t="shared" si="50"/>
        <v>5</v>
      </c>
      <c r="AU51" s="173">
        <f t="shared" ca="1" si="53"/>
        <v>-1.6084739786683486E-2</v>
      </c>
      <c r="AV51" s="229"/>
      <c r="AW51" s="173">
        <f t="shared" ca="1" si="51"/>
        <v>81.233006966801881</v>
      </c>
      <c r="AX51" s="229"/>
      <c r="AY51" s="307"/>
    </row>
    <row r="52" spans="7:51" x14ac:dyDescent="0.3">
      <c r="G52" s="229" t="s">
        <v>391</v>
      </c>
      <c r="H52" s="229"/>
      <c r="I52" s="183">
        <f>PI()*((I51^2)/4)</f>
        <v>1.1400918279693697E-3</v>
      </c>
      <c r="AI52" s="308" t="s">
        <v>405</v>
      </c>
      <c r="AJ52" s="102" t="s">
        <v>356</v>
      </c>
      <c r="AK52" s="102" t="s">
        <v>408</v>
      </c>
      <c r="AL52" s="182">
        <f ca="1">AN50+AY48</f>
        <v>-5.7815096481374235E-5</v>
      </c>
      <c r="AM52" s="182" t="s">
        <v>423</v>
      </c>
      <c r="AN52" s="182">
        <f t="shared" ca="1" si="47"/>
        <v>5.7815096481374235E-5</v>
      </c>
      <c r="AO52" s="173">
        <f t="shared" ca="1" si="48"/>
        <v>5.0710912106395278E-2</v>
      </c>
      <c r="AP52" s="170">
        <f t="shared" ca="1" si="52"/>
        <v>1600.7338452805798</v>
      </c>
      <c r="AQ52" s="179"/>
      <c r="AR52" s="179">
        <f ca="1">64/AP52</f>
        <v>3.998166227864193E-2</v>
      </c>
      <c r="AS52" s="170">
        <f t="shared" si="49"/>
        <v>66.599999999999994</v>
      </c>
      <c r="AT52" s="176">
        <f t="shared" si="50"/>
        <v>5.4</v>
      </c>
      <c r="AU52" s="173">
        <f t="shared" ca="1" si="53"/>
        <v>1.7889662397500741E-2</v>
      </c>
      <c r="AV52" s="258">
        <f ca="1">SUM(AU52:AU55)</f>
        <v>9.5857401735031933E-5</v>
      </c>
      <c r="AW52" s="173">
        <f t="shared" ca="1" si="51"/>
        <v>309.42891193244122</v>
      </c>
      <c r="AX52" s="258">
        <f ca="1">SUM(AW52:AW55)</f>
        <v>724.94440152611776</v>
      </c>
      <c r="AY52" s="311">
        <f ca="1">-(AV52/(2*AX52))</f>
        <v>-6.6113623012494187E-8</v>
      </c>
    </row>
    <row r="53" spans="7:51" x14ac:dyDescent="0.3">
      <c r="G53" s="229" t="s">
        <v>337</v>
      </c>
      <c r="H53" s="229"/>
      <c r="I53" s="168">
        <f>VLOOKUP(H47,'Energia actual'!$B$4:$U$11,13,FALSE)</f>
        <v>67.5</v>
      </c>
      <c r="AI53" s="309"/>
      <c r="AJ53" s="102" t="s">
        <v>332</v>
      </c>
      <c r="AK53" s="102" t="s">
        <v>408</v>
      </c>
      <c r="AL53" s="23">
        <f ca="1">AN42+AY41</f>
        <v>2.9766086293485957E-5</v>
      </c>
      <c r="AM53" s="23"/>
      <c r="AN53" s="23">
        <f t="shared" ca="1" si="47"/>
        <v>2.9766086293485957E-5</v>
      </c>
      <c r="AO53" s="173">
        <f t="shared" ca="1" si="48"/>
        <v>2.610849895003867E-2</v>
      </c>
      <c r="AP53" s="170">
        <f t="shared" ca="1" si="52"/>
        <v>824.13737365076474</v>
      </c>
      <c r="AQ53" s="179"/>
      <c r="AR53" s="179">
        <f t="shared" ref="AR53:AR54" ca="1" si="55">64/AP53</f>
        <v>7.7656956286902418E-2</v>
      </c>
      <c r="AS53" s="170">
        <f t="shared" si="49"/>
        <v>30.4</v>
      </c>
      <c r="AT53" s="176">
        <f t="shared" si="50"/>
        <v>3.6</v>
      </c>
      <c r="AU53" s="173">
        <f t="shared" ca="1" si="53"/>
        <v>3.2089319791905736E-3</v>
      </c>
      <c r="AV53" s="285"/>
      <c r="AW53" s="173">
        <f t="shared" ca="1" si="51"/>
        <v>107.80496796089783</v>
      </c>
      <c r="AX53" s="285"/>
      <c r="AY53" s="312"/>
    </row>
    <row r="54" spans="7:51" x14ac:dyDescent="0.3">
      <c r="G54" s="229" t="s">
        <v>120</v>
      </c>
      <c r="H54" s="229"/>
      <c r="I54" s="102">
        <v>1.5E-6</v>
      </c>
      <c r="AI54" s="309"/>
      <c r="AJ54" s="102" t="s">
        <v>334</v>
      </c>
      <c r="AK54" s="102" t="s">
        <v>111</v>
      </c>
      <c r="AL54" s="23">
        <f ca="1">AN43+AY41</f>
        <v>-5.0233913706514053E-5</v>
      </c>
      <c r="AM54" s="23"/>
      <c r="AN54" s="23">
        <f t="shared" ca="1" si="47"/>
        <v>-5.0233913706514053E-5</v>
      </c>
      <c r="AO54" s="173">
        <f t="shared" ca="1" si="48"/>
        <v>4.406128741049415E-2</v>
      </c>
      <c r="AP54" s="170">
        <f t="shared" ca="1" si="52"/>
        <v>1390.8326846228888</v>
      </c>
      <c r="AQ54" s="179"/>
      <c r="AR54" s="179">
        <f t="shared" ca="1" si="55"/>
        <v>4.6015599653061789E-2</v>
      </c>
      <c r="AS54" s="170">
        <f t="shared" si="49"/>
        <v>66.599999999999994</v>
      </c>
      <c r="AT54" s="176">
        <f t="shared" si="50"/>
        <v>5.4</v>
      </c>
      <c r="AU54" s="173">
        <f t="shared" ca="1" si="53"/>
        <v>-8.4935346582586009E-3</v>
      </c>
      <c r="AV54" s="285"/>
      <c r="AW54" s="173">
        <f t="shared" ca="1" si="51"/>
        <v>169.07969201605741</v>
      </c>
      <c r="AX54" s="285"/>
      <c r="AY54" s="312"/>
    </row>
    <row r="55" spans="7:51" x14ac:dyDescent="0.3">
      <c r="G55" s="229" t="s">
        <v>429</v>
      </c>
      <c r="H55" s="229"/>
      <c r="I55" s="186">
        <v>1.207E-6</v>
      </c>
      <c r="AI55" s="310"/>
      <c r="AJ55" s="102" t="s">
        <v>333</v>
      </c>
      <c r="AK55" s="102" t="s">
        <v>111</v>
      </c>
      <c r="AL55" s="23">
        <f ca="1">AN44+AY41</f>
        <v>-9.023391370651407E-5</v>
      </c>
      <c r="AM55" s="23"/>
      <c r="AN55" s="23">
        <f t="shared" ca="1" si="47"/>
        <v>-9.023391370651407E-5</v>
      </c>
      <c r="AO55" s="173">
        <f t="shared" ca="1" si="48"/>
        <v>7.9146180590760576E-2</v>
      </c>
      <c r="AP55" s="170">
        <f t="shared" ca="1" si="52"/>
        <v>2498.3177137597158</v>
      </c>
      <c r="AQ55" s="179">
        <f ca="1">-2*LOG10(($AF$5/(3.7*$Z$5))+((2.51/AP55)*AQ55))</f>
        <v>4.6576427047481888</v>
      </c>
      <c r="AR55" s="179">
        <f t="shared" ca="1" si="54"/>
        <v>4.6096469031177159E-2</v>
      </c>
      <c r="AS55" s="170">
        <f t="shared" si="49"/>
        <v>30.4</v>
      </c>
      <c r="AT55" s="176">
        <f t="shared" si="50"/>
        <v>2.4</v>
      </c>
      <c r="AU55" s="173">
        <f t="shared" ca="1" si="53"/>
        <v>-1.2509202316697681E-2</v>
      </c>
      <c r="AV55" s="286"/>
      <c r="AW55" s="173">
        <f t="shared" ca="1" si="51"/>
        <v>138.63082961672126</v>
      </c>
      <c r="AX55" s="286"/>
      <c r="AY55" s="313"/>
    </row>
    <row r="56" spans="7:51" x14ac:dyDescent="0.3">
      <c r="G56" s="229" t="s">
        <v>110</v>
      </c>
      <c r="H56" s="229"/>
      <c r="I56" s="7">
        <f>VLOOKUP(H47,'Energia actual'!$B$4:$U$11,14,FALSE)</f>
        <v>6.1</v>
      </c>
    </row>
    <row r="57" spans="7:51" x14ac:dyDescent="0.3">
      <c r="G57" s="229" t="s">
        <v>17</v>
      </c>
      <c r="H57" s="229"/>
      <c r="I57" s="173">
        <f>I48-I49</f>
        <v>0.70570000000003574</v>
      </c>
      <c r="AI57" s="204" t="s">
        <v>421</v>
      </c>
      <c r="AJ57" s="204"/>
      <c r="AK57" s="204"/>
      <c r="AL57" s="204"/>
      <c r="AM57" s="204"/>
      <c r="AN57" s="204"/>
      <c r="AO57" s="204"/>
      <c r="AP57" s="204"/>
      <c r="AQ57" s="204"/>
      <c r="AR57" s="204"/>
      <c r="AS57" s="204"/>
      <c r="AT57" s="204"/>
      <c r="AU57" s="204"/>
      <c r="AV57" s="204"/>
      <c r="AW57" s="204"/>
      <c r="AX57" s="204"/>
      <c r="AY57" s="204"/>
    </row>
    <row r="58" spans="7:51" x14ac:dyDescent="0.3">
      <c r="G58" s="229" t="s">
        <v>425</v>
      </c>
      <c r="H58" s="168" t="s">
        <v>226</v>
      </c>
      <c r="I58" s="173">
        <f>VLOOKUP(H47,'Energia actual'!$B$4:$U$11,8,FALSE)</f>
        <v>4.5833333333333354E-4</v>
      </c>
      <c r="AI58" s="19"/>
      <c r="AJ58" s="19"/>
      <c r="AK58" s="168" t="s">
        <v>368</v>
      </c>
      <c r="AL58" s="293" t="s">
        <v>364</v>
      </c>
      <c r="AM58" s="294"/>
      <c r="AN58" s="294"/>
      <c r="AO58" s="168" t="s">
        <v>103</v>
      </c>
      <c r="AP58" s="168" t="s">
        <v>365</v>
      </c>
      <c r="AQ58" s="229" t="s">
        <v>366</v>
      </c>
      <c r="AR58" s="229"/>
      <c r="AS58" s="168" t="s">
        <v>409</v>
      </c>
      <c r="AT58" s="168" t="s">
        <v>110</v>
      </c>
      <c r="AU58" s="168" t="s">
        <v>410</v>
      </c>
      <c r="AV58" s="168" t="s">
        <v>411</v>
      </c>
      <c r="AW58" s="168" t="s">
        <v>414</v>
      </c>
      <c r="AX58" s="168" t="s">
        <v>415</v>
      </c>
      <c r="AY58" s="168" t="s">
        <v>119</v>
      </c>
    </row>
    <row r="59" spans="7:51" x14ac:dyDescent="0.3">
      <c r="G59" s="229"/>
      <c r="H59" s="168" t="s">
        <v>249</v>
      </c>
      <c r="I59" s="173">
        <f>I58*1000</f>
        <v>0.45833333333333354</v>
      </c>
      <c r="AI59" s="229" t="s">
        <v>404</v>
      </c>
      <c r="AJ59" s="102" t="s">
        <v>329</v>
      </c>
      <c r="AK59" s="102" t="s">
        <v>408</v>
      </c>
      <c r="AL59" s="23">
        <f ca="1">AN48+AY48</f>
        <v>7.1950989812111709E-5</v>
      </c>
      <c r="AM59" s="23"/>
      <c r="AN59" s="23">
        <f t="shared" ref="AN59:AN66" ca="1" si="56">IF(AM59="SI",(IF(AK59="-",IF(SIGN(AL59)=-1,AL59,-1*AL59),AL59))*-1,(IF(AK59="-",IF(SIGN(AL59)=-1,AL59,-1*AL59),AL59)))</f>
        <v>7.1950989812111709E-5</v>
      </c>
      <c r="AO59" s="173">
        <f t="shared" ref="AO59:AO66" ca="1" si="57">ABS(AN59/$AA$5)</f>
        <v>6.3109819794309394E-2</v>
      </c>
      <c r="AP59" s="170">
        <f ca="1">(AO59*$Z$5)/$AD$5</f>
        <v>1992.1161012122516</v>
      </c>
      <c r="AQ59" s="179"/>
      <c r="AR59" s="179">
        <f ca="1">64/AP59</f>
        <v>3.2126641595364061E-2</v>
      </c>
      <c r="AS59" s="170">
        <f t="shared" ref="AS59:AS66" si="58">VLOOKUP(AJ59,$V$5:$AG$11,7,FALSE)</f>
        <v>67.8</v>
      </c>
      <c r="AT59" s="176">
        <f t="shared" ref="AT59:AT66" si="59">VLOOKUP(AJ59,$V$5:$AG$11,12,FALSE)</f>
        <v>6.3</v>
      </c>
      <c r="AU59" s="173">
        <f ca="1">IF(SIGN(AN59)=-1,-1*(((AN59^2)/(2*9.81*($AA$5^2)))*((AT59)+(AR59*(AS59/$Z$5)))),1*(((AN59^2)/(2*9.81*($AA$5^2)))*((AS59)+(AR59*(AS59/$Z$5)))))</f>
        <v>2.536889174500695E-2</v>
      </c>
      <c r="AV59" s="266">
        <f ca="1">SUM(AU59:AU62)</f>
        <v>2.6403594607867648E-5</v>
      </c>
      <c r="AW59" s="173">
        <f t="shared" ref="AW59:AW66" ca="1" si="60">AU59/AN59</f>
        <v>352.58572274340742</v>
      </c>
      <c r="AX59" s="266">
        <f ca="1">SUM(AW59:AW62)</f>
        <v>623.42638898534005</v>
      </c>
      <c r="AY59" s="307">
        <f ca="1">-(AV59/(2*AX59))</f>
        <v>-2.1176192630248551E-8</v>
      </c>
    </row>
    <row r="60" spans="7:51" x14ac:dyDescent="0.3">
      <c r="G60" s="229" t="s">
        <v>432</v>
      </c>
      <c r="H60" s="229"/>
      <c r="I60" s="173">
        <f>I58/I52</f>
        <v>0.40201440102388608</v>
      </c>
      <c r="AI60" s="229"/>
      <c r="AJ60" s="102" t="s">
        <v>331</v>
      </c>
      <c r="AK60" s="102" t="s">
        <v>408</v>
      </c>
      <c r="AL60" s="23">
        <f ca="1">AN49+AY48</f>
        <v>3.1950989812111713E-5</v>
      </c>
      <c r="AM60" s="23"/>
      <c r="AN60" s="23">
        <f t="shared" ca="1" si="56"/>
        <v>3.1950989812111713E-5</v>
      </c>
      <c r="AO60" s="173">
        <f t="shared" ca="1" si="57"/>
        <v>2.8024926614042992E-2</v>
      </c>
      <c r="AP60" s="170">
        <f t="shared" ref="AP60:AP66" ca="1" si="61">(AO60*$Z$5)/$AD$5</f>
        <v>884.63107207542487</v>
      </c>
      <c r="AQ60" s="179"/>
      <c r="AR60" s="179">
        <f ca="1">64/AP60</f>
        <v>7.2346543118647397E-2</v>
      </c>
      <c r="AS60" s="170">
        <f t="shared" si="58"/>
        <v>5.21</v>
      </c>
      <c r="AT60" s="176">
        <f t="shared" si="59"/>
        <v>2.1</v>
      </c>
      <c r="AU60" s="173">
        <f t="shared" ref="AU60:AU66" ca="1" si="62">IF(SIGN(AN60)=-1,-1*(((AN60^2)/(2*9.81*($AA$5^2)))*((AT60)+(AR60*(AS60/$Z$5)))),1*(((AN60^2)/(2*9.81*($AA$5^2)))*((AS60)+(AR60*(AS60/$Z$5)))))</f>
        <v>6.0458148084254349E-4</v>
      </c>
      <c r="AV60" s="229"/>
      <c r="AW60" s="173">
        <f t="shared" ca="1" si="60"/>
        <v>18.922151845617122</v>
      </c>
      <c r="AX60" s="229"/>
      <c r="AY60" s="307"/>
    </row>
    <row r="61" spans="7:51" x14ac:dyDescent="0.3">
      <c r="G61" s="26"/>
      <c r="H61" s="26"/>
      <c r="I61" s="26"/>
      <c r="AI61" s="229"/>
      <c r="AJ61" s="102" t="s">
        <v>356</v>
      </c>
      <c r="AK61" s="102" t="s">
        <v>111</v>
      </c>
      <c r="AL61" s="23">
        <f ca="1">AN52+AY52</f>
        <v>5.7748982858361738E-5</v>
      </c>
      <c r="AM61" s="23"/>
      <c r="AN61" s="23">
        <f t="shared" ca="1" si="56"/>
        <v>-5.7748982858361738E-5</v>
      </c>
      <c r="AO61" s="173">
        <f t="shared" ca="1" si="57"/>
        <v>5.0652922371366434E-2</v>
      </c>
      <c r="AP61" s="170">
        <f t="shared" ca="1" si="61"/>
        <v>1598.9033490878714</v>
      </c>
      <c r="AQ61" s="179"/>
      <c r="AR61" s="179">
        <f ca="1">64/AP61</f>
        <v>4.0027435076992093E-2</v>
      </c>
      <c r="AS61" s="170">
        <f t="shared" si="58"/>
        <v>66.599999999999994</v>
      </c>
      <c r="AT61" s="176">
        <f t="shared" si="59"/>
        <v>5.4</v>
      </c>
      <c r="AU61" s="173">
        <f t="shared" ca="1" si="62"/>
        <v>-9.8560753480351621E-3</v>
      </c>
      <c r="AV61" s="229"/>
      <c r="AW61" s="173">
        <f t="shared" ca="1" si="60"/>
        <v>170.67097739554484</v>
      </c>
      <c r="AX61" s="229"/>
      <c r="AY61" s="307"/>
    </row>
    <row r="62" spans="7:51" x14ac:dyDescent="0.3">
      <c r="G62" s="168" t="s">
        <v>118</v>
      </c>
      <c r="H62" s="303" t="s">
        <v>326</v>
      </c>
      <c r="I62" s="303"/>
      <c r="AI62" s="229"/>
      <c r="AJ62" s="102" t="s">
        <v>330</v>
      </c>
      <c r="AK62" s="102" t="s">
        <v>111</v>
      </c>
      <c r="AL62" s="23">
        <f ca="1">AN51+AY48</f>
        <v>-1.9804901018788832E-4</v>
      </c>
      <c r="AM62" s="23"/>
      <c r="AN62" s="23">
        <f t="shared" ca="1" si="56"/>
        <v>-1.9804901018788832E-4</v>
      </c>
      <c r="AO62" s="173">
        <f t="shared" ca="1" si="57"/>
        <v>0.17371320917248886</v>
      </c>
      <c r="AP62" s="170">
        <f t="shared" ca="1" si="61"/>
        <v>5483.4078454613291</v>
      </c>
      <c r="AQ62" s="179">
        <f ca="1">-2*LOG10(($AF$5/(3.7*$Z$5))+((2.51/AP62)*AQ62))</f>
        <v>5.2367782268222749</v>
      </c>
      <c r="AR62" s="179">
        <f t="shared" ref="AR62:AR66" ca="1" si="63">(1/AQ62)^2</f>
        <v>3.6464615241034885E-2</v>
      </c>
      <c r="AS62" s="170">
        <f t="shared" si="58"/>
        <v>5.7069999999999999</v>
      </c>
      <c r="AT62" s="176">
        <f t="shared" si="59"/>
        <v>5</v>
      </c>
      <c r="AU62" s="173">
        <f t="shared" ca="1" si="62"/>
        <v>-1.609099428320647E-2</v>
      </c>
      <c r="AV62" s="229"/>
      <c r="AW62" s="173">
        <f t="shared" ca="1" si="60"/>
        <v>81.247537000770706</v>
      </c>
      <c r="AX62" s="229"/>
      <c r="AY62" s="307"/>
    </row>
    <row r="63" spans="7:51" x14ac:dyDescent="0.3">
      <c r="G63" s="229" t="s">
        <v>430</v>
      </c>
      <c r="H63" s="229"/>
      <c r="I63" s="174">
        <f>VLOOKUP(H62,'Energia actual'!$B$4:$U$11,3,FALSE)</f>
        <v>423.36699999999996</v>
      </c>
      <c r="AI63" s="308" t="s">
        <v>405</v>
      </c>
      <c r="AJ63" s="102" t="s">
        <v>356</v>
      </c>
      <c r="AK63" s="102" t="s">
        <v>408</v>
      </c>
      <c r="AL63" s="182">
        <f ca="1">AN61+AY59</f>
        <v>-5.7770159050991986E-5</v>
      </c>
      <c r="AM63" s="182" t="s">
        <v>423</v>
      </c>
      <c r="AN63" s="182">
        <f t="shared" ca="1" si="56"/>
        <v>5.7770159050991986E-5</v>
      </c>
      <c r="AO63" s="173">
        <f t="shared" ca="1" si="57"/>
        <v>5.0671496482776357E-2</v>
      </c>
      <c r="AP63" s="170">
        <f t="shared" ca="1" si="61"/>
        <v>1599.4896569956743</v>
      </c>
      <c r="AQ63" s="179"/>
      <c r="AR63" s="179">
        <f ca="1">64/AP63</f>
        <v>4.0012762645937561E-2</v>
      </c>
      <c r="AS63" s="170">
        <f t="shared" si="58"/>
        <v>66.599999999999994</v>
      </c>
      <c r="AT63" s="176">
        <f t="shared" si="59"/>
        <v>5.4</v>
      </c>
      <c r="AU63" s="173">
        <f t="shared" ca="1" si="62"/>
        <v>1.7868977805987552E-2</v>
      </c>
      <c r="AV63" s="258">
        <f ca="1">SUM(AU63:AU66)</f>
        <v>3.8186646236041191E-5</v>
      </c>
      <c r="AW63" s="173">
        <f t="shared" ca="1" si="60"/>
        <v>309.31155633854394</v>
      </c>
      <c r="AX63" s="258">
        <f ca="1">SUM(AW63:AW66)</f>
        <v>724.83388537903943</v>
      </c>
      <c r="AY63" s="311">
        <f ca="1">-(AV63/(2*AX63))</f>
        <v>-2.6341653588719947E-8</v>
      </c>
    </row>
    <row r="64" spans="7:51" x14ac:dyDescent="0.3">
      <c r="G64" s="229" t="s">
        <v>431</v>
      </c>
      <c r="H64" s="229"/>
      <c r="I64" s="173">
        <f>VLOOKUP(H62,'Energia actual'!$B$4:$U$11,5,FALSE)</f>
        <v>423.65</v>
      </c>
      <c r="AI64" s="309"/>
      <c r="AJ64" s="102" t="s">
        <v>332</v>
      </c>
      <c r="AK64" s="102" t="s">
        <v>408</v>
      </c>
      <c r="AL64" s="23">
        <f ca="1">AN53+AY52</f>
        <v>2.9699972670473463E-5</v>
      </c>
      <c r="AM64" s="23"/>
      <c r="AN64" s="23">
        <f t="shared" ca="1" si="56"/>
        <v>2.9699972670473463E-5</v>
      </c>
      <c r="AO64" s="173">
        <f t="shared" ca="1" si="57"/>
        <v>2.6050509215009825E-2</v>
      </c>
      <c r="AP64" s="170">
        <f t="shared" ca="1" si="61"/>
        <v>822.30687745805642</v>
      </c>
      <c r="AQ64" s="179"/>
      <c r="AR64" s="179">
        <f t="shared" ref="AR64:AR65" ca="1" si="64">64/AP64</f>
        <v>7.7829824551436347E-2</v>
      </c>
      <c r="AS64" s="170">
        <f t="shared" si="58"/>
        <v>30.4</v>
      </c>
      <c r="AT64" s="176">
        <f t="shared" si="59"/>
        <v>3.6</v>
      </c>
      <c r="AU64" s="173">
        <f t="shared" ca="1" si="62"/>
        <v>3.1994639228398189E-3</v>
      </c>
      <c r="AV64" s="285"/>
      <c r="AW64" s="173">
        <f t="shared" ca="1" si="60"/>
        <v>107.72615713618482</v>
      </c>
      <c r="AX64" s="285"/>
      <c r="AY64" s="312"/>
    </row>
    <row r="65" spans="7:51" x14ac:dyDescent="0.3">
      <c r="G65" s="229" t="s">
        <v>63</v>
      </c>
      <c r="H65" s="168" t="s">
        <v>57</v>
      </c>
      <c r="I65" s="7">
        <f>VLOOKUP(H62,'Energia actual'!$B$4:$U$11,9,FALSE)</f>
        <v>1.5</v>
      </c>
      <c r="AI65" s="309"/>
      <c r="AJ65" s="102" t="s">
        <v>334</v>
      </c>
      <c r="AK65" s="102" t="s">
        <v>111</v>
      </c>
      <c r="AL65" s="23">
        <f ca="1">AN54+AY52</f>
        <v>-5.030002732952655E-5</v>
      </c>
      <c r="AM65" s="23"/>
      <c r="AN65" s="23">
        <f t="shared" ca="1" si="56"/>
        <v>-5.030002732952655E-5</v>
      </c>
      <c r="AO65" s="173">
        <f t="shared" ca="1" si="57"/>
        <v>4.4119277145523002E-2</v>
      </c>
      <c r="AP65" s="170">
        <f t="shared" ca="1" si="61"/>
        <v>1392.6631808155973</v>
      </c>
      <c r="AQ65" s="179"/>
      <c r="AR65" s="179">
        <f t="shared" ca="1" si="64"/>
        <v>4.5955117419359884E-2</v>
      </c>
      <c r="AS65" s="170">
        <f t="shared" si="58"/>
        <v>66.599999999999994</v>
      </c>
      <c r="AT65" s="176">
        <f t="shared" si="59"/>
        <v>5.4</v>
      </c>
      <c r="AU65" s="173">
        <f t="shared" ca="1" si="62"/>
        <v>-8.5054172940071775E-3</v>
      </c>
      <c r="AV65" s="285"/>
      <c r="AW65" s="173">
        <f t="shared" ca="1" si="60"/>
        <v>169.0936913072893</v>
      </c>
      <c r="AX65" s="285"/>
      <c r="AY65" s="312"/>
    </row>
    <row r="66" spans="7:51" x14ac:dyDescent="0.3">
      <c r="G66" s="229"/>
      <c r="H66" s="168" t="s">
        <v>106</v>
      </c>
      <c r="I66" s="173">
        <f>I65*0.0254</f>
        <v>3.8099999999999995E-2</v>
      </c>
      <c r="AI66" s="310"/>
      <c r="AJ66" s="102" t="s">
        <v>333</v>
      </c>
      <c r="AK66" s="102" t="s">
        <v>111</v>
      </c>
      <c r="AL66" s="23">
        <f ca="1">AN55+AY52</f>
        <v>-9.0300027329526567E-5</v>
      </c>
      <c r="AM66" s="23"/>
      <c r="AN66" s="23">
        <f t="shared" ca="1" si="56"/>
        <v>-9.0300027329526567E-5</v>
      </c>
      <c r="AO66" s="173">
        <f t="shared" ca="1" si="57"/>
        <v>7.9204170325789414E-2</v>
      </c>
      <c r="AP66" s="170">
        <f t="shared" ca="1" si="61"/>
        <v>2500.1482099524242</v>
      </c>
      <c r="AQ66" s="179">
        <f ca="1">-2*LOG10(($AF$5/(3.7*$Z$5))+((2.51/AP66)*AQ66))</f>
        <v>4.6581778671895417</v>
      </c>
      <c r="AR66" s="179">
        <f t="shared" ca="1" si="63"/>
        <v>4.608587790197053E-2</v>
      </c>
      <c r="AS66" s="170">
        <f t="shared" si="58"/>
        <v>30.4</v>
      </c>
      <c r="AT66" s="176">
        <f t="shared" si="59"/>
        <v>2.4</v>
      </c>
      <c r="AU66" s="173">
        <f t="shared" ca="1" si="62"/>
        <v>-1.252483778858415E-2</v>
      </c>
      <c r="AV66" s="286"/>
      <c r="AW66" s="173">
        <f t="shared" ca="1" si="60"/>
        <v>138.70248059702129</v>
      </c>
      <c r="AX66" s="286"/>
      <c r="AY66" s="313"/>
    </row>
    <row r="67" spans="7:51" x14ac:dyDescent="0.3">
      <c r="G67" s="229" t="s">
        <v>391</v>
      </c>
      <c r="H67" s="229"/>
      <c r="I67" s="183">
        <f>PI()*((I66^2)/4)</f>
        <v>1.1400918279693697E-3</v>
      </c>
    </row>
    <row r="68" spans="7:51" x14ac:dyDescent="0.3">
      <c r="G68" s="229" t="s">
        <v>337</v>
      </c>
      <c r="H68" s="229"/>
      <c r="I68" s="168">
        <f>VLOOKUP(H62,'Energia actual'!$B$4:$U$11,13,FALSE)</f>
        <v>30.6</v>
      </c>
      <c r="AI68" s="204" t="s">
        <v>422</v>
      </c>
      <c r="AJ68" s="204"/>
      <c r="AK68" s="204"/>
      <c r="AL68" s="204"/>
      <c r="AM68" s="204"/>
      <c r="AN68" s="204"/>
      <c r="AO68" s="204"/>
      <c r="AP68" s="204"/>
      <c r="AQ68" s="204"/>
      <c r="AR68" s="204"/>
      <c r="AS68" s="204"/>
      <c r="AT68" s="204"/>
      <c r="AU68" s="204"/>
      <c r="AV68" s="204"/>
      <c r="AW68" s="204"/>
      <c r="AX68" s="204"/>
      <c r="AY68" s="204"/>
    </row>
    <row r="69" spans="7:51" x14ac:dyDescent="0.3">
      <c r="G69" s="229" t="s">
        <v>120</v>
      </c>
      <c r="H69" s="229"/>
      <c r="I69" s="102">
        <v>1.5E-6</v>
      </c>
      <c r="AI69" s="19"/>
      <c r="AJ69" s="19"/>
      <c r="AK69" s="168" t="s">
        <v>368</v>
      </c>
      <c r="AL69" s="293" t="s">
        <v>364</v>
      </c>
      <c r="AM69" s="294"/>
      <c r="AN69" s="294"/>
      <c r="AO69" s="168" t="s">
        <v>103</v>
      </c>
      <c r="AP69" s="168" t="s">
        <v>365</v>
      </c>
      <c r="AQ69" s="229" t="s">
        <v>366</v>
      </c>
      <c r="AR69" s="229"/>
      <c r="AS69" s="168" t="s">
        <v>409</v>
      </c>
      <c r="AT69" s="168" t="s">
        <v>110</v>
      </c>
      <c r="AU69" s="168" t="s">
        <v>410</v>
      </c>
      <c r="AV69" s="168" t="s">
        <v>411</v>
      </c>
      <c r="AW69" s="168" t="s">
        <v>414</v>
      </c>
      <c r="AX69" s="168" t="s">
        <v>415</v>
      </c>
      <c r="AY69" s="168" t="s">
        <v>119</v>
      </c>
    </row>
    <row r="70" spans="7:51" x14ac:dyDescent="0.3">
      <c r="G70" s="229" t="s">
        <v>429</v>
      </c>
      <c r="H70" s="229"/>
      <c r="I70" s="186">
        <v>1.207E-6</v>
      </c>
      <c r="AI70" s="229" t="s">
        <v>404</v>
      </c>
      <c r="AJ70" s="102" t="s">
        <v>329</v>
      </c>
      <c r="AK70" s="102" t="s">
        <v>408</v>
      </c>
      <c r="AL70" s="23">
        <f ca="1">AN59+AY59</f>
        <v>7.1929813619481462E-5</v>
      </c>
      <c r="AM70" s="23"/>
      <c r="AN70" s="23">
        <f t="shared" ref="AN70:AN77" ca="1" si="65">IF(AM70="SI",(IF(AK70="-",IF(SIGN(AL70)=-1,AL70,-1*AL70),AL70))*-1,(IF(AK70="-",IF(SIGN(AL70)=-1,AL70,-1*AL70),AL70)))</f>
        <v>7.1929813619481462E-5</v>
      </c>
      <c r="AO70" s="173">
        <f t="shared" ref="AO70:AO77" ca="1" si="66">ABS(AN70/$AA$5)</f>
        <v>6.3091245682899477E-2</v>
      </c>
      <c r="AP70" s="170">
        <f ca="1">(AO70*$Z$5)/$AD$5</f>
        <v>1991.529793304449</v>
      </c>
      <c r="AQ70" s="179"/>
      <c r="AR70" s="179">
        <f ca="1">64/AP70</f>
        <v>3.2136099703438482E-2</v>
      </c>
      <c r="AS70" s="170">
        <f t="shared" ref="AS70:AS77" si="67">VLOOKUP(AJ70,$V$5:$AG$11,7,FALSE)</f>
        <v>67.8</v>
      </c>
      <c r="AT70" s="176">
        <f t="shared" ref="AT70:AT77" si="68">VLOOKUP(AJ70,$V$5:$AG$11,12,FALSE)</f>
        <v>6.3</v>
      </c>
      <c r="AU70" s="173">
        <f ca="1">IF(SIGN(AN70)=-1,-1*(((AN70^2)/(2*9.81*($AA$5^2)))*((AT70)+(AR70*(AS70/$Z$5)))),1*(((AN70^2)/(2*9.81*($AA$5^2)))*((AS70)+(AR70*(AS70/$Z$5)))))</f>
        <v>2.5357375761812063E-2</v>
      </c>
      <c r="AV70" s="266">
        <f ca="1">SUM(AU70:AU73)</f>
        <v>1.2106966002199682E-5</v>
      </c>
      <c r="AW70" s="173">
        <f t="shared" ref="AW70:AW77" ca="1" si="69">AU70/AN70</f>
        <v>352.52942397370919</v>
      </c>
      <c r="AX70" s="266">
        <f ca="1">SUM(AW70:AW73)</f>
        <v>623.37207191796711</v>
      </c>
      <c r="AY70" s="307">
        <f ca="1">-(AV70/(2*AX70))</f>
        <v>-9.7108665495307137E-9</v>
      </c>
    </row>
    <row r="71" spans="7:51" x14ac:dyDescent="0.3">
      <c r="G71" s="229" t="s">
        <v>110</v>
      </c>
      <c r="H71" s="229"/>
      <c r="I71" s="7">
        <f>VLOOKUP(H62,'Energia actual'!$B$4:$U$11,14,FALSE)</f>
        <v>3.6</v>
      </c>
      <c r="AI71" s="229"/>
      <c r="AJ71" s="102" t="s">
        <v>331</v>
      </c>
      <c r="AK71" s="102" t="s">
        <v>408</v>
      </c>
      <c r="AL71" s="23">
        <f ca="1">AN60+AY59</f>
        <v>3.1929813619481465E-5</v>
      </c>
      <c r="AM71" s="23"/>
      <c r="AN71" s="23">
        <f t="shared" ca="1" si="65"/>
        <v>3.1929813619481465E-5</v>
      </c>
      <c r="AO71" s="173">
        <f t="shared" ca="1" si="66"/>
        <v>2.8006352502633069E-2</v>
      </c>
      <c r="AP71" s="170">
        <f t="shared" ref="AP71:AP77" ca="1" si="70">(AO71*$Z$5)/$AD$5</f>
        <v>884.04476416762191</v>
      </c>
      <c r="AQ71" s="179"/>
      <c r="AR71" s="179">
        <f ca="1">64/AP71</f>
        <v>7.2394524116954212E-2</v>
      </c>
      <c r="AS71" s="170">
        <f t="shared" si="67"/>
        <v>5.21</v>
      </c>
      <c r="AT71" s="176">
        <f t="shared" si="68"/>
        <v>2.1</v>
      </c>
      <c r="AU71" s="173">
        <f t="shared" ref="AU71:AU77" ca="1" si="71">IF(SIGN(AN71)=-1,-1*(((AN71^2)/(2*9.81*($AA$5^2)))*((AT71)+(AR71*(AS71/$Z$5)))),1*(((AN71^2)/(2*9.81*($AA$5^2)))*((AS71)+(AR71*(AS71/$Z$5)))))</f>
        <v>6.040426468420252E-4</v>
      </c>
      <c r="AV71" s="229"/>
      <c r="AW71" s="173">
        <f t="shared" ca="1" si="69"/>
        <v>18.917825642222923</v>
      </c>
      <c r="AX71" s="229"/>
      <c r="AY71" s="307"/>
    </row>
    <row r="72" spans="7:51" x14ac:dyDescent="0.3">
      <c r="G72" s="229" t="s">
        <v>17</v>
      </c>
      <c r="H72" s="229"/>
      <c r="I72" s="173">
        <f>I63-I64</f>
        <v>-0.28300000000001546</v>
      </c>
      <c r="AI72" s="229"/>
      <c r="AJ72" s="102" t="s">
        <v>356</v>
      </c>
      <c r="AK72" s="102" t="s">
        <v>111</v>
      </c>
      <c r="AL72" s="23">
        <f ca="1">AN63+AY63</f>
        <v>5.7743817397403269E-5</v>
      </c>
      <c r="AM72" s="23"/>
      <c r="AN72" s="23">
        <f t="shared" ca="1" si="65"/>
        <v>-5.7743817397403269E-5</v>
      </c>
      <c r="AO72" s="173">
        <f t="shared" ca="1" si="66"/>
        <v>5.0648391630217567E-2</v>
      </c>
      <c r="AP72" s="170">
        <f t="shared" ca="1" si="70"/>
        <v>1598.7603323208691</v>
      </c>
      <c r="AQ72" s="179"/>
      <c r="AR72" s="179">
        <f ca="1">64/AP72</f>
        <v>4.00310157227214E-2</v>
      </c>
      <c r="AS72" s="170">
        <f t="shared" si="67"/>
        <v>66.599999999999994</v>
      </c>
      <c r="AT72" s="176">
        <f t="shared" si="68"/>
        <v>5.4</v>
      </c>
      <c r="AU72" s="173">
        <f t="shared" ca="1" si="71"/>
        <v>-9.8551305955760365E-3</v>
      </c>
      <c r="AV72" s="229"/>
      <c r="AW72" s="173">
        <f t="shared" ca="1" si="69"/>
        <v>170.6698836301602</v>
      </c>
      <c r="AX72" s="229"/>
      <c r="AY72" s="307"/>
    </row>
    <row r="73" spans="7:51" x14ac:dyDescent="0.3">
      <c r="G73" s="229" t="s">
        <v>425</v>
      </c>
      <c r="H73" s="168" t="s">
        <v>226</v>
      </c>
      <c r="I73" s="173">
        <f ca="1">VLOOKUP(H62,'Energia actual'!$B$4:$U$11,8,FALSE)</f>
        <v>3.1629629629629634E-4</v>
      </c>
      <c r="AI73" s="229"/>
      <c r="AJ73" s="102" t="s">
        <v>330</v>
      </c>
      <c r="AK73" s="102" t="s">
        <v>111</v>
      </c>
      <c r="AL73" s="23">
        <f ca="1">AN62+AY59</f>
        <v>-1.9807018638051858E-4</v>
      </c>
      <c r="AM73" s="23"/>
      <c r="AN73" s="23">
        <f t="shared" ca="1" si="65"/>
        <v>-1.9807018638051858E-4</v>
      </c>
      <c r="AO73" s="173">
        <f t="shared" ca="1" si="66"/>
        <v>0.17373178328389882</v>
      </c>
      <c r="AP73" s="170">
        <f t="shared" ca="1" si="70"/>
        <v>5483.9941533691335</v>
      </c>
      <c r="AQ73" s="179">
        <f ca="1">-2*LOG10(($AF$5/(3.7*$Z$5))+((2.51/AP73)*AQ73))</f>
        <v>5.2368575807960926</v>
      </c>
      <c r="AR73" s="179">
        <f t="shared" ref="AR73:AR77" ca="1" si="72">(1/AQ73)^2</f>
        <v>3.6463510154576044E-2</v>
      </c>
      <c r="AS73" s="170">
        <f t="shared" si="67"/>
        <v>5.7069999999999999</v>
      </c>
      <c r="AT73" s="176">
        <f t="shared" si="68"/>
        <v>5</v>
      </c>
      <c r="AU73" s="173">
        <f t="shared" ca="1" si="71"/>
        <v>-1.6094180847075867E-2</v>
      </c>
      <c r="AV73" s="229"/>
      <c r="AW73" s="173">
        <f t="shared" ca="1" si="69"/>
        <v>81.254938671874896</v>
      </c>
      <c r="AX73" s="229"/>
      <c r="AY73" s="307"/>
    </row>
    <row r="74" spans="7:51" x14ac:dyDescent="0.3">
      <c r="G74" s="229"/>
      <c r="H74" s="168" t="s">
        <v>249</v>
      </c>
      <c r="I74" s="173">
        <f ca="1">I73*1000</f>
        <v>0.31629629629629635</v>
      </c>
      <c r="AI74" s="308" t="s">
        <v>405</v>
      </c>
      <c r="AJ74" s="102" t="s">
        <v>356</v>
      </c>
      <c r="AK74" s="102" t="s">
        <v>408</v>
      </c>
      <c r="AL74" s="182">
        <f ca="1">AN72+AY70</f>
        <v>-5.7753528263952799E-5</v>
      </c>
      <c r="AM74" s="182" t="s">
        <v>423</v>
      </c>
      <c r="AN74" s="182">
        <f t="shared" ca="1" si="65"/>
        <v>5.7753528263952799E-5</v>
      </c>
      <c r="AO74" s="173">
        <f t="shared" ca="1" si="66"/>
        <v>5.0656909248107021E-2</v>
      </c>
      <c r="AP74" s="170">
        <f t="shared" ca="1" si="70"/>
        <v>1599.0291983039579</v>
      </c>
      <c r="AQ74" s="179"/>
      <c r="AR74" s="179">
        <f ca="1">64/AP74</f>
        <v>4.0024284777215369E-2</v>
      </c>
      <c r="AS74" s="170">
        <f t="shared" si="67"/>
        <v>66.599999999999994</v>
      </c>
      <c r="AT74" s="176">
        <f t="shared" si="68"/>
        <v>5.4</v>
      </c>
      <c r="AU74" s="173">
        <f t="shared" ca="1" si="71"/>
        <v>1.7861325368590596E-2</v>
      </c>
      <c r="AV74" s="258">
        <f ca="1">SUM(AU74:AU77)</f>
        <v>1.5797862465695769E-5</v>
      </c>
      <c r="AW74" s="173">
        <f t="shared" ca="1" si="69"/>
        <v>309.26812448511214</v>
      </c>
      <c r="AX74" s="258">
        <f ca="1">SUM(AW74:AW77)</f>
        <v>724.79317519626181</v>
      </c>
      <c r="AY74" s="311">
        <f ca="1">-(AV74/(2*AX74))</f>
        <v>-1.0898186549161403E-8</v>
      </c>
    </row>
    <row r="75" spans="7:51" x14ac:dyDescent="0.3">
      <c r="G75" s="229" t="s">
        <v>432</v>
      </c>
      <c r="H75" s="229"/>
      <c r="I75" s="173">
        <f ca="1">I73/I67</f>
        <v>0.27743054422173624</v>
      </c>
      <c r="AI75" s="309"/>
      <c r="AJ75" s="102" t="s">
        <v>332</v>
      </c>
      <c r="AK75" s="102" t="s">
        <v>408</v>
      </c>
      <c r="AL75" s="23">
        <f ca="1">AN64+AY63</f>
        <v>2.9673631016884743E-5</v>
      </c>
      <c r="AM75" s="23"/>
      <c r="AN75" s="23">
        <f t="shared" ca="1" si="65"/>
        <v>2.9673631016884743E-5</v>
      </c>
      <c r="AO75" s="173">
        <f t="shared" ca="1" si="66"/>
        <v>2.6027404362451032E-2</v>
      </c>
      <c r="AP75" s="170">
        <f t="shared" ca="1" si="70"/>
        <v>821.57755278325124</v>
      </c>
      <c r="AQ75" s="179"/>
      <c r="AR75" s="179">
        <f t="shared" ref="AR75:AR76" ca="1" si="73">64/AP75</f>
        <v>7.7898915060650997E-2</v>
      </c>
      <c r="AS75" s="170">
        <f t="shared" si="67"/>
        <v>30.4</v>
      </c>
      <c r="AT75" s="176">
        <f t="shared" si="68"/>
        <v>3.6</v>
      </c>
      <c r="AU75" s="173">
        <f t="shared" ca="1" si="71"/>
        <v>3.195694467902209E-3</v>
      </c>
      <c r="AV75" s="285"/>
      <c r="AW75" s="173">
        <f t="shared" ca="1" si="69"/>
        <v>107.69475653599018</v>
      </c>
      <c r="AX75" s="285"/>
      <c r="AY75" s="312"/>
    </row>
    <row r="76" spans="7:51" x14ac:dyDescent="0.3">
      <c r="G76" s="26"/>
      <c r="H76" s="26"/>
      <c r="I76" s="26"/>
      <c r="AI76" s="309"/>
      <c r="AJ76" s="102" t="s">
        <v>334</v>
      </c>
      <c r="AK76" s="102" t="s">
        <v>111</v>
      </c>
      <c r="AL76" s="23">
        <f ca="1">AN65+AY63</f>
        <v>-5.0326368983115267E-5</v>
      </c>
      <c r="AM76" s="23"/>
      <c r="AN76" s="23">
        <f t="shared" ca="1" si="65"/>
        <v>-5.0326368983115267E-5</v>
      </c>
      <c r="AO76" s="173">
        <f t="shared" ca="1" si="66"/>
        <v>4.4142381998081792E-2</v>
      </c>
      <c r="AP76" s="170">
        <f t="shared" ca="1" si="70"/>
        <v>1393.3925054904025</v>
      </c>
      <c r="AQ76" s="179"/>
      <c r="AR76" s="179">
        <f t="shared" ca="1" si="73"/>
        <v>4.5931063751111029E-2</v>
      </c>
      <c r="AS76" s="170">
        <f t="shared" si="67"/>
        <v>66.599999999999994</v>
      </c>
      <c r="AT76" s="176">
        <f t="shared" si="68"/>
        <v>5.4</v>
      </c>
      <c r="AU76" s="173">
        <f t="shared" ca="1" si="71"/>
        <v>-8.5101522087579987E-3</v>
      </c>
      <c r="AV76" s="285"/>
      <c r="AW76" s="173">
        <f t="shared" ca="1" si="69"/>
        <v>169.0992690454818</v>
      </c>
      <c r="AX76" s="285"/>
      <c r="AY76" s="312"/>
    </row>
    <row r="77" spans="7:51" x14ac:dyDescent="0.3">
      <c r="G77" s="168" t="s">
        <v>118</v>
      </c>
      <c r="H77" s="303" t="s">
        <v>327</v>
      </c>
      <c r="I77" s="303"/>
      <c r="AI77" s="310"/>
      <c r="AJ77" s="102" t="s">
        <v>333</v>
      </c>
      <c r="AK77" s="102" t="s">
        <v>111</v>
      </c>
      <c r="AL77" s="23">
        <f ca="1">AN66+AY63</f>
        <v>-9.0326368983115291E-5</v>
      </c>
      <c r="AM77" s="23"/>
      <c r="AN77" s="23">
        <f t="shared" ca="1" si="65"/>
        <v>-9.0326368983115291E-5</v>
      </c>
      <c r="AO77" s="173">
        <f t="shared" ca="1" si="66"/>
        <v>7.9227275178348225E-2</v>
      </c>
      <c r="AP77" s="170">
        <f t="shared" ca="1" si="70"/>
        <v>2500.8775346272305</v>
      </c>
      <c r="AQ77" s="179">
        <f ca="1">-2*LOG10(($AF$5/(3.7*$Z$5))+((2.51/AP77)*AQ77))</f>
        <v>4.6583909853434573</v>
      </c>
      <c r="AR77" s="179">
        <f t="shared" ca="1" si="72"/>
        <v>4.6081661204582049E-2</v>
      </c>
      <c r="AS77" s="170">
        <f t="shared" si="67"/>
        <v>30.4</v>
      </c>
      <c r="AT77" s="176">
        <f t="shared" si="68"/>
        <v>2.4</v>
      </c>
      <c r="AU77" s="173">
        <f t="shared" ca="1" si="71"/>
        <v>-1.2531069765269111E-2</v>
      </c>
      <c r="AV77" s="286"/>
      <c r="AW77" s="173">
        <f t="shared" ca="1" si="69"/>
        <v>138.73102512967773</v>
      </c>
      <c r="AX77" s="286"/>
      <c r="AY77" s="313"/>
    </row>
    <row r="78" spans="7:51" x14ac:dyDescent="0.3">
      <c r="G78" s="229" t="s">
        <v>430</v>
      </c>
      <c r="H78" s="229"/>
      <c r="I78" s="174">
        <f>VLOOKUP(H77,'Energia actual'!$B$4:$U$11,3,FALSE)</f>
        <v>423.36699999999996</v>
      </c>
    </row>
    <row r="79" spans="7:51" x14ac:dyDescent="0.3">
      <c r="G79" s="229" t="s">
        <v>431</v>
      </c>
      <c r="H79" s="229"/>
      <c r="I79" s="173">
        <f>VLOOKUP(H77,'Energia actual'!$B$4:$U$11,5,FALSE)</f>
        <v>422.666</v>
      </c>
    </row>
    <row r="80" spans="7:51" x14ac:dyDescent="0.3">
      <c r="G80" s="229" t="s">
        <v>63</v>
      </c>
      <c r="H80" s="168" t="s">
        <v>57</v>
      </c>
      <c r="I80" s="7">
        <f>VLOOKUP(H77,'Energia actual'!$B$4:$U$11,9,FALSE)</f>
        <v>1.5</v>
      </c>
    </row>
    <row r="81" spans="7:9" x14ac:dyDescent="0.3">
      <c r="G81" s="229"/>
      <c r="H81" s="168" t="s">
        <v>106</v>
      </c>
      <c r="I81" s="173">
        <f>I80*0.0254</f>
        <v>3.8099999999999995E-2</v>
      </c>
    </row>
    <row r="82" spans="7:9" x14ac:dyDescent="0.3">
      <c r="G82" s="229" t="s">
        <v>391</v>
      </c>
      <c r="H82" s="229"/>
      <c r="I82" s="183">
        <f>PI()*((I81^2)/4)</f>
        <v>1.1400918279693697E-3</v>
      </c>
    </row>
    <row r="83" spans="7:9" x14ac:dyDescent="0.3">
      <c r="G83" s="229" t="s">
        <v>337</v>
      </c>
      <c r="H83" s="229"/>
      <c r="I83" s="168">
        <f>VLOOKUP(H77,'Energia actual'!$B$4:$U$11,13,FALSE)</f>
        <v>40.581000000000003</v>
      </c>
    </row>
    <row r="84" spans="7:9" x14ac:dyDescent="0.3">
      <c r="G84" s="229" t="s">
        <v>120</v>
      </c>
      <c r="H84" s="229"/>
      <c r="I84" s="102">
        <v>1.5E-6</v>
      </c>
    </row>
    <row r="85" spans="7:9" x14ac:dyDescent="0.3">
      <c r="G85" s="229" t="s">
        <v>429</v>
      </c>
      <c r="H85" s="229"/>
      <c r="I85" s="186">
        <v>1.207E-6</v>
      </c>
    </row>
    <row r="86" spans="7:9" x14ac:dyDescent="0.3">
      <c r="G86" s="229" t="s">
        <v>110</v>
      </c>
      <c r="H86" s="229"/>
      <c r="I86" s="7">
        <f>VLOOKUP(H77,'Energia actual'!$B$4:$U$11,14,FALSE)</f>
        <v>2.5</v>
      </c>
    </row>
    <row r="87" spans="7:9" x14ac:dyDescent="0.3">
      <c r="G87" s="229" t="s">
        <v>17</v>
      </c>
      <c r="H87" s="229"/>
      <c r="I87" s="173">
        <f>I78-I79</f>
        <v>0.70099999999996498</v>
      </c>
    </row>
    <row r="88" spans="7:9" x14ac:dyDescent="0.3">
      <c r="G88" s="229" t="s">
        <v>425</v>
      </c>
      <c r="H88" s="168" t="s">
        <v>226</v>
      </c>
      <c r="I88" s="173">
        <f ca="1">VLOOKUP(H77,'Energia actual'!$B$4:$U$11,8,FALSE)</f>
        <v>5.4074074074074237E-5</v>
      </c>
    </row>
    <row r="89" spans="7:9" x14ac:dyDescent="0.3">
      <c r="G89" s="229"/>
      <c r="H89" s="168" t="s">
        <v>249</v>
      </c>
      <c r="I89" s="173">
        <f ca="1">I88*1000</f>
        <v>5.407407407407424E-2</v>
      </c>
    </row>
    <row r="90" spans="7:9" x14ac:dyDescent="0.3">
      <c r="G90" s="229" t="s">
        <v>432</v>
      </c>
      <c r="H90" s="229"/>
      <c r="I90" s="173">
        <f ca="1">I88/I82</f>
        <v>4.7429577817767694E-2</v>
      </c>
    </row>
    <row r="91" spans="7:9" x14ac:dyDescent="0.3">
      <c r="G91" s="26"/>
      <c r="H91" s="26"/>
      <c r="I91" s="26"/>
    </row>
    <row r="92" spans="7:9" x14ac:dyDescent="0.3">
      <c r="G92" s="168" t="s">
        <v>118</v>
      </c>
      <c r="H92" s="303" t="s">
        <v>328</v>
      </c>
      <c r="I92" s="303"/>
    </row>
    <row r="93" spans="7:9" x14ac:dyDescent="0.3">
      <c r="G93" s="229" t="s">
        <v>430</v>
      </c>
      <c r="H93" s="229"/>
      <c r="I93" s="174">
        <f>VLOOKUP(H92,'Energia actual'!$B$4:$U$11,3,FALSE)</f>
        <v>422.666</v>
      </c>
    </row>
    <row r="94" spans="7:9" x14ac:dyDescent="0.3">
      <c r="G94" s="229" t="s">
        <v>431</v>
      </c>
      <c r="H94" s="229"/>
      <c r="I94" s="173">
        <f>VLOOKUP(H92,'Energia actual'!$B$4:$U$11,5,FALSE)</f>
        <v>422.99799999999999</v>
      </c>
    </row>
    <row r="95" spans="7:9" x14ac:dyDescent="0.3">
      <c r="G95" s="229" t="s">
        <v>63</v>
      </c>
      <c r="H95" s="168" t="s">
        <v>57</v>
      </c>
      <c r="I95" s="7">
        <f>VLOOKUP(H92,'Energia actual'!$B$4:$U$11,9,FALSE)</f>
        <v>1.5</v>
      </c>
    </row>
    <row r="96" spans="7:9" x14ac:dyDescent="0.3">
      <c r="G96" s="229"/>
      <c r="H96" s="168" t="s">
        <v>106</v>
      </c>
      <c r="I96" s="173">
        <f>I95*0.0254</f>
        <v>3.8099999999999995E-2</v>
      </c>
    </row>
    <row r="97" spans="7:9" x14ac:dyDescent="0.3">
      <c r="G97" s="229" t="s">
        <v>391</v>
      </c>
      <c r="H97" s="229"/>
      <c r="I97" s="183">
        <f>PI()*((I96^2)/4)</f>
        <v>1.1400918279693697E-3</v>
      </c>
    </row>
    <row r="98" spans="7:9" x14ac:dyDescent="0.3">
      <c r="G98" s="229" t="s">
        <v>337</v>
      </c>
      <c r="H98" s="229"/>
      <c r="I98" s="168">
        <f>VLOOKUP(H92,'Energia actual'!$B$4:$U$11,13,FALSE)</f>
        <v>47.506</v>
      </c>
    </row>
    <row r="99" spans="7:9" x14ac:dyDescent="0.3">
      <c r="G99" s="229" t="s">
        <v>120</v>
      </c>
      <c r="H99" s="229"/>
      <c r="I99" s="102">
        <v>1.5E-6</v>
      </c>
    </row>
    <row r="100" spans="7:9" x14ac:dyDescent="0.3">
      <c r="G100" s="229" t="s">
        <v>429</v>
      </c>
      <c r="H100" s="229"/>
      <c r="I100" s="186">
        <v>1.207E-6</v>
      </c>
    </row>
    <row r="101" spans="7:9" x14ac:dyDescent="0.3">
      <c r="G101" s="229" t="s">
        <v>110</v>
      </c>
      <c r="H101" s="229"/>
      <c r="I101" s="7">
        <f>VLOOKUP(H92,'Energia actual'!$B$4:$U$11,14,FALSE)</f>
        <v>3.4</v>
      </c>
    </row>
    <row r="102" spans="7:9" x14ac:dyDescent="0.3">
      <c r="G102" s="229" t="s">
        <v>17</v>
      </c>
      <c r="H102" s="229"/>
      <c r="I102" s="173">
        <f>I93-I94</f>
        <v>-0.33199999999999363</v>
      </c>
    </row>
    <row r="103" spans="7:9" x14ac:dyDescent="0.3">
      <c r="G103" s="229" t="s">
        <v>425</v>
      </c>
      <c r="H103" s="168" t="s">
        <v>226</v>
      </c>
      <c r="I103" s="173">
        <f ca="1">VLOOKUP(H92,'Energia actual'!$B$4:$U$11,8,FALSE)</f>
        <v>1.9351851851852015E-5</v>
      </c>
    </row>
    <row r="104" spans="7:9" x14ac:dyDescent="0.3">
      <c r="G104" s="229"/>
      <c r="H104" s="168" t="s">
        <v>249</v>
      </c>
      <c r="I104" s="173">
        <f ca="1">I103*1000</f>
        <v>1.9351851851852016E-2</v>
      </c>
    </row>
    <row r="105" spans="7:9" x14ac:dyDescent="0.3">
      <c r="G105" s="229" t="s">
        <v>432</v>
      </c>
      <c r="H105" s="229"/>
      <c r="I105" s="173">
        <f ca="1">I103/I97</f>
        <v>1.6973941376564217E-2</v>
      </c>
    </row>
    <row r="106" spans="7:9" x14ac:dyDescent="0.3">
      <c r="G106" s="26"/>
      <c r="H106" s="26"/>
      <c r="I106" s="26"/>
    </row>
    <row r="107" spans="7:9" x14ac:dyDescent="0.3">
      <c r="G107" s="168" t="s">
        <v>118</v>
      </c>
      <c r="H107" s="303" t="s">
        <v>335</v>
      </c>
      <c r="I107" s="303"/>
    </row>
    <row r="108" spans="7:9" x14ac:dyDescent="0.3">
      <c r="G108" s="229" t="s">
        <v>430</v>
      </c>
      <c r="H108" s="229"/>
      <c r="I108" s="174">
        <f>VLOOKUP(H107,'Energia actual'!$B$4:$U$11,3,FALSE)</f>
        <v>424.35999999999996</v>
      </c>
    </row>
    <row r="109" spans="7:9" x14ac:dyDescent="0.3">
      <c r="G109" s="229" t="s">
        <v>431</v>
      </c>
      <c r="H109" s="229"/>
      <c r="I109" s="173">
        <f>VLOOKUP(H107,'Energia actual'!$B$4:$U$11,5,FALSE)</f>
        <v>424.59899999999999</v>
      </c>
    </row>
    <row r="110" spans="7:9" x14ac:dyDescent="0.3">
      <c r="G110" s="229" t="s">
        <v>63</v>
      </c>
      <c r="H110" s="168" t="s">
        <v>57</v>
      </c>
      <c r="I110" s="7">
        <f>VLOOKUP(H107,'Energia actual'!$B$4:$U$11,9,FALSE)</f>
        <v>1.5</v>
      </c>
    </row>
    <row r="111" spans="7:9" x14ac:dyDescent="0.3">
      <c r="G111" s="229"/>
      <c r="H111" s="168" t="s">
        <v>106</v>
      </c>
      <c r="I111" s="173">
        <f>I110*0.0254</f>
        <v>3.8099999999999995E-2</v>
      </c>
    </row>
    <row r="112" spans="7:9" x14ac:dyDescent="0.3">
      <c r="G112" s="229" t="s">
        <v>391</v>
      </c>
      <c r="H112" s="229"/>
      <c r="I112" s="183">
        <f>PI()*((I111^2)/4)</f>
        <v>1.1400918279693697E-3</v>
      </c>
    </row>
    <row r="113" spans="7:9" x14ac:dyDescent="0.3">
      <c r="G113" s="229" t="s">
        <v>337</v>
      </c>
      <c r="H113" s="229"/>
      <c r="I113" s="168">
        <f>VLOOKUP(H107,'Energia actual'!$B$4:$U$11,13,FALSE)</f>
        <v>24.9</v>
      </c>
    </row>
    <row r="114" spans="7:9" x14ac:dyDescent="0.3">
      <c r="G114" s="229" t="s">
        <v>120</v>
      </c>
      <c r="H114" s="229"/>
      <c r="I114" s="102">
        <v>1.5E-6</v>
      </c>
    </row>
    <row r="115" spans="7:9" x14ac:dyDescent="0.3">
      <c r="G115" s="229" t="s">
        <v>429</v>
      </c>
      <c r="H115" s="229"/>
      <c r="I115" s="186">
        <v>1.207E-6</v>
      </c>
    </row>
    <row r="116" spans="7:9" x14ac:dyDescent="0.3">
      <c r="G116" s="229" t="s">
        <v>110</v>
      </c>
      <c r="H116" s="229"/>
      <c r="I116" s="7">
        <f>VLOOKUP(H107,'Energia actual'!$B$4:$U$11,14,FALSE)</f>
        <v>2.1</v>
      </c>
    </row>
    <row r="117" spans="7:9" x14ac:dyDescent="0.3">
      <c r="G117" s="229" t="s">
        <v>17</v>
      </c>
      <c r="H117" s="229"/>
      <c r="I117" s="173">
        <f>I108-I109</f>
        <v>-0.23900000000003274</v>
      </c>
    </row>
    <row r="118" spans="7:9" x14ac:dyDescent="0.3">
      <c r="G118" s="229" t="s">
        <v>425</v>
      </c>
      <c r="H118" s="168" t="s">
        <v>226</v>
      </c>
      <c r="I118" s="173">
        <f ca="1">VLOOKUP(H107,'Energia actual'!$B$4:$U$11,8,FALSE)</f>
        <v>3.1388888888888891E-5</v>
      </c>
    </row>
    <row r="119" spans="7:9" x14ac:dyDescent="0.3">
      <c r="G119" s="229"/>
      <c r="H119" s="168" t="s">
        <v>249</v>
      </c>
      <c r="I119" s="173">
        <f ca="1">I118*1000</f>
        <v>3.138888888888889E-2</v>
      </c>
    </row>
    <row r="120" spans="7:9" x14ac:dyDescent="0.3">
      <c r="G120" s="229" t="s">
        <v>432</v>
      </c>
      <c r="H120" s="229"/>
      <c r="I120" s="173">
        <f ca="1">I118/I112</f>
        <v>2.7531895342847945E-2</v>
      </c>
    </row>
    <row r="121" spans="7:9" x14ac:dyDescent="0.3">
      <c r="G121" s="26"/>
      <c r="H121" s="26"/>
      <c r="I121" s="26"/>
    </row>
    <row r="122" spans="7:9" x14ac:dyDescent="0.3">
      <c r="G122" s="26"/>
      <c r="H122" s="26"/>
      <c r="I122" s="26"/>
    </row>
    <row r="123" spans="7:9" x14ac:dyDescent="0.3">
      <c r="G123" s="26"/>
      <c r="H123" s="26"/>
      <c r="I123" s="26"/>
    </row>
    <row r="124" spans="7:9" x14ac:dyDescent="0.3">
      <c r="G124" s="26"/>
      <c r="H124" s="26"/>
      <c r="I124" s="26"/>
    </row>
    <row r="125" spans="7:9" x14ac:dyDescent="0.3">
      <c r="G125" s="26"/>
      <c r="H125" s="26"/>
      <c r="I125" s="26"/>
    </row>
    <row r="126" spans="7:9" x14ac:dyDescent="0.3">
      <c r="G126" s="26"/>
      <c r="H126" s="26"/>
      <c r="I126" s="26"/>
    </row>
    <row r="127" spans="7:9" x14ac:dyDescent="0.3">
      <c r="G127" s="26"/>
      <c r="H127" s="26"/>
      <c r="I127" s="26"/>
    </row>
    <row r="128" spans="7:9" x14ac:dyDescent="0.3">
      <c r="G128" s="26"/>
      <c r="H128" s="26"/>
      <c r="I128" s="26"/>
    </row>
    <row r="129" spans="7:9" x14ac:dyDescent="0.3">
      <c r="G129" s="26"/>
      <c r="H129" s="26"/>
      <c r="I129" s="26"/>
    </row>
    <row r="130" spans="7:9" x14ac:dyDescent="0.3">
      <c r="G130" s="26"/>
      <c r="H130" s="26"/>
      <c r="I130" s="26"/>
    </row>
    <row r="131" spans="7:9" x14ac:dyDescent="0.3">
      <c r="G131" s="26"/>
      <c r="H131" s="26"/>
      <c r="I131" s="26"/>
    </row>
    <row r="132" spans="7:9" x14ac:dyDescent="0.3">
      <c r="G132" s="26"/>
      <c r="H132" s="26"/>
      <c r="I132" s="26"/>
    </row>
    <row r="133" spans="7:9" x14ac:dyDescent="0.3">
      <c r="G133" s="26"/>
      <c r="H133" s="26"/>
      <c r="I133" s="26"/>
    </row>
    <row r="134" spans="7:9" x14ac:dyDescent="0.3">
      <c r="G134" s="26"/>
      <c r="H134" s="26"/>
      <c r="I134" s="26"/>
    </row>
    <row r="135" spans="7:9" x14ac:dyDescent="0.3">
      <c r="G135" s="26"/>
      <c r="H135" s="26"/>
      <c r="I135" s="26"/>
    </row>
    <row r="136" spans="7:9" x14ac:dyDescent="0.3">
      <c r="G136" s="26"/>
      <c r="H136" s="26"/>
      <c r="I136" s="26"/>
    </row>
    <row r="137" spans="7:9" x14ac:dyDescent="0.3">
      <c r="G137" s="26"/>
      <c r="H137" s="26"/>
      <c r="I137" s="26"/>
    </row>
    <row r="138" spans="7:9" x14ac:dyDescent="0.3">
      <c r="G138" s="26"/>
      <c r="H138" s="26"/>
      <c r="I138" s="26"/>
    </row>
    <row r="139" spans="7:9" x14ac:dyDescent="0.3">
      <c r="G139" s="26"/>
      <c r="H139" s="26"/>
      <c r="I139" s="26"/>
    </row>
    <row r="140" spans="7:9" x14ac:dyDescent="0.3">
      <c r="G140" s="26"/>
      <c r="H140" s="26"/>
      <c r="I140" s="26"/>
    </row>
    <row r="141" spans="7:9" x14ac:dyDescent="0.3">
      <c r="G141" s="26"/>
      <c r="H141" s="26"/>
      <c r="I141" s="26"/>
    </row>
    <row r="142" spans="7:9" x14ac:dyDescent="0.3">
      <c r="G142" s="26"/>
      <c r="H142" s="26"/>
      <c r="I142" s="26"/>
    </row>
    <row r="143" spans="7:9" x14ac:dyDescent="0.3">
      <c r="G143" s="26"/>
      <c r="H143" s="26"/>
      <c r="I143" s="26"/>
    </row>
    <row r="144" spans="7:9" x14ac:dyDescent="0.3">
      <c r="G144" s="26"/>
      <c r="H144" s="26"/>
      <c r="I144" s="26"/>
    </row>
    <row r="145" spans="7:9" x14ac:dyDescent="0.3">
      <c r="G145" s="26"/>
      <c r="H145" s="26"/>
      <c r="I145" s="26"/>
    </row>
    <row r="146" spans="7:9" x14ac:dyDescent="0.3">
      <c r="G146" s="26"/>
      <c r="H146" s="26"/>
      <c r="I146" s="26"/>
    </row>
    <row r="147" spans="7:9" x14ac:dyDescent="0.3">
      <c r="G147" s="26"/>
      <c r="H147" s="26"/>
      <c r="I147" s="26"/>
    </row>
    <row r="148" spans="7:9" x14ac:dyDescent="0.3">
      <c r="G148" s="26"/>
      <c r="H148" s="26"/>
      <c r="I148" s="26"/>
    </row>
    <row r="149" spans="7:9" x14ac:dyDescent="0.3">
      <c r="G149" s="26"/>
      <c r="H149" s="26"/>
      <c r="I149" s="26"/>
    </row>
    <row r="150" spans="7:9" x14ac:dyDescent="0.3">
      <c r="G150" s="26"/>
      <c r="H150" s="26"/>
      <c r="I150" s="26"/>
    </row>
    <row r="151" spans="7:9" x14ac:dyDescent="0.3">
      <c r="G151" s="26"/>
      <c r="H151" s="26"/>
      <c r="I151" s="26"/>
    </row>
    <row r="152" spans="7:9" x14ac:dyDescent="0.3">
      <c r="G152" s="26"/>
      <c r="H152" s="26"/>
      <c r="I152" s="26"/>
    </row>
    <row r="153" spans="7:9" x14ac:dyDescent="0.3">
      <c r="G153" s="26"/>
      <c r="H153" s="26"/>
      <c r="I153" s="26"/>
    </row>
    <row r="154" spans="7:9" x14ac:dyDescent="0.3">
      <c r="G154" s="26"/>
      <c r="H154" s="26"/>
      <c r="I154" s="26"/>
    </row>
    <row r="155" spans="7:9" x14ac:dyDescent="0.3">
      <c r="G155" s="26"/>
      <c r="H155" s="26"/>
      <c r="I155" s="26"/>
    </row>
    <row r="156" spans="7:9" x14ac:dyDescent="0.3">
      <c r="G156" s="26"/>
      <c r="H156" s="26"/>
      <c r="I156" s="26"/>
    </row>
    <row r="157" spans="7:9" x14ac:dyDescent="0.3">
      <c r="G157" s="26"/>
      <c r="H157" s="26"/>
      <c r="I157" s="26"/>
    </row>
    <row r="158" spans="7:9" x14ac:dyDescent="0.3">
      <c r="G158" s="26"/>
      <c r="H158" s="26"/>
      <c r="I158" s="26"/>
    </row>
    <row r="159" spans="7:9" x14ac:dyDescent="0.3">
      <c r="G159" s="26"/>
      <c r="H159" s="26"/>
      <c r="I159" s="26"/>
    </row>
    <row r="160" spans="7:9" x14ac:dyDescent="0.3">
      <c r="G160" s="26"/>
      <c r="H160" s="26"/>
      <c r="I160" s="26"/>
    </row>
    <row r="161" spans="7:9" x14ac:dyDescent="0.3">
      <c r="G161" s="26"/>
      <c r="H161" s="26"/>
      <c r="I161" s="26"/>
    </row>
    <row r="162" spans="7:9" x14ac:dyDescent="0.3">
      <c r="G162" s="26"/>
      <c r="H162" s="26"/>
      <c r="I162" s="26"/>
    </row>
    <row r="163" spans="7:9" x14ac:dyDescent="0.3">
      <c r="G163" s="26"/>
      <c r="H163" s="26"/>
      <c r="I163" s="26"/>
    </row>
    <row r="164" spans="7:9" x14ac:dyDescent="0.3">
      <c r="G164" s="26"/>
      <c r="H164" s="26"/>
      <c r="I164" s="26"/>
    </row>
    <row r="165" spans="7:9" x14ac:dyDescent="0.3">
      <c r="G165" s="26"/>
      <c r="H165" s="26"/>
      <c r="I165" s="26"/>
    </row>
    <row r="166" spans="7:9" x14ac:dyDescent="0.3">
      <c r="G166" s="26"/>
      <c r="H166" s="26"/>
      <c r="I166" s="26"/>
    </row>
    <row r="167" spans="7:9" x14ac:dyDescent="0.3">
      <c r="G167" s="26"/>
      <c r="H167" s="26"/>
      <c r="I167" s="26"/>
    </row>
    <row r="168" spans="7:9" x14ac:dyDescent="0.3">
      <c r="G168" s="26"/>
      <c r="H168" s="26"/>
      <c r="I168" s="26"/>
    </row>
    <row r="169" spans="7:9" x14ac:dyDescent="0.3">
      <c r="G169" s="26"/>
      <c r="H169" s="26"/>
      <c r="I169" s="26"/>
    </row>
    <row r="170" spans="7:9" x14ac:dyDescent="0.3">
      <c r="G170" s="26"/>
      <c r="H170" s="26"/>
      <c r="I170" s="26"/>
    </row>
    <row r="171" spans="7:9" x14ac:dyDescent="0.3">
      <c r="G171" s="26"/>
      <c r="H171" s="26"/>
      <c r="I171" s="26"/>
    </row>
    <row r="172" spans="7:9" x14ac:dyDescent="0.3">
      <c r="G172" s="26"/>
      <c r="H172" s="26"/>
      <c r="I172" s="26"/>
    </row>
    <row r="173" spans="7:9" x14ac:dyDescent="0.3">
      <c r="G173" s="26"/>
      <c r="H173" s="26"/>
      <c r="I173" s="26"/>
    </row>
    <row r="174" spans="7:9" x14ac:dyDescent="0.3">
      <c r="G174" s="26"/>
      <c r="H174" s="26"/>
      <c r="I174" s="26"/>
    </row>
    <row r="175" spans="7:9" x14ac:dyDescent="0.3">
      <c r="G175" s="26"/>
      <c r="H175" s="26"/>
      <c r="I175" s="26"/>
    </row>
    <row r="176" spans="7:9" x14ac:dyDescent="0.3">
      <c r="G176" s="26"/>
      <c r="H176" s="26"/>
      <c r="I176" s="26"/>
    </row>
    <row r="177" spans="7:9" x14ac:dyDescent="0.3">
      <c r="G177" s="26"/>
      <c r="H177" s="26"/>
      <c r="I177" s="26"/>
    </row>
    <row r="178" spans="7:9" x14ac:dyDescent="0.3">
      <c r="G178" s="26"/>
      <c r="H178" s="26"/>
      <c r="I178" s="26"/>
    </row>
    <row r="179" spans="7:9" x14ac:dyDescent="0.3">
      <c r="G179" s="26"/>
      <c r="H179" s="26"/>
      <c r="I179" s="26"/>
    </row>
    <row r="180" spans="7:9" x14ac:dyDescent="0.3">
      <c r="G180" s="26"/>
      <c r="H180" s="26"/>
      <c r="I180" s="26"/>
    </row>
    <row r="181" spans="7:9" x14ac:dyDescent="0.3">
      <c r="G181" s="26"/>
      <c r="H181" s="26"/>
      <c r="I181" s="26"/>
    </row>
    <row r="182" spans="7:9" x14ac:dyDescent="0.3">
      <c r="G182" s="26"/>
      <c r="H182" s="26"/>
      <c r="I182" s="26"/>
    </row>
    <row r="183" spans="7:9" x14ac:dyDescent="0.3">
      <c r="G183" s="26"/>
      <c r="H183" s="26"/>
      <c r="I183" s="26"/>
    </row>
    <row r="184" spans="7:9" x14ac:dyDescent="0.3">
      <c r="G184" s="26"/>
      <c r="H184" s="26"/>
      <c r="I184" s="26"/>
    </row>
    <row r="185" spans="7:9" x14ac:dyDescent="0.3">
      <c r="G185" s="26"/>
      <c r="H185" s="26"/>
      <c r="I185" s="26"/>
    </row>
    <row r="186" spans="7:9" x14ac:dyDescent="0.3">
      <c r="G186" s="26"/>
      <c r="H186" s="26"/>
      <c r="I186" s="26"/>
    </row>
    <row r="187" spans="7:9" x14ac:dyDescent="0.3">
      <c r="G187" s="26"/>
      <c r="H187" s="26"/>
      <c r="I187" s="26"/>
    </row>
    <row r="188" spans="7:9" x14ac:dyDescent="0.3">
      <c r="G188" s="26"/>
      <c r="H188" s="26"/>
      <c r="I188" s="26"/>
    </row>
    <row r="189" spans="7:9" x14ac:dyDescent="0.3">
      <c r="G189" s="26"/>
      <c r="H189" s="26"/>
      <c r="I189" s="26"/>
    </row>
    <row r="190" spans="7:9" x14ac:dyDescent="0.3">
      <c r="G190" s="26"/>
      <c r="H190" s="26"/>
      <c r="I190" s="26"/>
    </row>
    <row r="191" spans="7:9" x14ac:dyDescent="0.3">
      <c r="G191" s="26"/>
      <c r="H191" s="26"/>
      <c r="I191" s="26"/>
    </row>
    <row r="192" spans="7:9" x14ac:dyDescent="0.3">
      <c r="G192" s="26"/>
      <c r="H192" s="26"/>
      <c r="I192" s="26"/>
    </row>
    <row r="193" spans="7:9" x14ac:dyDescent="0.3">
      <c r="G193" s="26"/>
      <c r="H193" s="26"/>
      <c r="I193" s="26"/>
    </row>
    <row r="194" spans="7:9" x14ac:dyDescent="0.3">
      <c r="G194" s="26"/>
      <c r="H194" s="26"/>
      <c r="I194" s="26"/>
    </row>
    <row r="195" spans="7:9" x14ac:dyDescent="0.3">
      <c r="G195" s="26"/>
      <c r="H195" s="26"/>
      <c r="I195" s="26"/>
    </row>
    <row r="196" spans="7:9" x14ac:dyDescent="0.3">
      <c r="G196" s="26"/>
      <c r="H196" s="26"/>
      <c r="I196" s="26"/>
    </row>
    <row r="197" spans="7:9" x14ac:dyDescent="0.3">
      <c r="G197" s="26"/>
      <c r="H197" s="26"/>
      <c r="I197" s="26"/>
    </row>
    <row r="198" spans="7:9" x14ac:dyDescent="0.3">
      <c r="G198" s="26"/>
      <c r="H198" s="26"/>
      <c r="I198" s="26"/>
    </row>
    <row r="199" spans="7:9" x14ac:dyDescent="0.3">
      <c r="G199" s="26"/>
      <c r="H199" s="26"/>
      <c r="I199" s="26"/>
    </row>
    <row r="200" spans="7:9" x14ac:dyDescent="0.3">
      <c r="G200" s="26"/>
      <c r="H200" s="26"/>
      <c r="I200" s="26"/>
    </row>
    <row r="201" spans="7:9" x14ac:dyDescent="0.3">
      <c r="G201" s="26"/>
      <c r="H201" s="26"/>
      <c r="I201" s="26"/>
    </row>
    <row r="202" spans="7:9" x14ac:dyDescent="0.3">
      <c r="G202" s="26"/>
      <c r="H202" s="26"/>
      <c r="I202" s="26"/>
    </row>
    <row r="203" spans="7:9" x14ac:dyDescent="0.3">
      <c r="G203" s="26"/>
      <c r="H203" s="26"/>
      <c r="I203" s="26"/>
    </row>
    <row r="204" spans="7:9" x14ac:dyDescent="0.3">
      <c r="G204" s="26"/>
      <c r="H204" s="26"/>
      <c r="I204" s="26"/>
    </row>
    <row r="205" spans="7:9" x14ac:dyDescent="0.3">
      <c r="G205" s="26"/>
      <c r="H205" s="26"/>
      <c r="I205" s="26"/>
    </row>
    <row r="206" spans="7:9" x14ac:dyDescent="0.3">
      <c r="G206" s="26"/>
      <c r="H206" s="26"/>
      <c r="I206" s="26"/>
    </row>
    <row r="207" spans="7:9" x14ac:dyDescent="0.3">
      <c r="G207" s="26"/>
      <c r="H207" s="26"/>
      <c r="I207" s="26"/>
    </row>
    <row r="208" spans="7:9" x14ac:dyDescent="0.3">
      <c r="G208" s="26"/>
      <c r="H208" s="26"/>
      <c r="I208" s="26"/>
    </row>
    <row r="209" spans="7:9" x14ac:dyDescent="0.3">
      <c r="G209" s="26"/>
      <c r="H209" s="26"/>
      <c r="I209" s="26"/>
    </row>
    <row r="210" spans="7:9" x14ac:dyDescent="0.3">
      <c r="G210" s="26"/>
      <c r="H210" s="26"/>
      <c r="I210" s="26"/>
    </row>
    <row r="211" spans="7:9" x14ac:dyDescent="0.3">
      <c r="G211" s="26"/>
      <c r="H211" s="26"/>
      <c r="I211" s="26"/>
    </row>
    <row r="212" spans="7:9" x14ac:dyDescent="0.3">
      <c r="G212" s="26"/>
      <c r="H212" s="26"/>
      <c r="I212" s="26"/>
    </row>
    <row r="213" spans="7:9" x14ac:dyDescent="0.3">
      <c r="G213" s="26"/>
      <c r="H213" s="26"/>
      <c r="I213" s="26"/>
    </row>
    <row r="214" spans="7:9" x14ac:dyDescent="0.3">
      <c r="G214" s="26"/>
      <c r="H214" s="26"/>
      <c r="I214" s="26"/>
    </row>
    <row r="215" spans="7:9" x14ac:dyDescent="0.3">
      <c r="G215" s="26"/>
      <c r="H215" s="26"/>
      <c r="I215" s="26"/>
    </row>
    <row r="216" spans="7:9" x14ac:dyDescent="0.3">
      <c r="G216" s="26"/>
      <c r="H216" s="26"/>
      <c r="I216" s="26"/>
    </row>
    <row r="217" spans="7:9" x14ac:dyDescent="0.3">
      <c r="G217" s="26"/>
      <c r="H217" s="26"/>
      <c r="I217" s="26"/>
    </row>
    <row r="218" spans="7:9" x14ac:dyDescent="0.3">
      <c r="G218" s="26"/>
      <c r="H218" s="26"/>
      <c r="I218" s="26"/>
    </row>
    <row r="219" spans="7:9" x14ac:dyDescent="0.3">
      <c r="G219" s="26"/>
      <c r="H219" s="26"/>
      <c r="I219" s="26"/>
    </row>
    <row r="220" spans="7:9" x14ac:dyDescent="0.3">
      <c r="G220" s="26"/>
      <c r="H220" s="26"/>
      <c r="I220" s="26"/>
    </row>
    <row r="221" spans="7:9" x14ac:dyDescent="0.3">
      <c r="G221" s="26"/>
      <c r="H221" s="26"/>
      <c r="I221" s="26"/>
    </row>
    <row r="222" spans="7:9" x14ac:dyDescent="0.3">
      <c r="G222" s="26"/>
      <c r="H222" s="26"/>
      <c r="I222" s="26"/>
    </row>
    <row r="223" spans="7:9" x14ac:dyDescent="0.3">
      <c r="G223" s="26"/>
      <c r="H223" s="26"/>
      <c r="I223" s="26"/>
    </row>
    <row r="224" spans="7:9" x14ac:dyDescent="0.3">
      <c r="G224" s="26"/>
      <c r="H224" s="26"/>
      <c r="I224" s="26"/>
    </row>
    <row r="225" spans="7:9" x14ac:dyDescent="0.3">
      <c r="G225" s="26"/>
      <c r="H225" s="26"/>
      <c r="I225" s="26"/>
    </row>
    <row r="226" spans="7:9" x14ac:dyDescent="0.3">
      <c r="G226" s="26"/>
      <c r="H226" s="26"/>
      <c r="I226" s="26"/>
    </row>
    <row r="227" spans="7:9" x14ac:dyDescent="0.3">
      <c r="G227" s="26"/>
      <c r="H227" s="26"/>
      <c r="I227" s="26"/>
    </row>
    <row r="228" spans="7:9" x14ac:dyDescent="0.3">
      <c r="G228" s="26"/>
      <c r="H228" s="26"/>
      <c r="I228" s="26"/>
    </row>
    <row r="229" spans="7:9" x14ac:dyDescent="0.3">
      <c r="G229" s="26"/>
      <c r="H229" s="26"/>
      <c r="I229" s="26"/>
    </row>
    <row r="230" spans="7:9" x14ac:dyDescent="0.3">
      <c r="G230" s="26"/>
      <c r="H230" s="26"/>
      <c r="I230" s="26"/>
    </row>
    <row r="231" spans="7:9" x14ac:dyDescent="0.3">
      <c r="G231" s="26"/>
      <c r="H231" s="26"/>
      <c r="I231" s="26"/>
    </row>
    <row r="232" spans="7:9" x14ac:dyDescent="0.3">
      <c r="G232" s="26"/>
      <c r="H232" s="26"/>
      <c r="I232" s="26"/>
    </row>
    <row r="233" spans="7:9" x14ac:dyDescent="0.3">
      <c r="G233" s="26"/>
      <c r="H233" s="26"/>
      <c r="I233" s="26"/>
    </row>
    <row r="234" spans="7:9" x14ac:dyDescent="0.3">
      <c r="G234" s="26"/>
      <c r="H234" s="26"/>
      <c r="I234" s="26"/>
    </row>
    <row r="235" spans="7:9" x14ac:dyDescent="0.3">
      <c r="G235" s="26"/>
      <c r="H235" s="26"/>
      <c r="I235" s="26"/>
    </row>
    <row r="236" spans="7:9" x14ac:dyDescent="0.3">
      <c r="G236" s="26"/>
      <c r="H236" s="26"/>
      <c r="I236" s="26"/>
    </row>
    <row r="237" spans="7:9" x14ac:dyDescent="0.3">
      <c r="G237" s="26"/>
      <c r="H237" s="26"/>
      <c r="I237" s="26"/>
    </row>
    <row r="238" spans="7:9" x14ac:dyDescent="0.3">
      <c r="G238" s="26"/>
      <c r="H238" s="26"/>
      <c r="I238" s="26"/>
    </row>
    <row r="239" spans="7:9" x14ac:dyDescent="0.3">
      <c r="G239" s="26"/>
      <c r="H239" s="26"/>
      <c r="I239" s="26"/>
    </row>
    <row r="240" spans="7:9" x14ac:dyDescent="0.3">
      <c r="G240" s="26"/>
      <c r="H240" s="26"/>
      <c r="I240" s="26"/>
    </row>
    <row r="241" spans="7:9" x14ac:dyDescent="0.3">
      <c r="G241" s="26"/>
      <c r="H241" s="26"/>
      <c r="I241" s="26"/>
    </row>
    <row r="242" spans="7:9" x14ac:dyDescent="0.3">
      <c r="G242" s="26"/>
      <c r="H242" s="26"/>
      <c r="I242" s="26"/>
    </row>
    <row r="243" spans="7:9" x14ac:dyDescent="0.3">
      <c r="G243" s="26"/>
      <c r="H243" s="26"/>
      <c r="I243" s="26"/>
    </row>
    <row r="244" spans="7:9" x14ac:dyDescent="0.3">
      <c r="G244" s="26"/>
      <c r="H244" s="26"/>
      <c r="I244" s="26"/>
    </row>
    <row r="245" spans="7:9" x14ac:dyDescent="0.3">
      <c r="G245" s="26"/>
      <c r="H245" s="26"/>
      <c r="I245" s="26"/>
    </row>
    <row r="246" spans="7:9" x14ac:dyDescent="0.3">
      <c r="G246" s="26"/>
      <c r="H246" s="26"/>
      <c r="I246" s="26"/>
    </row>
    <row r="247" spans="7:9" x14ac:dyDescent="0.3">
      <c r="G247" s="26"/>
      <c r="H247" s="26"/>
      <c r="I247" s="26"/>
    </row>
    <row r="248" spans="7:9" x14ac:dyDescent="0.3">
      <c r="G248" s="26"/>
      <c r="H248" s="26"/>
      <c r="I248" s="26"/>
    </row>
    <row r="249" spans="7:9" x14ac:dyDescent="0.3">
      <c r="G249" s="26"/>
      <c r="H249" s="26"/>
      <c r="I249" s="26"/>
    </row>
    <row r="250" spans="7:9" x14ac:dyDescent="0.3">
      <c r="G250" s="26"/>
      <c r="H250" s="26"/>
      <c r="I250" s="26"/>
    </row>
    <row r="251" spans="7:9" x14ac:dyDescent="0.3">
      <c r="G251" s="26"/>
      <c r="H251" s="26"/>
      <c r="I251" s="26"/>
    </row>
    <row r="252" spans="7:9" x14ac:dyDescent="0.3">
      <c r="G252" s="26"/>
      <c r="H252" s="26"/>
      <c r="I252" s="26"/>
    </row>
    <row r="253" spans="7:9" x14ac:dyDescent="0.3">
      <c r="G253" s="26"/>
      <c r="H253" s="26"/>
      <c r="I253" s="26"/>
    </row>
    <row r="254" spans="7:9" x14ac:dyDescent="0.3">
      <c r="G254" s="26"/>
      <c r="H254" s="26"/>
      <c r="I254" s="26"/>
    </row>
    <row r="255" spans="7:9" x14ac:dyDescent="0.3">
      <c r="G255" s="26"/>
      <c r="H255" s="26"/>
      <c r="I255" s="26"/>
    </row>
    <row r="256" spans="7:9" x14ac:dyDescent="0.3">
      <c r="G256" s="26"/>
      <c r="H256" s="26"/>
      <c r="I256" s="26"/>
    </row>
    <row r="257" spans="7:9" x14ac:dyDescent="0.3">
      <c r="G257" s="26"/>
      <c r="H257" s="26"/>
      <c r="I257" s="26"/>
    </row>
    <row r="258" spans="7:9" x14ac:dyDescent="0.3">
      <c r="G258" s="26"/>
      <c r="H258" s="26"/>
      <c r="I258" s="26"/>
    </row>
    <row r="259" spans="7:9" x14ac:dyDescent="0.3">
      <c r="G259" s="26"/>
      <c r="H259" s="26"/>
      <c r="I259" s="26"/>
    </row>
    <row r="260" spans="7:9" x14ac:dyDescent="0.3">
      <c r="G260" s="26"/>
      <c r="H260" s="26"/>
      <c r="I260" s="26"/>
    </row>
    <row r="261" spans="7:9" x14ac:dyDescent="0.3">
      <c r="G261" s="26"/>
      <c r="H261" s="26"/>
      <c r="I261" s="26"/>
    </row>
    <row r="262" spans="7:9" x14ac:dyDescent="0.3">
      <c r="G262" s="26"/>
      <c r="H262" s="26"/>
      <c r="I262" s="26"/>
    </row>
    <row r="263" spans="7:9" x14ac:dyDescent="0.3">
      <c r="G263" s="26"/>
      <c r="H263" s="26"/>
      <c r="I263" s="26"/>
    </row>
    <row r="264" spans="7:9" x14ac:dyDescent="0.3">
      <c r="G264" s="26"/>
      <c r="H264" s="26"/>
      <c r="I264" s="26"/>
    </row>
    <row r="265" spans="7:9" x14ac:dyDescent="0.3">
      <c r="G265" s="26"/>
      <c r="H265" s="26"/>
      <c r="I265" s="26"/>
    </row>
    <row r="266" spans="7:9" x14ac:dyDescent="0.3">
      <c r="G266" s="26"/>
      <c r="H266" s="26"/>
      <c r="I266" s="26"/>
    </row>
    <row r="267" spans="7:9" x14ac:dyDescent="0.3">
      <c r="G267" s="26"/>
      <c r="H267" s="26"/>
      <c r="I267" s="26"/>
    </row>
    <row r="268" spans="7:9" x14ac:dyDescent="0.3">
      <c r="G268" s="26"/>
      <c r="H268" s="26"/>
      <c r="I268" s="26"/>
    </row>
    <row r="269" spans="7:9" x14ac:dyDescent="0.3">
      <c r="G269" s="26"/>
      <c r="H269" s="26"/>
      <c r="I269" s="26"/>
    </row>
    <row r="270" spans="7:9" x14ac:dyDescent="0.3">
      <c r="G270" s="26"/>
      <c r="H270" s="26"/>
      <c r="I270" s="26"/>
    </row>
    <row r="271" spans="7:9" x14ac:dyDescent="0.3">
      <c r="G271" s="26"/>
      <c r="H271" s="26"/>
      <c r="I271" s="26"/>
    </row>
    <row r="272" spans="7:9" x14ac:dyDescent="0.3">
      <c r="G272" s="26"/>
      <c r="H272" s="26"/>
      <c r="I272" s="26"/>
    </row>
    <row r="273" spans="7:9" x14ac:dyDescent="0.3">
      <c r="G273" s="26"/>
      <c r="H273" s="26"/>
      <c r="I273" s="26"/>
    </row>
    <row r="274" spans="7:9" x14ac:dyDescent="0.3">
      <c r="G274" s="26"/>
      <c r="H274" s="26"/>
      <c r="I274" s="26"/>
    </row>
    <row r="275" spans="7:9" x14ac:dyDescent="0.3">
      <c r="G275" s="26"/>
      <c r="H275" s="26"/>
      <c r="I275" s="26"/>
    </row>
    <row r="276" spans="7:9" x14ac:dyDescent="0.3">
      <c r="G276" s="26"/>
      <c r="H276" s="26"/>
      <c r="I276" s="26"/>
    </row>
    <row r="277" spans="7:9" x14ac:dyDescent="0.3">
      <c r="G277" s="26"/>
      <c r="H277" s="26"/>
      <c r="I277" s="26"/>
    </row>
    <row r="278" spans="7:9" x14ac:dyDescent="0.3">
      <c r="G278" s="26"/>
      <c r="H278" s="26"/>
      <c r="I278" s="26"/>
    </row>
    <row r="279" spans="7:9" x14ac:dyDescent="0.3">
      <c r="G279" s="26"/>
      <c r="H279" s="26"/>
      <c r="I279" s="26"/>
    </row>
    <row r="280" spans="7:9" x14ac:dyDescent="0.3">
      <c r="G280" s="26"/>
      <c r="H280" s="26"/>
      <c r="I280" s="26"/>
    </row>
    <row r="281" spans="7:9" x14ac:dyDescent="0.3">
      <c r="G281" s="26"/>
      <c r="H281" s="26"/>
      <c r="I281" s="26"/>
    </row>
    <row r="282" spans="7:9" x14ac:dyDescent="0.3">
      <c r="G282" s="26"/>
      <c r="H282" s="26"/>
      <c r="I282" s="26"/>
    </row>
    <row r="283" spans="7:9" x14ac:dyDescent="0.3">
      <c r="G283" s="26"/>
      <c r="H283" s="26"/>
      <c r="I283" s="26"/>
    </row>
    <row r="284" spans="7:9" x14ac:dyDescent="0.3">
      <c r="G284" s="26"/>
      <c r="H284" s="26"/>
      <c r="I284" s="26"/>
    </row>
    <row r="285" spans="7:9" x14ac:dyDescent="0.3">
      <c r="G285" s="26"/>
      <c r="H285" s="26"/>
      <c r="I285" s="26"/>
    </row>
    <row r="286" spans="7:9" x14ac:dyDescent="0.3">
      <c r="G286" s="26"/>
      <c r="H286" s="26"/>
      <c r="I286" s="26"/>
    </row>
    <row r="287" spans="7:9" x14ac:dyDescent="0.3">
      <c r="G287" s="26"/>
      <c r="H287" s="26"/>
      <c r="I287" s="26"/>
    </row>
    <row r="288" spans="7:9" x14ac:dyDescent="0.3">
      <c r="G288" s="26"/>
      <c r="H288" s="26"/>
      <c r="I288" s="26"/>
    </row>
    <row r="289" spans="7:9" x14ac:dyDescent="0.3">
      <c r="G289" s="26"/>
      <c r="H289" s="26"/>
      <c r="I289" s="26"/>
    </row>
    <row r="290" spans="7:9" x14ac:dyDescent="0.3">
      <c r="G290" s="26"/>
      <c r="H290" s="26"/>
      <c r="I290" s="26"/>
    </row>
    <row r="291" spans="7:9" x14ac:dyDescent="0.3">
      <c r="G291" s="26"/>
      <c r="H291" s="26"/>
      <c r="I291" s="26"/>
    </row>
    <row r="292" spans="7:9" x14ac:dyDescent="0.3">
      <c r="G292" s="26"/>
      <c r="H292" s="26"/>
      <c r="I292" s="26"/>
    </row>
    <row r="293" spans="7:9" x14ac:dyDescent="0.3">
      <c r="G293" s="26"/>
      <c r="H293" s="26"/>
      <c r="I293" s="26"/>
    </row>
    <row r="294" spans="7:9" x14ac:dyDescent="0.3">
      <c r="G294" s="26"/>
      <c r="H294" s="26"/>
      <c r="I294" s="26"/>
    </row>
    <row r="295" spans="7:9" x14ac:dyDescent="0.3">
      <c r="G295" s="26"/>
      <c r="H295" s="26"/>
      <c r="I295" s="26"/>
    </row>
    <row r="296" spans="7:9" x14ac:dyDescent="0.3">
      <c r="G296" s="26"/>
      <c r="H296" s="26"/>
      <c r="I296" s="26"/>
    </row>
    <row r="297" spans="7:9" x14ac:dyDescent="0.3">
      <c r="G297" s="26"/>
      <c r="H297" s="26"/>
      <c r="I297" s="26"/>
    </row>
    <row r="298" spans="7:9" x14ac:dyDescent="0.3">
      <c r="G298" s="26"/>
      <c r="H298" s="26"/>
      <c r="I298" s="26"/>
    </row>
    <row r="299" spans="7:9" x14ac:dyDescent="0.3">
      <c r="G299" s="26"/>
      <c r="H299" s="26"/>
      <c r="I299" s="26"/>
    </row>
    <row r="300" spans="7:9" x14ac:dyDescent="0.3">
      <c r="G300" s="26"/>
      <c r="H300" s="26"/>
      <c r="I300" s="26"/>
    </row>
    <row r="301" spans="7:9" x14ac:dyDescent="0.3">
      <c r="G301" s="26"/>
      <c r="H301" s="26"/>
      <c r="I301" s="26"/>
    </row>
    <row r="302" spans="7:9" x14ac:dyDescent="0.3">
      <c r="G302" s="26"/>
      <c r="H302" s="26"/>
      <c r="I302" s="26"/>
    </row>
    <row r="303" spans="7:9" x14ac:dyDescent="0.3">
      <c r="G303" s="26"/>
      <c r="H303" s="26"/>
      <c r="I303" s="26"/>
    </row>
    <row r="304" spans="7:9" x14ac:dyDescent="0.3">
      <c r="G304" s="26"/>
      <c r="H304" s="26"/>
      <c r="I304" s="26"/>
    </row>
    <row r="305" spans="7:9" x14ac:dyDescent="0.3">
      <c r="G305" s="26"/>
      <c r="H305" s="26"/>
      <c r="I305" s="26"/>
    </row>
    <row r="306" spans="7:9" x14ac:dyDescent="0.3">
      <c r="G306" s="26"/>
      <c r="H306" s="26"/>
      <c r="I306" s="26"/>
    </row>
    <row r="307" spans="7:9" x14ac:dyDescent="0.3">
      <c r="G307" s="26"/>
      <c r="H307" s="26"/>
      <c r="I307" s="26"/>
    </row>
    <row r="308" spans="7:9" x14ac:dyDescent="0.3">
      <c r="G308" s="26"/>
      <c r="H308" s="26"/>
      <c r="I308" s="26"/>
    </row>
    <row r="309" spans="7:9" x14ac:dyDescent="0.3">
      <c r="G309" s="26"/>
      <c r="H309" s="26"/>
      <c r="I309" s="26"/>
    </row>
    <row r="310" spans="7:9" x14ac:dyDescent="0.3">
      <c r="G310" s="26"/>
      <c r="H310" s="26"/>
      <c r="I310" s="26"/>
    </row>
    <row r="311" spans="7:9" x14ac:dyDescent="0.3">
      <c r="G311" s="26"/>
      <c r="H311" s="26"/>
      <c r="I311" s="26"/>
    </row>
    <row r="312" spans="7:9" x14ac:dyDescent="0.3">
      <c r="G312" s="26"/>
      <c r="H312" s="26"/>
      <c r="I312" s="26"/>
    </row>
    <row r="313" spans="7:9" x14ac:dyDescent="0.3">
      <c r="G313" s="26"/>
      <c r="H313" s="26"/>
      <c r="I313" s="26"/>
    </row>
    <row r="314" spans="7:9" x14ac:dyDescent="0.3">
      <c r="G314" s="26"/>
      <c r="H314" s="26"/>
      <c r="I314" s="26"/>
    </row>
    <row r="315" spans="7:9" x14ac:dyDescent="0.3">
      <c r="G315" s="26"/>
      <c r="H315" s="26"/>
      <c r="I315" s="26"/>
    </row>
    <row r="316" spans="7:9" x14ac:dyDescent="0.3">
      <c r="G316" s="26"/>
      <c r="H316" s="26"/>
      <c r="I316" s="26"/>
    </row>
    <row r="317" spans="7:9" x14ac:dyDescent="0.3">
      <c r="G317" s="26"/>
      <c r="H317" s="26"/>
      <c r="I317" s="26"/>
    </row>
    <row r="318" spans="7:9" x14ac:dyDescent="0.3">
      <c r="G318" s="26"/>
      <c r="H318" s="26"/>
      <c r="I318" s="26"/>
    </row>
    <row r="319" spans="7:9" x14ac:dyDescent="0.3">
      <c r="G319" s="26"/>
      <c r="H319" s="26"/>
      <c r="I319" s="26"/>
    </row>
    <row r="320" spans="7:9" x14ac:dyDescent="0.3">
      <c r="G320" s="26"/>
      <c r="H320" s="26"/>
      <c r="I320" s="26"/>
    </row>
    <row r="321" spans="7:9" x14ac:dyDescent="0.3">
      <c r="G321" s="26"/>
      <c r="H321" s="26"/>
      <c r="I321" s="26"/>
    </row>
    <row r="322" spans="7:9" x14ac:dyDescent="0.3">
      <c r="G322" s="26"/>
      <c r="H322" s="26"/>
      <c r="I322" s="26"/>
    </row>
    <row r="323" spans="7:9" x14ac:dyDescent="0.3">
      <c r="G323" s="26"/>
      <c r="H323" s="26"/>
      <c r="I323" s="26"/>
    </row>
    <row r="324" spans="7:9" x14ac:dyDescent="0.3">
      <c r="G324" s="26"/>
      <c r="H324" s="26"/>
      <c r="I324" s="26"/>
    </row>
    <row r="325" spans="7:9" x14ac:dyDescent="0.3">
      <c r="G325" s="26"/>
      <c r="H325" s="26"/>
      <c r="I325" s="26"/>
    </row>
    <row r="326" spans="7:9" x14ac:dyDescent="0.3">
      <c r="G326" s="26"/>
      <c r="H326" s="26"/>
      <c r="I326" s="26"/>
    </row>
    <row r="327" spans="7:9" x14ac:dyDescent="0.3">
      <c r="G327" s="26"/>
      <c r="H327" s="26"/>
      <c r="I327" s="26"/>
    </row>
    <row r="328" spans="7:9" x14ac:dyDescent="0.3">
      <c r="G328" s="26"/>
      <c r="H328" s="26"/>
      <c r="I328" s="26"/>
    </row>
    <row r="329" spans="7:9" x14ac:dyDescent="0.3">
      <c r="G329" s="26"/>
      <c r="H329" s="26"/>
      <c r="I329" s="26"/>
    </row>
    <row r="330" spans="7:9" x14ac:dyDescent="0.3">
      <c r="G330" s="26"/>
      <c r="H330" s="26"/>
      <c r="I330" s="26"/>
    </row>
    <row r="331" spans="7:9" x14ac:dyDescent="0.3">
      <c r="G331" s="26"/>
      <c r="H331" s="26"/>
      <c r="I331" s="26"/>
    </row>
    <row r="332" spans="7:9" x14ac:dyDescent="0.3">
      <c r="G332" s="26"/>
      <c r="H332" s="26"/>
      <c r="I332" s="26"/>
    </row>
    <row r="333" spans="7:9" x14ac:dyDescent="0.3">
      <c r="G333" s="26"/>
      <c r="H333" s="26"/>
      <c r="I333" s="26"/>
    </row>
    <row r="334" spans="7:9" x14ac:dyDescent="0.3">
      <c r="G334" s="26"/>
      <c r="H334" s="26"/>
      <c r="I334" s="26"/>
    </row>
    <row r="335" spans="7:9" x14ac:dyDescent="0.3">
      <c r="G335" s="26"/>
      <c r="H335" s="26"/>
      <c r="I335" s="26"/>
    </row>
    <row r="336" spans="7:9" x14ac:dyDescent="0.3">
      <c r="G336" s="26"/>
      <c r="H336" s="26"/>
      <c r="I336" s="26"/>
    </row>
    <row r="337" spans="7:9" x14ac:dyDescent="0.3">
      <c r="G337" s="26"/>
      <c r="H337" s="26"/>
      <c r="I337" s="26"/>
    </row>
    <row r="338" spans="7:9" x14ac:dyDescent="0.3">
      <c r="G338" s="26"/>
      <c r="H338" s="26"/>
      <c r="I338" s="26"/>
    </row>
    <row r="339" spans="7:9" x14ac:dyDescent="0.3">
      <c r="G339" s="26"/>
      <c r="H339" s="26"/>
      <c r="I339" s="26"/>
    </row>
    <row r="340" spans="7:9" x14ac:dyDescent="0.3">
      <c r="G340" s="26"/>
      <c r="H340" s="26"/>
      <c r="I340" s="26"/>
    </row>
    <row r="341" spans="7:9" x14ac:dyDescent="0.3">
      <c r="G341" s="26"/>
      <c r="H341" s="26"/>
      <c r="I341" s="26"/>
    </row>
    <row r="342" spans="7:9" x14ac:dyDescent="0.3">
      <c r="G342" s="26"/>
      <c r="H342" s="26"/>
      <c r="I342" s="26"/>
    </row>
    <row r="343" spans="7:9" x14ac:dyDescent="0.3">
      <c r="G343" s="26"/>
      <c r="H343" s="26"/>
      <c r="I343" s="26"/>
    </row>
    <row r="344" spans="7:9" x14ac:dyDescent="0.3">
      <c r="G344" s="26"/>
      <c r="H344" s="26"/>
      <c r="I344" s="26"/>
    </row>
    <row r="345" spans="7:9" x14ac:dyDescent="0.3">
      <c r="G345" s="26"/>
      <c r="H345" s="26"/>
      <c r="I345" s="26"/>
    </row>
    <row r="346" spans="7:9" x14ac:dyDescent="0.3">
      <c r="G346" s="26"/>
      <c r="H346" s="26"/>
      <c r="I346" s="26"/>
    </row>
    <row r="347" spans="7:9" x14ac:dyDescent="0.3">
      <c r="G347" s="26"/>
      <c r="H347" s="26"/>
      <c r="I347" s="26"/>
    </row>
    <row r="348" spans="7:9" x14ac:dyDescent="0.3">
      <c r="G348" s="26"/>
      <c r="H348" s="26"/>
      <c r="I348" s="26"/>
    </row>
    <row r="349" spans="7:9" x14ac:dyDescent="0.3">
      <c r="G349" s="26"/>
      <c r="H349" s="26"/>
      <c r="I349" s="26"/>
    </row>
    <row r="350" spans="7:9" x14ac:dyDescent="0.3">
      <c r="G350" s="26"/>
      <c r="H350" s="26"/>
      <c r="I350" s="26"/>
    </row>
    <row r="351" spans="7:9" x14ac:dyDescent="0.3">
      <c r="G351" s="26"/>
      <c r="H351" s="26"/>
      <c r="I351" s="26"/>
    </row>
    <row r="352" spans="7:9" x14ac:dyDescent="0.3">
      <c r="G352" s="26"/>
      <c r="H352" s="26"/>
      <c r="I352" s="26"/>
    </row>
    <row r="353" spans="7:9" x14ac:dyDescent="0.3">
      <c r="G353" s="26"/>
      <c r="H353" s="26"/>
      <c r="I353" s="26"/>
    </row>
    <row r="354" spans="7:9" x14ac:dyDescent="0.3">
      <c r="G354" s="26"/>
      <c r="H354" s="26"/>
      <c r="I354" s="26"/>
    </row>
    <row r="355" spans="7:9" x14ac:dyDescent="0.3">
      <c r="G355" s="26"/>
      <c r="H355" s="26"/>
      <c r="I355" s="26"/>
    </row>
    <row r="356" spans="7:9" x14ac:dyDescent="0.3">
      <c r="G356" s="26"/>
      <c r="H356" s="26"/>
      <c r="I356" s="26"/>
    </row>
    <row r="357" spans="7:9" x14ac:dyDescent="0.3">
      <c r="G357" s="26"/>
      <c r="H357" s="26"/>
      <c r="I357" s="26"/>
    </row>
    <row r="358" spans="7:9" x14ac:dyDescent="0.3">
      <c r="G358" s="26"/>
      <c r="H358" s="26"/>
      <c r="I358" s="26"/>
    </row>
    <row r="359" spans="7:9" x14ac:dyDescent="0.3">
      <c r="G359" s="26"/>
      <c r="H359" s="26"/>
      <c r="I359" s="26"/>
    </row>
    <row r="360" spans="7:9" x14ac:dyDescent="0.3">
      <c r="G360" s="26"/>
      <c r="H360" s="26"/>
      <c r="I360" s="26"/>
    </row>
    <row r="361" spans="7:9" x14ac:dyDescent="0.3">
      <c r="G361" s="26"/>
      <c r="H361" s="26"/>
      <c r="I361" s="26"/>
    </row>
    <row r="362" spans="7:9" x14ac:dyDescent="0.3">
      <c r="G362" s="26"/>
      <c r="H362" s="26"/>
      <c r="I362" s="26"/>
    </row>
    <row r="363" spans="7:9" x14ac:dyDescent="0.3">
      <c r="G363" s="26"/>
      <c r="H363" s="26"/>
      <c r="I363" s="26"/>
    </row>
    <row r="364" spans="7:9" x14ac:dyDescent="0.3">
      <c r="G364" s="26"/>
      <c r="H364" s="26"/>
      <c r="I364" s="26"/>
    </row>
    <row r="365" spans="7:9" x14ac:dyDescent="0.3">
      <c r="G365" s="26"/>
      <c r="H365" s="26"/>
      <c r="I365" s="26"/>
    </row>
    <row r="366" spans="7:9" x14ac:dyDescent="0.3">
      <c r="G366" s="26"/>
      <c r="H366" s="26"/>
      <c r="I366" s="26"/>
    </row>
    <row r="367" spans="7:9" x14ac:dyDescent="0.3">
      <c r="G367" s="26"/>
      <c r="H367" s="26"/>
      <c r="I367" s="26"/>
    </row>
    <row r="368" spans="7:9" x14ac:dyDescent="0.3">
      <c r="G368" s="26"/>
      <c r="H368" s="26"/>
      <c r="I368" s="26"/>
    </row>
    <row r="369" spans="7:9" x14ac:dyDescent="0.3">
      <c r="G369" s="26"/>
      <c r="H369" s="26"/>
      <c r="I369" s="26"/>
    </row>
    <row r="370" spans="7:9" x14ac:dyDescent="0.3">
      <c r="G370" s="26"/>
      <c r="H370" s="26"/>
      <c r="I370" s="26"/>
    </row>
    <row r="371" spans="7:9" x14ac:dyDescent="0.3">
      <c r="G371" s="26"/>
      <c r="H371" s="26"/>
      <c r="I371" s="26"/>
    </row>
    <row r="372" spans="7:9" x14ac:dyDescent="0.3">
      <c r="G372" s="26"/>
      <c r="H372" s="26"/>
      <c r="I372" s="26"/>
    </row>
    <row r="373" spans="7:9" x14ac:dyDescent="0.3">
      <c r="G373" s="26"/>
      <c r="H373" s="26"/>
      <c r="I373" s="26"/>
    </row>
    <row r="374" spans="7:9" x14ac:dyDescent="0.3">
      <c r="G374" s="26"/>
      <c r="H374" s="26"/>
      <c r="I374" s="26"/>
    </row>
    <row r="375" spans="7:9" x14ac:dyDescent="0.3">
      <c r="G375" s="26"/>
      <c r="H375" s="26"/>
      <c r="I375" s="26"/>
    </row>
    <row r="376" spans="7:9" x14ac:dyDescent="0.3">
      <c r="G376" s="26"/>
      <c r="H376" s="26"/>
      <c r="I376" s="26"/>
    </row>
    <row r="377" spans="7:9" x14ac:dyDescent="0.3">
      <c r="G377" s="26"/>
      <c r="H377" s="26"/>
      <c r="I377" s="26"/>
    </row>
    <row r="378" spans="7:9" x14ac:dyDescent="0.3">
      <c r="G378" s="26"/>
      <c r="H378" s="26"/>
      <c r="I378" s="26"/>
    </row>
    <row r="379" spans="7:9" x14ac:dyDescent="0.3">
      <c r="G379" s="26"/>
      <c r="H379" s="26"/>
      <c r="I379" s="26"/>
    </row>
    <row r="380" spans="7:9" x14ac:dyDescent="0.3">
      <c r="G380" s="26"/>
      <c r="H380" s="26"/>
      <c r="I380" s="26"/>
    </row>
    <row r="381" spans="7:9" x14ac:dyDescent="0.3">
      <c r="G381" s="26"/>
      <c r="H381" s="26"/>
      <c r="I381" s="26"/>
    </row>
    <row r="382" spans="7:9" x14ac:dyDescent="0.3">
      <c r="G382" s="26"/>
      <c r="H382" s="26"/>
      <c r="I382" s="26"/>
    </row>
    <row r="383" spans="7:9" x14ac:dyDescent="0.3">
      <c r="G383" s="26"/>
      <c r="H383" s="26"/>
      <c r="I383" s="26"/>
    </row>
    <row r="384" spans="7:9" x14ac:dyDescent="0.3">
      <c r="G384" s="26"/>
      <c r="H384" s="26"/>
      <c r="I384" s="26"/>
    </row>
    <row r="385" spans="7:9" x14ac:dyDescent="0.3">
      <c r="G385" s="26"/>
      <c r="H385" s="26"/>
      <c r="I385" s="26"/>
    </row>
    <row r="386" spans="7:9" x14ac:dyDescent="0.3">
      <c r="G386" s="26"/>
      <c r="H386" s="26"/>
      <c r="I386" s="26"/>
    </row>
    <row r="387" spans="7:9" x14ac:dyDescent="0.3">
      <c r="G387" s="26"/>
      <c r="H387" s="26"/>
      <c r="I387" s="26"/>
    </row>
    <row r="388" spans="7:9" x14ac:dyDescent="0.3">
      <c r="G388" s="26"/>
      <c r="H388" s="26"/>
      <c r="I388" s="26"/>
    </row>
    <row r="389" spans="7:9" x14ac:dyDescent="0.3">
      <c r="G389" s="26"/>
      <c r="H389" s="26"/>
      <c r="I389" s="26"/>
    </row>
    <row r="390" spans="7:9" x14ac:dyDescent="0.3">
      <c r="G390" s="26"/>
      <c r="H390" s="26"/>
      <c r="I390" s="26"/>
    </row>
    <row r="391" spans="7:9" x14ac:dyDescent="0.3">
      <c r="G391" s="26"/>
      <c r="H391" s="26"/>
      <c r="I391" s="26"/>
    </row>
    <row r="392" spans="7:9" x14ac:dyDescent="0.3">
      <c r="G392" s="26"/>
      <c r="H392" s="26"/>
      <c r="I392" s="26"/>
    </row>
    <row r="393" spans="7:9" x14ac:dyDescent="0.3">
      <c r="G393" s="26"/>
      <c r="H393" s="26"/>
      <c r="I393" s="26"/>
    </row>
    <row r="394" spans="7:9" x14ac:dyDescent="0.3">
      <c r="G394" s="26"/>
      <c r="H394" s="26"/>
      <c r="I394" s="26"/>
    </row>
    <row r="395" spans="7:9" x14ac:dyDescent="0.3">
      <c r="G395" s="26"/>
      <c r="H395" s="26"/>
      <c r="I395" s="26"/>
    </row>
    <row r="396" spans="7:9" x14ac:dyDescent="0.3">
      <c r="G396" s="26"/>
      <c r="H396" s="26"/>
      <c r="I396" s="26"/>
    </row>
    <row r="397" spans="7:9" x14ac:dyDescent="0.3">
      <c r="G397" s="26"/>
      <c r="H397" s="26"/>
      <c r="I397" s="26"/>
    </row>
    <row r="398" spans="7:9" x14ac:dyDescent="0.3">
      <c r="G398" s="26"/>
      <c r="H398" s="26"/>
      <c r="I398" s="26"/>
    </row>
    <row r="399" spans="7:9" x14ac:dyDescent="0.3">
      <c r="G399" s="26"/>
      <c r="H399" s="26"/>
      <c r="I399" s="26"/>
    </row>
    <row r="400" spans="7:9" x14ac:dyDescent="0.3">
      <c r="G400" s="26"/>
      <c r="H400" s="26"/>
      <c r="I400" s="26"/>
    </row>
    <row r="401" spans="7:9" x14ac:dyDescent="0.3">
      <c r="G401" s="26"/>
      <c r="H401" s="26"/>
      <c r="I401" s="26"/>
    </row>
    <row r="402" spans="7:9" x14ac:dyDescent="0.3">
      <c r="G402" s="26"/>
      <c r="H402" s="26"/>
      <c r="I402" s="26"/>
    </row>
    <row r="403" spans="7:9" x14ac:dyDescent="0.3">
      <c r="G403" s="26"/>
      <c r="H403" s="26"/>
      <c r="I403" s="26"/>
    </row>
    <row r="404" spans="7:9" x14ac:dyDescent="0.3">
      <c r="G404" s="26"/>
      <c r="H404" s="26"/>
      <c r="I404" s="26"/>
    </row>
    <row r="405" spans="7:9" x14ac:dyDescent="0.3">
      <c r="G405" s="26"/>
      <c r="H405" s="26"/>
      <c r="I405" s="26"/>
    </row>
    <row r="406" spans="7:9" x14ac:dyDescent="0.3">
      <c r="G406" s="26"/>
      <c r="H406" s="26"/>
      <c r="I406" s="26"/>
    </row>
    <row r="407" spans="7:9" x14ac:dyDescent="0.3">
      <c r="G407" s="26"/>
      <c r="H407" s="26"/>
      <c r="I407" s="26"/>
    </row>
    <row r="408" spans="7:9" x14ac:dyDescent="0.3">
      <c r="G408" s="26"/>
      <c r="H408" s="26"/>
      <c r="I408" s="26"/>
    </row>
    <row r="409" spans="7:9" x14ac:dyDescent="0.3">
      <c r="G409" s="26"/>
      <c r="H409" s="26"/>
      <c r="I409" s="26"/>
    </row>
    <row r="410" spans="7:9" x14ac:dyDescent="0.3">
      <c r="G410" s="26"/>
      <c r="H410" s="26"/>
      <c r="I410" s="26"/>
    </row>
    <row r="411" spans="7:9" x14ac:dyDescent="0.3">
      <c r="G411" s="26"/>
      <c r="H411" s="26"/>
      <c r="I411" s="26"/>
    </row>
    <row r="412" spans="7:9" x14ac:dyDescent="0.3">
      <c r="G412" s="26"/>
      <c r="H412" s="26"/>
      <c r="I412" s="26"/>
    </row>
    <row r="413" spans="7:9" x14ac:dyDescent="0.3">
      <c r="G413" s="26"/>
      <c r="H413" s="26"/>
      <c r="I413" s="26"/>
    </row>
    <row r="414" spans="7:9" x14ac:dyDescent="0.3">
      <c r="G414" s="26"/>
      <c r="H414" s="26"/>
      <c r="I414" s="26"/>
    </row>
    <row r="415" spans="7:9" x14ac:dyDescent="0.3">
      <c r="G415" s="26"/>
      <c r="H415" s="26"/>
      <c r="I415" s="26"/>
    </row>
    <row r="416" spans="7:9" x14ac:dyDescent="0.3">
      <c r="G416" s="26"/>
      <c r="H416" s="26"/>
      <c r="I416" s="26"/>
    </row>
    <row r="417" spans="7:9" x14ac:dyDescent="0.3">
      <c r="G417" s="26"/>
      <c r="H417" s="26"/>
      <c r="I417" s="26"/>
    </row>
    <row r="418" spans="7:9" x14ac:dyDescent="0.3">
      <c r="G418" s="26"/>
      <c r="H418" s="26"/>
      <c r="I418" s="26"/>
    </row>
    <row r="419" spans="7:9" x14ac:dyDescent="0.3">
      <c r="G419" s="26"/>
      <c r="H419" s="26"/>
      <c r="I419" s="26"/>
    </row>
    <row r="420" spans="7:9" x14ac:dyDescent="0.3">
      <c r="G420" s="26"/>
      <c r="H420" s="26"/>
      <c r="I420" s="26"/>
    </row>
    <row r="421" spans="7:9" x14ac:dyDescent="0.3">
      <c r="G421" s="26"/>
      <c r="H421" s="26"/>
      <c r="I421" s="26"/>
    </row>
    <row r="422" spans="7:9" x14ac:dyDescent="0.3">
      <c r="G422" s="26"/>
      <c r="H422" s="26"/>
      <c r="I422" s="26"/>
    </row>
    <row r="423" spans="7:9" x14ac:dyDescent="0.3">
      <c r="G423" s="26"/>
      <c r="H423" s="26"/>
      <c r="I423" s="26"/>
    </row>
    <row r="424" spans="7:9" x14ac:dyDescent="0.3">
      <c r="G424" s="26"/>
      <c r="H424" s="26"/>
      <c r="I424" s="26"/>
    </row>
    <row r="425" spans="7:9" x14ac:dyDescent="0.3">
      <c r="G425" s="26"/>
      <c r="H425" s="26"/>
      <c r="I425" s="26"/>
    </row>
    <row r="426" spans="7:9" x14ac:dyDescent="0.3">
      <c r="G426" s="26"/>
      <c r="H426" s="26"/>
      <c r="I426" s="26"/>
    </row>
    <row r="427" spans="7:9" x14ac:dyDescent="0.3">
      <c r="G427" s="26"/>
      <c r="H427" s="26"/>
      <c r="I427" s="26"/>
    </row>
    <row r="428" spans="7:9" x14ac:dyDescent="0.3">
      <c r="G428" s="26"/>
      <c r="H428" s="26"/>
      <c r="I428" s="26"/>
    </row>
    <row r="429" spans="7:9" x14ac:dyDescent="0.3">
      <c r="G429" s="26"/>
      <c r="H429" s="26"/>
      <c r="I429" s="26"/>
    </row>
    <row r="430" spans="7:9" x14ac:dyDescent="0.3">
      <c r="G430" s="26"/>
      <c r="H430" s="26"/>
      <c r="I430" s="26"/>
    </row>
    <row r="431" spans="7:9" x14ac:dyDescent="0.3">
      <c r="G431" s="26"/>
      <c r="H431" s="26"/>
      <c r="I431" s="26"/>
    </row>
    <row r="432" spans="7:9" x14ac:dyDescent="0.3">
      <c r="G432" s="26"/>
      <c r="H432" s="26"/>
      <c r="I432" s="26"/>
    </row>
    <row r="433" spans="7:9" x14ac:dyDescent="0.3">
      <c r="G433" s="26"/>
      <c r="H433" s="26"/>
      <c r="I433" s="26"/>
    </row>
    <row r="434" spans="7:9" x14ac:dyDescent="0.3">
      <c r="G434" s="26"/>
      <c r="H434" s="26"/>
      <c r="I434" s="26"/>
    </row>
    <row r="435" spans="7:9" x14ac:dyDescent="0.3">
      <c r="G435" s="26"/>
      <c r="H435" s="26"/>
      <c r="I435" s="26"/>
    </row>
    <row r="436" spans="7:9" x14ac:dyDescent="0.3">
      <c r="G436" s="26"/>
      <c r="H436" s="26"/>
      <c r="I436" s="26"/>
    </row>
    <row r="437" spans="7:9" x14ac:dyDescent="0.3">
      <c r="G437" s="26"/>
      <c r="H437" s="26"/>
      <c r="I437" s="26"/>
    </row>
    <row r="438" spans="7:9" x14ac:dyDescent="0.3">
      <c r="G438" s="26"/>
      <c r="H438" s="26"/>
      <c r="I438" s="26"/>
    </row>
    <row r="439" spans="7:9" x14ac:dyDescent="0.3">
      <c r="G439" s="26"/>
      <c r="H439" s="26"/>
      <c r="I439" s="26"/>
    </row>
    <row r="440" spans="7:9" x14ac:dyDescent="0.3">
      <c r="G440" s="26"/>
      <c r="H440" s="26"/>
      <c r="I440" s="26"/>
    </row>
    <row r="441" spans="7:9" x14ac:dyDescent="0.3">
      <c r="G441" s="26"/>
      <c r="H441" s="26"/>
      <c r="I441" s="26"/>
    </row>
    <row r="442" spans="7:9" x14ac:dyDescent="0.3">
      <c r="G442" s="26"/>
      <c r="H442" s="26"/>
      <c r="I442" s="26"/>
    </row>
    <row r="443" spans="7:9" x14ac:dyDescent="0.3">
      <c r="G443" s="26"/>
      <c r="H443" s="26"/>
      <c r="I443" s="26"/>
    </row>
    <row r="444" spans="7:9" x14ac:dyDescent="0.3">
      <c r="G444" s="26"/>
      <c r="H444" s="26"/>
      <c r="I444" s="26"/>
    </row>
    <row r="445" spans="7:9" x14ac:dyDescent="0.3">
      <c r="G445" s="26"/>
      <c r="H445" s="26"/>
      <c r="I445" s="26"/>
    </row>
    <row r="446" spans="7:9" x14ac:dyDescent="0.3">
      <c r="G446" s="26"/>
      <c r="H446" s="26"/>
      <c r="I446" s="26"/>
    </row>
    <row r="447" spans="7:9" x14ac:dyDescent="0.3">
      <c r="G447" s="26"/>
      <c r="H447" s="26"/>
      <c r="I447" s="26"/>
    </row>
    <row r="448" spans="7:9" x14ac:dyDescent="0.3">
      <c r="G448" s="26"/>
      <c r="H448" s="26"/>
      <c r="I448" s="26"/>
    </row>
    <row r="449" spans="7:9" x14ac:dyDescent="0.3">
      <c r="G449" s="26"/>
      <c r="H449" s="26"/>
      <c r="I449" s="26"/>
    </row>
    <row r="450" spans="7:9" x14ac:dyDescent="0.3">
      <c r="G450" s="26"/>
      <c r="H450" s="26"/>
      <c r="I450" s="26"/>
    </row>
    <row r="451" spans="7:9" x14ac:dyDescent="0.3">
      <c r="G451" s="26"/>
      <c r="H451" s="26"/>
      <c r="I451" s="26"/>
    </row>
    <row r="452" spans="7:9" x14ac:dyDescent="0.3">
      <c r="G452" s="26"/>
      <c r="H452" s="26"/>
      <c r="I452" s="26"/>
    </row>
    <row r="453" spans="7:9" x14ac:dyDescent="0.3">
      <c r="G453" s="26"/>
      <c r="H453" s="26"/>
      <c r="I453" s="26"/>
    </row>
    <row r="454" spans="7:9" x14ac:dyDescent="0.3">
      <c r="G454" s="26"/>
      <c r="H454" s="26"/>
      <c r="I454" s="26"/>
    </row>
    <row r="455" spans="7:9" x14ac:dyDescent="0.3">
      <c r="G455" s="26"/>
      <c r="H455" s="26"/>
      <c r="I455" s="26"/>
    </row>
    <row r="456" spans="7:9" x14ac:dyDescent="0.3">
      <c r="G456" s="26"/>
      <c r="H456" s="26"/>
      <c r="I456" s="26"/>
    </row>
    <row r="457" spans="7:9" x14ac:dyDescent="0.3">
      <c r="G457" s="26"/>
      <c r="H457" s="26"/>
      <c r="I457" s="26"/>
    </row>
    <row r="458" spans="7:9" x14ac:dyDescent="0.3">
      <c r="G458" s="26"/>
      <c r="H458" s="26"/>
      <c r="I458" s="26"/>
    </row>
    <row r="459" spans="7:9" x14ac:dyDescent="0.3">
      <c r="G459" s="26"/>
      <c r="H459" s="26"/>
      <c r="I459" s="26"/>
    </row>
    <row r="460" spans="7:9" x14ac:dyDescent="0.3">
      <c r="G460" s="26"/>
      <c r="H460" s="26"/>
      <c r="I460" s="26"/>
    </row>
    <row r="461" spans="7:9" x14ac:dyDescent="0.3">
      <c r="G461" s="26"/>
      <c r="H461" s="26"/>
      <c r="I461" s="26"/>
    </row>
    <row r="462" spans="7:9" x14ac:dyDescent="0.3">
      <c r="G462" s="26"/>
      <c r="H462" s="26"/>
      <c r="I462" s="26"/>
    </row>
    <row r="463" spans="7:9" x14ac:dyDescent="0.3">
      <c r="G463" s="26"/>
      <c r="H463" s="26"/>
      <c r="I463" s="26"/>
    </row>
    <row r="464" spans="7:9" x14ac:dyDescent="0.3">
      <c r="G464" s="26"/>
      <c r="H464" s="26"/>
      <c r="I464" s="26"/>
    </row>
    <row r="465" spans="7:9" x14ac:dyDescent="0.3">
      <c r="G465" s="26"/>
      <c r="H465" s="26"/>
      <c r="I465" s="26"/>
    </row>
    <row r="466" spans="7:9" x14ac:dyDescent="0.3">
      <c r="G466" s="26"/>
      <c r="H466" s="26"/>
      <c r="I466" s="26"/>
    </row>
    <row r="467" spans="7:9" x14ac:dyDescent="0.3">
      <c r="G467" s="26"/>
      <c r="H467" s="26"/>
      <c r="I467" s="26"/>
    </row>
    <row r="468" spans="7:9" x14ac:dyDescent="0.3">
      <c r="G468" s="26"/>
      <c r="H468" s="26"/>
      <c r="I468" s="26"/>
    </row>
    <row r="469" spans="7:9" x14ac:dyDescent="0.3">
      <c r="G469" s="26"/>
      <c r="H469" s="26"/>
      <c r="I469" s="26"/>
    </row>
    <row r="470" spans="7:9" x14ac:dyDescent="0.3">
      <c r="G470" s="26"/>
      <c r="H470" s="26"/>
      <c r="I470" s="26"/>
    </row>
    <row r="471" spans="7:9" x14ac:dyDescent="0.3">
      <c r="G471" s="26"/>
      <c r="H471" s="26"/>
      <c r="I471" s="26"/>
    </row>
    <row r="472" spans="7:9" x14ac:dyDescent="0.3">
      <c r="G472" s="26"/>
      <c r="H472" s="26"/>
      <c r="I472" s="26"/>
    </row>
    <row r="473" spans="7:9" x14ac:dyDescent="0.3">
      <c r="G473" s="26"/>
      <c r="H473" s="26"/>
      <c r="I473" s="26"/>
    </row>
    <row r="474" spans="7:9" x14ac:dyDescent="0.3">
      <c r="G474" s="26"/>
      <c r="H474" s="26"/>
      <c r="I474" s="26"/>
    </row>
    <row r="475" spans="7:9" x14ac:dyDescent="0.3">
      <c r="G475" s="26"/>
      <c r="H475" s="26"/>
      <c r="I475" s="26"/>
    </row>
    <row r="476" spans="7:9" x14ac:dyDescent="0.3">
      <c r="G476" s="26"/>
      <c r="H476" s="26"/>
      <c r="I476" s="26"/>
    </row>
    <row r="477" spans="7:9" x14ac:dyDescent="0.3">
      <c r="G477" s="26"/>
      <c r="H477" s="26"/>
      <c r="I477" s="26"/>
    </row>
    <row r="478" spans="7:9" x14ac:dyDescent="0.3">
      <c r="G478" s="26"/>
      <c r="H478" s="26"/>
      <c r="I478" s="26"/>
    </row>
    <row r="479" spans="7:9" x14ac:dyDescent="0.3">
      <c r="G479" s="26"/>
      <c r="H479" s="26"/>
      <c r="I479" s="26"/>
    </row>
    <row r="480" spans="7:9" x14ac:dyDescent="0.3">
      <c r="G480" s="26"/>
      <c r="H480" s="26"/>
      <c r="I480" s="26"/>
    </row>
    <row r="481" spans="7:9" x14ac:dyDescent="0.3">
      <c r="G481" s="26"/>
      <c r="H481" s="26"/>
      <c r="I481" s="26"/>
    </row>
    <row r="482" spans="7:9" x14ac:dyDescent="0.3">
      <c r="G482" s="26"/>
      <c r="H482" s="26"/>
      <c r="I482" s="26"/>
    </row>
    <row r="483" spans="7:9" x14ac:dyDescent="0.3">
      <c r="G483" s="26"/>
      <c r="H483" s="26"/>
      <c r="I483" s="26"/>
    </row>
    <row r="484" spans="7:9" x14ac:dyDescent="0.3">
      <c r="G484" s="26"/>
      <c r="H484" s="26"/>
      <c r="I484" s="26"/>
    </row>
    <row r="485" spans="7:9" x14ac:dyDescent="0.3">
      <c r="G485" s="26"/>
      <c r="H485" s="26"/>
      <c r="I485" s="26"/>
    </row>
    <row r="486" spans="7:9" x14ac:dyDescent="0.3">
      <c r="G486" s="26"/>
      <c r="H486" s="26"/>
      <c r="I486" s="26"/>
    </row>
    <row r="487" spans="7:9" x14ac:dyDescent="0.3">
      <c r="G487" s="26"/>
      <c r="H487" s="26"/>
      <c r="I487" s="26"/>
    </row>
    <row r="488" spans="7:9" x14ac:dyDescent="0.3">
      <c r="G488" s="26"/>
      <c r="H488" s="26"/>
      <c r="I488" s="26"/>
    </row>
    <row r="489" spans="7:9" x14ac:dyDescent="0.3">
      <c r="G489" s="26"/>
      <c r="H489" s="26"/>
      <c r="I489" s="26"/>
    </row>
    <row r="490" spans="7:9" x14ac:dyDescent="0.3">
      <c r="G490" s="26"/>
      <c r="H490" s="26"/>
      <c r="I490" s="26"/>
    </row>
    <row r="491" spans="7:9" x14ac:dyDescent="0.3">
      <c r="G491" s="26"/>
      <c r="H491" s="26"/>
      <c r="I491" s="26"/>
    </row>
    <row r="492" spans="7:9" x14ac:dyDescent="0.3">
      <c r="G492" s="26"/>
      <c r="H492" s="26"/>
      <c r="I492" s="26"/>
    </row>
    <row r="493" spans="7:9" x14ac:dyDescent="0.3">
      <c r="G493" s="26"/>
      <c r="H493" s="26"/>
      <c r="I493" s="26"/>
    </row>
    <row r="494" spans="7:9" x14ac:dyDescent="0.3">
      <c r="G494" s="26"/>
      <c r="H494" s="26"/>
      <c r="I494" s="26"/>
    </row>
    <row r="495" spans="7:9" x14ac:dyDescent="0.3">
      <c r="G495" s="26"/>
      <c r="H495" s="26"/>
      <c r="I495" s="26"/>
    </row>
    <row r="496" spans="7:9" x14ac:dyDescent="0.3">
      <c r="G496" s="26"/>
      <c r="H496" s="26"/>
      <c r="I496" s="26"/>
    </row>
    <row r="497" spans="7:9" x14ac:dyDescent="0.3">
      <c r="G497" s="26"/>
      <c r="H497" s="26"/>
      <c r="I497" s="26"/>
    </row>
    <row r="498" spans="7:9" x14ac:dyDescent="0.3">
      <c r="G498" s="26"/>
      <c r="H498" s="26"/>
      <c r="I498" s="26"/>
    </row>
    <row r="499" spans="7:9" x14ac:dyDescent="0.3">
      <c r="G499" s="26"/>
      <c r="H499" s="26"/>
      <c r="I499" s="26"/>
    </row>
    <row r="500" spans="7:9" x14ac:dyDescent="0.3">
      <c r="G500" s="26"/>
      <c r="H500" s="26"/>
      <c r="I500" s="26"/>
    </row>
    <row r="501" spans="7:9" x14ac:dyDescent="0.3">
      <c r="G501" s="26"/>
      <c r="H501" s="26"/>
      <c r="I501" s="26"/>
    </row>
    <row r="502" spans="7:9" x14ac:dyDescent="0.3">
      <c r="G502" s="26"/>
      <c r="H502" s="26"/>
      <c r="I502" s="26"/>
    </row>
    <row r="503" spans="7:9" x14ac:dyDescent="0.3">
      <c r="G503" s="26"/>
      <c r="H503" s="26"/>
      <c r="I503" s="26"/>
    </row>
    <row r="504" spans="7:9" x14ac:dyDescent="0.3">
      <c r="G504" s="26"/>
      <c r="H504" s="26"/>
      <c r="I504" s="26"/>
    </row>
    <row r="505" spans="7:9" x14ac:dyDescent="0.3">
      <c r="G505" s="26"/>
      <c r="H505" s="26"/>
      <c r="I505" s="26"/>
    </row>
    <row r="506" spans="7:9" x14ac:dyDescent="0.3">
      <c r="G506" s="26"/>
      <c r="H506" s="26"/>
      <c r="I506" s="26"/>
    </row>
    <row r="507" spans="7:9" x14ac:dyDescent="0.3">
      <c r="G507" s="26"/>
      <c r="H507" s="26"/>
      <c r="I507" s="26"/>
    </row>
    <row r="508" spans="7:9" x14ac:dyDescent="0.3">
      <c r="G508" s="26"/>
      <c r="H508" s="26"/>
      <c r="I508" s="26"/>
    </row>
    <row r="509" spans="7:9" x14ac:dyDescent="0.3">
      <c r="G509" s="26"/>
      <c r="H509" s="26"/>
      <c r="I509" s="26"/>
    </row>
    <row r="510" spans="7:9" x14ac:dyDescent="0.3">
      <c r="G510" s="26"/>
      <c r="H510" s="26"/>
      <c r="I510" s="26"/>
    </row>
    <row r="511" spans="7:9" x14ac:dyDescent="0.3">
      <c r="G511" s="26"/>
      <c r="H511" s="26"/>
      <c r="I511" s="26"/>
    </row>
    <row r="512" spans="7:9" x14ac:dyDescent="0.3">
      <c r="G512" s="26"/>
      <c r="H512" s="26"/>
      <c r="I512" s="26"/>
    </row>
    <row r="513" spans="7:9" x14ac:dyDescent="0.3">
      <c r="G513" s="26"/>
      <c r="H513" s="26"/>
      <c r="I513" s="26"/>
    </row>
    <row r="514" spans="7:9" x14ac:dyDescent="0.3">
      <c r="G514" s="26"/>
      <c r="H514" s="26"/>
      <c r="I514" s="26"/>
    </row>
    <row r="515" spans="7:9" x14ac:dyDescent="0.3">
      <c r="G515" s="26"/>
      <c r="H515" s="26"/>
      <c r="I515" s="26"/>
    </row>
    <row r="516" spans="7:9" x14ac:dyDescent="0.3">
      <c r="G516" s="26"/>
      <c r="H516" s="26"/>
      <c r="I516" s="26"/>
    </row>
    <row r="517" spans="7:9" x14ac:dyDescent="0.3">
      <c r="G517" s="26"/>
      <c r="H517" s="26"/>
      <c r="I517" s="26"/>
    </row>
    <row r="518" spans="7:9" x14ac:dyDescent="0.3">
      <c r="G518" s="26"/>
      <c r="H518" s="26"/>
      <c r="I518" s="26"/>
    </row>
    <row r="519" spans="7:9" x14ac:dyDescent="0.3">
      <c r="G519" s="26"/>
      <c r="H519" s="26"/>
      <c r="I519" s="26"/>
    </row>
    <row r="520" spans="7:9" x14ac:dyDescent="0.3">
      <c r="G520" s="26"/>
      <c r="H520" s="26"/>
      <c r="I520" s="26"/>
    </row>
    <row r="521" spans="7:9" x14ac:dyDescent="0.3">
      <c r="G521" s="26"/>
      <c r="H521" s="26"/>
      <c r="I521" s="26"/>
    </row>
    <row r="522" spans="7:9" x14ac:dyDescent="0.3">
      <c r="G522" s="26"/>
      <c r="H522" s="26"/>
      <c r="I522" s="26"/>
    </row>
    <row r="523" spans="7:9" x14ac:dyDescent="0.3">
      <c r="G523" s="26"/>
      <c r="H523" s="26"/>
      <c r="I523" s="26"/>
    </row>
    <row r="524" spans="7:9" x14ac:dyDescent="0.3">
      <c r="G524" s="26"/>
      <c r="H524" s="26"/>
      <c r="I524" s="26"/>
    </row>
    <row r="525" spans="7:9" x14ac:dyDescent="0.3">
      <c r="G525" s="26"/>
      <c r="H525" s="26"/>
      <c r="I525" s="26"/>
    </row>
    <row r="526" spans="7:9" x14ac:dyDescent="0.3">
      <c r="G526" s="26"/>
      <c r="H526" s="26"/>
      <c r="I526" s="26"/>
    </row>
    <row r="527" spans="7:9" x14ac:dyDescent="0.3">
      <c r="G527" s="26"/>
      <c r="H527" s="26"/>
      <c r="I527" s="26"/>
    </row>
    <row r="528" spans="7:9" x14ac:dyDescent="0.3">
      <c r="G528" s="26"/>
      <c r="H528" s="26"/>
      <c r="I528" s="26"/>
    </row>
    <row r="529" spans="7:9" x14ac:dyDescent="0.3">
      <c r="G529" s="26"/>
      <c r="H529" s="26"/>
      <c r="I529" s="26"/>
    </row>
    <row r="530" spans="7:9" x14ac:dyDescent="0.3">
      <c r="G530" s="26"/>
      <c r="H530" s="26"/>
      <c r="I530" s="26"/>
    </row>
    <row r="531" spans="7:9" x14ac:dyDescent="0.3">
      <c r="G531" s="26"/>
      <c r="H531" s="26"/>
      <c r="I531" s="26"/>
    </row>
    <row r="532" spans="7:9" x14ac:dyDescent="0.3">
      <c r="G532" s="26"/>
      <c r="H532" s="26"/>
      <c r="I532" s="26"/>
    </row>
    <row r="533" spans="7:9" x14ac:dyDescent="0.3">
      <c r="G533" s="26"/>
      <c r="H533" s="26"/>
      <c r="I533" s="26"/>
    </row>
    <row r="534" spans="7:9" x14ac:dyDescent="0.3">
      <c r="G534" s="26"/>
      <c r="H534" s="26"/>
      <c r="I534" s="26"/>
    </row>
    <row r="535" spans="7:9" x14ac:dyDescent="0.3">
      <c r="G535" s="26"/>
      <c r="H535" s="26"/>
      <c r="I535" s="26"/>
    </row>
    <row r="536" spans="7:9" x14ac:dyDescent="0.3">
      <c r="G536" s="26"/>
      <c r="H536" s="26"/>
      <c r="I536" s="26"/>
    </row>
    <row r="537" spans="7:9" x14ac:dyDescent="0.3">
      <c r="G537" s="26"/>
      <c r="H537" s="26"/>
      <c r="I537" s="26"/>
    </row>
    <row r="538" spans="7:9" x14ac:dyDescent="0.3">
      <c r="G538" s="26"/>
      <c r="H538" s="26"/>
      <c r="I538" s="26"/>
    </row>
    <row r="539" spans="7:9" x14ac:dyDescent="0.3">
      <c r="G539" s="26"/>
      <c r="H539" s="26"/>
      <c r="I539" s="26"/>
    </row>
    <row r="540" spans="7:9" x14ac:dyDescent="0.3">
      <c r="G540" s="26"/>
      <c r="H540" s="26"/>
      <c r="I540" s="26"/>
    </row>
    <row r="541" spans="7:9" x14ac:dyDescent="0.3">
      <c r="G541" s="26"/>
      <c r="H541" s="26"/>
      <c r="I541" s="26"/>
    </row>
    <row r="542" spans="7:9" x14ac:dyDescent="0.3">
      <c r="G542" s="26"/>
      <c r="H542" s="26"/>
      <c r="I542" s="26"/>
    </row>
    <row r="543" spans="7:9" x14ac:dyDescent="0.3">
      <c r="G543" s="26"/>
      <c r="H543" s="26"/>
      <c r="I543" s="26"/>
    </row>
    <row r="544" spans="7:9" x14ac:dyDescent="0.3">
      <c r="G544" s="26"/>
      <c r="H544" s="26"/>
      <c r="I544" s="26"/>
    </row>
    <row r="545" spans="7:9" x14ac:dyDescent="0.3">
      <c r="G545" s="26"/>
      <c r="H545" s="26"/>
      <c r="I545" s="26"/>
    </row>
    <row r="546" spans="7:9" x14ac:dyDescent="0.3">
      <c r="G546" s="26"/>
      <c r="H546" s="26"/>
      <c r="I546" s="26"/>
    </row>
    <row r="547" spans="7:9" x14ac:dyDescent="0.3">
      <c r="G547" s="26"/>
      <c r="H547" s="26"/>
      <c r="I547" s="26"/>
    </row>
    <row r="548" spans="7:9" x14ac:dyDescent="0.3">
      <c r="G548" s="26"/>
      <c r="H548" s="26"/>
      <c r="I548" s="26"/>
    </row>
    <row r="549" spans="7:9" x14ac:dyDescent="0.3">
      <c r="G549" s="26"/>
      <c r="H549" s="26"/>
      <c r="I549" s="26"/>
    </row>
    <row r="550" spans="7:9" x14ac:dyDescent="0.3">
      <c r="G550" s="26"/>
      <c r="H550" s="26"/>
      <c r="I550" s="26"/>
    </row>
    <row r="551" spans="7:9" x14ac:dyDescent="0.3">
      <c r="G551" s="26"/>
      <c r="H551" s="26"/>
      <c r="I551" s="26"/>
    </row>
    <row r="552" spans="7:9" x14ac:dyDescent="0.3">
      <c r="G552" s="26"/>
      <c r="H552" s="26"/>
      <c r="I552" s="26"/>
    </row>
    <row r="553" spans="7:9" x14ac:dyDescent="0.3">
      <c r="G553" s="26"/>
      <c r="H553" s="26"/>
      <c r="I553" s="26"/>
    </row>
    <row r="554" spans="7:9" x14ac:dyDescent="0.3">
      <c r="G554" s="26"/>
      <c r="H554" s="26"/>
      <c r="I554" s="26"/>
    </row>
    <row r="555" spans="7:9" x14ac:dyDescent="0.3">
      <c r="G555" s="26"/>
      <c r="H555" s="26"/>
      <c r="I555" s="26"/>
    </row>
    <row r="556" spans="7:9" x14ac:dyDescent="0.3">
      <c r="G556" s="26"/>
      <c r="H556" s="26"/>
      <c r="I556" s="26"/>
    </row>
    <row r="557" spans="7:9" x14ac:dyDescent="0.3">
      <c r="G557" s="26"/>
      <c r="H557" s="26"/>
      <c r="I557" s="26"/>
    </row>
    <row r="558" spans="7:9" x14ac:dyDescent="0.3">
      <c r="G558" s="26"/>
      <c r="H558" s="26"/>
      <c r="I558" s="26"/>
    </row>
    <row r="559" spans="7:9" x14ac:dyDescent="0.3">
      <c r="G559" s="26"/>
      <c r="H559" s="26"/>
      <c r="I559" s="26"/>
    </row>
    <row r="560" spans="7:9" x14ac:dyDescent="0.3">
      <c r="G560" s="26"/>
      <c r="H560" s="26"/>
      <c r="I560" s="26"/>
    </row>
    <row r="561" spans="7:9" x14ac:dyDescent="0.3">
      <c r="G561" s="26"/>
      <c r="H561" s="26"/>
      <c r="I561" s="26"/>
    </row>
    <row r="562" spans="7:9" x14ac:dyDescent="0.3">
      <c r="G562" s="26"/>
      <c r="H562" s="26"/>
      <c r="I562" s="26"/>
    </row>
    <row r="563" spans="7:9" x14ac:dyDescent="0.3">
      <c r="G563" s="26"/>
      <c r="H563" s="26"/>
      <c r="I563" s="26"/>
    </row>
    <row r="564" spans="7:9" x14ac:dyDescent="0.3">
      <c r="G564" s="26"/>
      <c r="H564" s="26"/>
      <c r="I564" s="26"/>
    </row>
    <row r="565" spans="7:9" x14ac:dyDescent="0.3">
      <c r="G565" s="26"/>
      <c r="H565" s="26"/>
      <c r="I565" s="26"/>
    </row>
    <row r="566" spans="7:9" x14ac:dyDescent="0.3">
      <c r="G566" s="26"/>
      <c r="H566" s="26"/>
      <c r="I566" s="26"/>
    </row>
    <row r="567" spans="7:9" x14ac:dyDescent="0.3">
      <c r="G567" s="26"/>
      <c r="H567" s="26"/>
      <c r="I567" s="26"/>
    </row>
    <row r="568" spans="7:9" x14ac:dyDescent="0.3">
      <c r="G568" s="26"/>
      <c r="H568" s="26"/>
      <c r="I568" s="26"/>
    </row>
    <row r="569" spans="7:9" x14ac:dyDescent="0.3">
      <c r="G569" s="26"/>
      <c r="H569" s="26"/>
      <c r="I569" s="26"/>
    </row>
    <row r="570" spans="7:9" x14ac:dyDescent="0.3">
      <c r="G570" s="26"/>
      <c r="H570" s="26"/>
      <c r="I570" s="26"/>
    </row>
    <row r="571" spans="7:9" x14ac:dyDescent="0.3">
      <c r="G571" s="26"/>
      <c r="H571" s="26"/>
      <c r="I571" s="26"/>
    </row>
    <row r="572" spans="7:9" x14ac:dyDescent="0.3">
      <c r="G572" s="26"/>
      <c r="H572" s="26"/>
      <c r="I572" s="26"/>
    </row>
    <row r="573" spans="7:9" x14ac:dyDescent="0.3">
      <c r="G573" s="26"/>
      <c r="H573" s="26"/>
      <c r="I573" s="26"/>
    </row>
    <row r="574" spans="7:9" x14ac:dyDescent="0.3">
      <c r="G574" s="26"/>
      <c r="H574" s="26"/>
      <c r="I574" s="26"/>
    </row>
    <row r="575" spans="7:9" x14ac:dyDescent="0.3">
      <c r="G575" s="26"/>
      <c r="H575" s="26"/>
      <c r="I575" s="26"/>
    </row>
    <row r="576" spans="7:9" x14ac:dyDescent="0.3">
      <c r="G576" s="26"/>
      <c r="H576" s="26"/>
      <c r="I576" s="26"/>
    </row>
    <row r="577" spans="7:9" x14ac:dyDescent="0.3">
      <c r="G577" s="26"/>
      <c r="H577" s="26"/>
      <c r="I577" s="26"/>
    </row>
    <row r="578" spans="7:9" x14ac:dyDescent="0.3">
      <c r="G578" s="26"/>
      <c r="H578" s="26"/>
      <c r="I578" s="26"/>
    </row>
    <row r="579" spans="7:9" x14ac:dyDescent="0.3">
      <c r="G579" s="26"/>
      <c r="H579" s="26"/>
      <c r="I579" s="26"/>
    </row>
    <row r="580" spans="7:9" x14ac:dyDescent="0.3">
      <c r="G580" s="26"/>
      <c r="H580" s="26"/>
      <c r="I580" s="26"/>
    </row>
    <row r="581" spans="7:9" x14ac:dyDescent="0.3">
      <c r="G581" s="26"/>
      <c r="H581" s="26"/>
      <c r="I581" s="26"/>
    </row>
    <row r="582" spans="7:9" x14ac:dyDescent="0.3">
      <c r="G582" s="26"/>
      <c r="H582" s="26"/>
      <c r="I582" s="26"/>
    </row>
    <row r="583" spans="7:9" x14ac:dyDescent="0.3">
      <c r="G583" s="26"/>
      <c r="H583" s="26"/>
      <c r="I583" s="26"/>
    </row>
    <row r="584" spans="7:9" x14ac:dyDescent="0.3">
      <c r="G584" s="26"/>
      <c r="H584" s="26"/>
      <c r="I584" s="26"/>
    </row>
    <row r="585" spans="7:9" x14ac:dyDescent="0.3">
      <c r="G585" s="26"/>
      <c r="H585" s="26"/>
      <c r="I585" s="26"/>
    </row>
    <row r="586" spans="7:9" x14ac:dyDescent="0.3">
      <c r="G586" s="26"/>
      <c r="H586" s="26"/>
      <c r="I586" s="26"/>
    </row>
    <row r="587" spans="7:9" x14ac:dyDescent="0.3">
      <c r="G587" s="26"/>
      <c r="H587" s="26"/>
      <c r="I587" s="26"/>
    </row>
    <row r="588" spans="7:9" x14ac:dyDescent="0.3">
      <c r="G588" s="26"/>
      <c r="H588" s="26"/>
      <c r="I588" s="26"/>
    </row>
    <row r="589" spans="7:9" x14ac:dyDescent="0.3">
      <c r="G589" s="26"/>
      <c r="H589" s="26"/>
      <c r="I589" s="26"/>
    </row>
    <row r="590" spans="7:9" x14ac:dyDescent="0.3">
      <c r="G590" s="26"/>
      <c r="H590" s="26"/>
      <c r="I590" s="26"/>
    </row>
    <row r="591" spans="7:9" x14ac:dyDescent="0.3">
      <c r="G591" s="26"/>
      <c r="H591" s="26"/>
      <c r="I591" s="26"/>
    </row>
    <row r="592" spans="7:9" x14ac:dyDescent="0.3">
      <c r="G592" s="26"/>
      <c r="H592" s="26"/>
      <c r="I592" s="26"/>
    </row>
    <row r="593" spans="7:9" x14ac:dyDescent="0.3">
      <c r="G593" s="26"/>
      <c r="H593" s="26"/>
      <c r="I593" s="26"/>
    </row>
    <row r="594" spans="7:9" x14ac:dyDescent="0.3">
      <c r="G594" s="26"/>
      <c r="H594" s="26"/>
      <c r="I594" s="26"/>
    </row>
    <row r="595" spans="7:9" x14ac:dyDescent="0.3">
      <c r="G595" s="26"/>
      <c r="H595" s="26"/>
      <c r="I595" s="26"/>
    </row>
    <row r="596" spans="7:9" x14ac:dyDescent="0.3">
      <c r="G596" s="26"/>
      <c r="H596" s="26"/>
      <c r="I596" s="26"/>
    </row>
    <row r="597" spans="7:9" x14ac:dyDescent="0.3">
      <c r="G597" s="26"/>
      <c r="H597" s="26"/>
      <c r="I597" s="26"/>
    </row>
    <row r="598" spans="7:9" x14ac:dyDescent="0.3">
      <c r="G598" s="26"/>
      <c r="H598" s="26"/>
      <c r="I598" s="26"/>
    </row>
    <row r="599" spans="7:9" x14ac:dyDescent="0.3">
      <c r="G599" s="26"/>
      <c r="H599" s="26"/>
      <c r="I599" s="26"/>
    </row>
    <row r="600" spans="7:9" x14ac:dyDescent="0.3">
      <c r="G600" s="26"/>
      <c r="H600" s="26"/>
      <c r="I600" s="26"/>
    </row>
    <row r="601" spans="7:9" x14ac:dyDescent="0.3">
      <c r="G601" s="26"/>
      <c r="H601" s="26"/>
      <c r="I601" s="26"/>
    </row>
    <row r="602" spans="7:9" x14ac:dyDescent="0.3">
      <c r="G602" s="26"/>
      <c r="H602" s="26"/>
      <c r="I602" s="26"/>
    </row>
    <row r="603" spans="7:9" x14ac:dyDescent="0.3">
      <c r="G603" s="26"/>
      <c r="H603" s="26"/>
      <c r="I603" s="26"/>
    </row>
    <row r="604" spans="7:9" x14ac:dyDescent="0.3">
      <c r="G604" s="26"/>
      <c r="H604" s="26"/>
      <c r="I604" s="26"/>
    </row>
    <row r="605" spans="7:9" x14ac:dyDescent="0.3">
      <c r="G605" s="26"/>
      <c r="H605" s="26"/>
      <c r="I605" s="26"/>
    </row>
    <row r="606" spans="7:9" x14ac:dyDescent="0.3">
      <c r="G606" s="26"/>
      <c r="H606" s="26"/>
      <c r="I606" s="26"/>
    </row>
    <row r="607" spans="7:9" x14ac:dyDescent="0.3">
      <c r="G607" s="26"/>
      <c r="H607" s="26"/>
      <c r="I607" s="26"/>
    </row>
    <row r="608" spans="7:9" x14ac:dyDescent="0.3">
      <c r="G608" s="26"/>
      <c r="H608" s="26"/>
      <c r="I608" s="26"/>
    </row>
    <row r="609" spans="7:9" x14ac:dyDescent="0.3">
      <c r="G609" s="26"/>
      <c r="H609" s="26"/>
      <c r="I609" s="26"/>
    </row>
    <row r="610" spans="7:9" x14ac:dyDescent="0.3">
      <c r="G610" s="26"/>
      <c r="H610" s="26"/>
      <c r="I610" s="26"/>
    </row>
    <row r="611" spans="7:9" x14ac:dyDescent="0.3">
      <c r="G611" s="26"/>
      <c r="H611" s="26"/>
      <c r="I611" s="26"/>
    </row>
    <row r="612" spans="7:9" x14ac:dyDescent="0.3">
      <c r="G612" s="26"/>
      <c r="H612" s="26"/>
      <c r="I612" s="26"/>
    </row>
    <row r="613" spans="7:9" x14ac:dyDescent="0.3">
      <c r="G613" s="26"/>
      <c r="H613" s="26"/>
      <c r="I613" s="26"/>
    </row>
    <row r="614" spans="7:9" x14ac:dyDescent="0.3">
      <c r="G614" s="26"/>
      <c r="H614" s="26"/>
      <c r="I614" s="26"/>
    </row>
    <row r="615" spans="7:9" x14ac:dyDescent="0.3">
      <c r="G615" s="26"/>
      <c r="H615" s="26"/>
      <c r="I615" s="26"/>
    </row>
    <row r="616" spans="7:9" x14ac:dyDescent="0.3">
      <c r="G616" s="26"/>
      <c r="H616" s="26"/>
      <c r="I616" s="26"/>
    </row>
    <row r="617" spans="7:9" x14ac:dyDescent="0.3">
      <c r="G617" s="26"/>
      <c r="H617" s="26"/>
      <c r="I617" s="26"/>
    </row>
    <row r="618" spans="7:9" x14ac:dyDescent="0.3">
      <c r="G618" s="26"/>
      <c r="H618" s="26"/>
      <c r="I618" s="26"/>
    </row>
    <row r="619" spans="7:9" x14ac:dyDescent="0.3">
      <c r="G619" s="26"/>
      <c r="H619" s="26"/>
      <c r="I619" s="26"/>
    </row>
    <row r="620" spans="7:9" x14ac:dyDescent="0.3">
      <c r="G620" s="26"/>
      <c r="H620" s="26"/>
      <c r="I620" s="26"/>
    </row>
    <row r="621" spans="7:9" x14ac:dyDescent="0.3">
      <c r="G621" s="26"/>
      <c r="H621" s="26"/>
      <c r="I621" s="26"/>
    </row>
    <row r="622" spans="7:9" x14ac:dyDescent="0.3">
      <c r="G622" s="26"/>
      <c r="H622" s="26"/>
      <c r="I622" s="26"/>
    </row>
    <row r="623" spans="7:9" x14ac:dyDescent="0.3">
      <c r="G623" s="26"/>
      <c r="H623" s="26"/>
      <c r="I623" s="26"/>
    </row>
    <row r="624" spans="7:9" x14ac:dyDescent="0.3">
      <c r="G624" s="26"/>
      <c r="H624" s="26"/>
      <c r="I624" s="26"/>
    </row>
    <row r="625" spans="7:9" x14ac:dyDescent="0.3">
      <c r="G625" s="26"/>
      <c r="H625" s="26"/>
      <c r="I625" s="26"/>
    </row>
    <row r="626" spans="7:9" x14ac:dyDescent="0.3">
      <c r="G626" s="26"/>
      <c r="H626" s="26"/>
      <c r="I626" s="26"/>
    </row>
    <row r="627" spans="7:9" x14ac:dyDescent="0.3">
      <c r="G627" s="26"/>
      <c r="H627" s="26"/>
      <c r="I627" s="26"/>
    </row>
    <row r="628" spans="7:9" x14ac:dyDescent="0.3">
      <c r="G628" s="26"/>
      <c r="H628" s="26"/>
      <c r="I628" s="26"/>
    </row>
    <row r="629" spans="7:9" x14ac:dyDescent="0.3">
      <c r="G629" s="26"/>
      <c r="H629" s="26"/>
      <c r="I629" s="26"/>
    </row>
    <row r="630" spans="7:9" x14ac:dyDescent="0.3">
      <c r="G630" s="26"/>
      <c r="H630" s="26"/>
      <c r="I630" s="26"/>
    </row>
    <row r="631" spans="7:9" x14ac:dyDescent="0.3">
      <c r="G631" s="26"/>
      <c r="H631" s="26"/>
      <c r="I631" s="26"/>
    </row>
    <row r="632" spans="7:9" x14ac:dyDescent="0.3">
      <c r="G632" s="26"/>
      <c r="H632" s="26"/>
      <c r="I632" s="26"/>
    </row>
    <row r="633" spans="7:9" x14ac:dyDescent="0.3">
      <c r="G633" s="26"/>
      <c r="H633" s="26"/>
      <c r="I633" s="26"/>
    </row>
    <row r="634" spans="7:9" x14ac:dyDescent="0.3">
      <c r="G634" s="26"/>
      <c r="H634" s="26"/>
      <c r="I634" s="26"/>
    </row>
    <row r="635" spans="7:9" x14ac:dyDescent="0.3">
      <c r="G635" s="26"/>
      <c r="H635" s="26"/>
      <c r="I635" s="26"/>
    </row>
    <row r="636" spans="7:9" x14ac:dyDescent="0.3">
      <c r="G636" s="26"/>
      <c r="H636" s="26"/>
      <c r="I636" s="26"/>
    </row>
    <row r="637" spans="7:9" x14ac:dyDescent="0.3">
      <c r="G637" s="26"/>
      <c r="H637" s="26"/>
      <c r="I637" s="26"/>
    </row>
    <row r="638" spans="7:9" x14ac:dyDescent="0.3">
      <c r="G638" s="26"/>
      <c r="H638" s="26"/>
      <c r="I638" s="26"/>
    </row>
    <row r="639" spans="7:9" x14ac:dyDescent="0.3">
      <c r="G639" s="26"/>
      <c r="H639" s="26"/>
      <c r="I639" s="26"/>
    </row>
    <row r="640" spans="7:9" x14ac:dyDescent="0.3">
      <c r="G640" s="26"/>
      <c r="H640" s="26"/>
      <c r="I640" s="26"/>
    </row>
    <row r="641" spans="7:9" x14ac:dyDescent="0.3">
      <c r="G641" s="26"/>
      <c r="H641" s="26"/>
      <c r="I641" s="26"/>
    </row>
    <row r="642" spans="7:9" x14ac:dyDescent="0.3">
      <c r="G642" s="26"/>
      <c r="H642" s="26"/>
      <c r="I642" s="26"/>
    </row>
    <row r="643" spans="7:9" x14ac:dyDescent="0.3">
      <c r="G643" s="26"/>
      <c r="H643" s="26"/>
      <c r="I643" s="26"/>
    </row>
    <row r="644" spans="7:9" x14ac:dyDescent="0.3">
      <c r="G644" s="26"/>
      <c r="H644" s="26"/>
      <c r="I644" s="26"/>
    </row>
    <row r="645" spans="7:9" x14ac:dyDescent="0.3">
      <c r="G645" s="26"/>
      <c r="H645" s="26"/>
      <c r="I645" s="26"/>
    </row>
    <row r="646" spans="7:9" x14ac:dyDescent="0.3">
      <c r="G646" s="26"/>
      <c r="H646" s="26"/>
      <c r="I646" s="26"/>
    </row>
    <row r="647" spans="7:9" x14ac:dyDescent="0.3">
      <c r="G647" s="26"/>
      <c r="H647" s="26"/>
      <c r="I647" s="26"/>
    </row>
    <row r="648" spans="7:9" x14ac:dyDescent="0.3">
      <c r="G648" s="26"/>
      <c r="H648" s="26"/>
      <c r="I648" s="26"/>
    </row>
    <row r="649" spans="7:9" x14ac:dyDescent="0.3">
      <c r="G649" s="26"/>
      <c r="H649" s="26"/>
      <c r="I649" s="26"/>
    </row>
    <row r="650" spans="7:9" x14ac:dyDescent="0.3">
      <c r="G650" s="26"/>
      <c r="H650" s="26"/>
      <c r="I650" s="26"/>
    </row>
    <row r="651" spans="7:9" x14ac:dyDescent="0.3">
      <c r="G651" s="26"/>
      <c r="H651" s="26"/>
      <c r="I651" s="26"/>
    </row>
    <row r="652" spans="7:9" x14ac:dyDescent="0.3">
      <c r="G652" s="26"/>
      <c r="H652" s="26"/>
      <c r="I652" s="26"/>
    </row>
    <row r="653" spans="7:9" x14ac:dyDescent="0.3">
      <c r="G653" s="26"/>
      <c r="H653" s="26"/>
      <c r="I653" s="26"/>
    </row>
    <row r="654" spans="7:9" x14ac:dyDescent="0.3">
      <c r="G654" s="26"/>
      <c r="H654" s="26"/>
      <c r="I654" s="26"/>
    </row>
    <row r="655" spans="7:9" x14ac:dyDescent="0.3">
      <c r="G655" s="26"/>
      <c r="H655" s="26"/>
      <c r="I655" s="26"/>
    </row>
    <row r="656" spans="7:9" x14ac:dyDescent="0.3">
      <c r="G656" s="26"/>
      <c r="H656" s="26"/>
      <c r="I656" s="26"/>
    </row>
    <row r="657" spans="7:9" x14ac:dyDescent="0.3">
      <c r="G657" s="26"/>
      <c r="H657" s="26"/>
      <c r="I657" s="26"/>
    </row>
    <row r="658" spans="7:9" x14ac:dyDescent="0.3">
      <c r="G658" s="26"/>
      <c r="H658" s="26"/>
      <c r="I658" s="26"/>
    </row>
    <row r="659" spans="7:9" x14ac:dyDescent="0.3">
      <c r="G659" s="26"/>
      <c r="H659" s="26"/>
      <c r="I659" s="26"/>
    </row>
    <row r="660" spans="7:9" x14ac:dyDescent="0.3">
      <c r="G660" s="26"/>
      <c r="H660" s="26"/>
      <c r="I660" s="26"/>
    </row>
    <row r="661" spans="7:9" x14ac:dyDescent="0.3">
      <c r="G661" s="26"/>
      <c r="H661" s="26"/>
      <c r="I661" s="26"/>
    </row>
    <row r="662" spans="7:9" x14ac:dyDescent="0.3">
      <c r="G662" s="26"/>
      <c r="H662" s="26"/>
      <c r="I662" s="26"/>
    </row>
    <row r="663" spans="7:9" x14ac:dyDescent="0.3">
      <c r="G663" s="26"/>
      <c r="H663" s="26"/>
      <c r="I663" s="26"/>
    </row>
    <row r="664" spans="7:9" x14ac:dyDescent="0.3">
      <c r="G664" s="26"/>
      <c r="H664" s="26"/>
      <c r="I664" s="26"/>
    </row>
    <row r="665" spans="7:9" x14ac:dyDescent="0.3">
      <c r="G665" s="26"/>
      <c r="H665" s="26"/>
      <c r="I665" s="26"/>
    </row>
    <row r="666" spans="7:9" x14ac:dyDescent="0.3">
      <c r="G666" s="26"/>
      <c r="H666" s="26"/>
      <c r="I666" s="26"/>
    </row>
    <row r="667" spans="7:9" x14ac:dyDescent="0.3">
      <c r="G667" s="26"/>
      <c r="H667" s="26"/>
      <c r="I667" s="26"/>
    </row>
    <row r="668" spans="7:9" x14ac:dyDescent="0.3">
      <c r="G668" s="26"/>
      <c r="H668" s="26"/>
      <c r="I668" s="26"/>
    </row>
    <row r="669" spans="7:9" x14ac:dyDescent="0.3">
      <c r="G669" s="26"/>
      <c r="H669" s="26"/>
      <c r="I669" s="26"/>
    </row>
    <row r="670" spans="7:9" x14ac:dyDescent="0.3">
      <c r="G670" s="26"/>
      <c r="H670" s="26"/>
      <c r="I670" s="26"/>
    </row>
    <row r="671" spans="7:9" x14ac:dyDescent="0.3">
      <c r="G671" s="26"/>
      <c r="H671" s="26"/>
      <c r="I671" s="26"/>
    </row>
    <row r="672" spans="7:9" x14ac:dyDescent="0.3">
      <c r="G672" s="26"/>
      <c r="H672" s="26"/>
      <c r="I672" s="26"/>
    </row>
    <row r="673" spans="7:9" x14ac:dyDescent="0.3">
      <c r="G673" s="26"/>
      <c r="H673" s="26"/>
      <c r="I673" s="26"/>
    </row>
    <row r="674" spans="7:9" x14ac:dyDescent="0.3">
      <c r="G674" s="26"/>
      <c r="H674" s="26"/>
      <c r="I674" s="26"/>
    </row>
    <row r="675" spans="7:9" x14ac:dyDescent="0.3">
      <c r="G675" s="26"/>
      <c r="H675" s="26"/>
      <c r="I675" s="26"/>
    </row>
    <row r="676" spans="7:9" x14ac:dyDescent="0.3">
      <c r="G676" s="26"/>
      <c r="H676" s="26"/>
      <c r="I676" s="26"/>
    </row>
    <row r="677" spans="7:9" x14ac:dyDescent="0.3">
      <c r="G677" s="26"/>
      <c r="H677" s="26"/>
      <c r="I677" s="26"/>
    </row>
    <row r="678" spans="7:9" x14ac:dyDescent="0.3">
      <c r="G678" s="26"/>
      <c r="H678" s="26"/>
      <c r="I678" s="26"/>
    </row>
    <row r="679" spans="7:9" x14ac:dyDescent="0.3">
      <c r="G679" s="26"/>
      <c r="H679" s="26"/>
      <c r="I679" s="26"/>
    </row>
    <row r="680" spans="7:9" x14ac:dyDescent="0.3">
      <c r="G680" s="26"/>
      <c r="H680" s="26"/>
      <c r="I680" s="26"/>
    </row>
    <row r="681" spans="7:9" x14ac:dyDescent="0.3">
      <c r="G681" s="26"/>
      <c r="H681" s="26"/>
      <c r="I681" s="26"/>
    </row>
    <row r="682" spans="7:9" x14ac:dyDescent="0.3">
      <c r="G682" s="26"/>
      <c r="H682" s="26"/>
      <c r="I682" s="26"/>
    </row>
    <row r="683" spans="7:9" x14ac:dyDescent="0.3">
      <c r="G683" s="26"/>
      <c r="H683" s="26"/>
      <c r="I683" s="26"/>
    </row>
    <row r="684" spans="7:9" x14ac:dyDescent="0.3">
      <c r="G684" s="26"/>
      <c r="H684" s="26"/>
      <c r="I684" s="26"/>
    </row>
    <row r="685" spans="7:9" x14ac:dyDescent="0.3">
      <c r="G685" s="26"/>
      <c r="H685" s="26"/>
      <c r="I685" s="26"/>
    </row>
    <row r="686" spans="7:9" x14ac:dyDescent="0.3">
      <c r="G686" s="26"/>
      <c r="H686" s="26"/>
      <c r="I686" s="26"/>
    </row>
    <row r="687" spans="7:9" x14ac:dyDescent="0.3">
      <c r="G687" s="26"/>
      <c r="H687" s="26"/>
      <c r="I687" s="26"/>
    </row>
    <row r="688" spans="7:9" x14ac:dyDescent="0.3">
      <c r="G688" s="26"/>
      <c r="H688" s="26"/>
      <c r="I688" s="26"/>
    </row>
    <row r="689" spans="7:9" x14ac:dyDescent="0.3">
      <c r="G689" s="26"/>
      <c r="H689" s="26"/>
      <c r="I689" s="26"/>
    </row>
    <row r="690" spans="7:9" x14ac:dyDescent="0.3">
      <c r="G690" s="26"/>
      <c r="H690" s="26"/>
      <c r="I690" s="26"/>
    </row>
    <row r="691" spans="7:9" x14ac:dyDescent="0.3">
      <c r="G691" s="26"/>
      <c r="H691" s="26"/>
      <c r="I691" s="26"/>
    </row>
    <row r="692" spans="7:9" x14ac:dyDescent="0.3">
      <c r="G692" s="26"/>
      <c r="H692" s="26"/>
      <c r="I692" s="26"/>
    </row>
    <row r="693" spans="7:9" x14ac:dyDescent="0.3">
      <c r="G693" s="26"/>
      <c r="H693" s="26"/>
      <c r="I693" s="26"/>
    </row>
    <row r="694" spans="7:9" x14ac:dyDescent="0.3">
      <c r="G694" s="26"/>
      <c r="H694" s="26"/>
      <c r="I694" s="26"/>
    </row>
    <row r="695" spans="7:9" x14ac:dyDescent="0.3">
      <c r="G695" s="26"/>
      <c r="H695" s="26"/>
      <c r="I695" s="26"/>
    </row>
    <row r="696" spans="7:9" x14ac:dyDescent="0.3">
      <c r="G696" s="26"/>
      <c r="H696" s="26"/>
      <c r="I696" s="26"/>
    </row>
    <row r="697" spans="7:9" x14ac:dyDescent="0.3">
      <c r="G697" s="26"/>
      <c r="H697" s="26"/>
      <c r="I697" s="26"/>
    </row>
    <row r="698" spans="7:9" x14ac:dyDescent="0.3">
      <c r="G698" s="26"/>
      <c r="H698" s="26"/>
      <c r="I698" s="26"/>
    </row>
    <row r="699" spans="7:9" x14ac:dyDescent="0.3">
      <c r="G699" s="26"/>
      <c r="H699" s="26"/>
      <c r="I699" s="26"/>
    </row>
    <row r="700" spans="7:9" x14ac:dyDescent="0.3">
      <c r="G700" s="26"/>
      <c r="H700" s="26"/>
      <c r="I700" s="26"/>
    </row>
    <row r="701" spans="7:9" x14ac:dyDescent="0.3">
      <c r="G701" s="26"/>
      <c r="H701" s="26"/>
      <c r="I701" s="26"/>
    </row>
    <row r="702" spans="7:9" x14ac:dyDescent="0.3">
      <c r="G702" s="26"/>
      <c r="H702" s="26"/>
      <c r="I702" s="26"/>
    </row>
    <row r="703" spans="7:9" x14ac:dyDescent="0.3">
      <c r="G703" s="26"/>
      <c r="H703" s="26"/>
      <c r="I703" s="26"/>
    </row>
    <row r="704" spans="7:9" x14ac:dyDescent="0.3">
      <c r="G704" s="26"/>
      <c r="H704" s="26"/>
      <c r="I704" s="26"/>
    </row>
    <row r="705" spans="7:9" x14ac:dyDescent="0.3">
      <c r="G705" s="26"/>
      <c r="H705" s="26"/>
      <c r="I705" s="26"/>
    </row>
    <row r="706" spans="7:9" x14ac:dyDescent="0.3">
      <c r="G706" s="26"/>
      <c r="H706" s="26"/>
      <c r="I706" s="26"/>
    </row>
    <row r="707" spans="7:9" x14ac:dyDescent="0.3">
      <c r="G707" s="26"/>
      <c r="H707" s="26"/>
      <c r="I707" s="26"/>
    </row>
    <row r="708" spans="7:9" x14ac:dyDescent="0.3">
      <c r="G708" s="26"/>
      <c r="H708" s="26"/>
      <c r="I708" s="26"/>
    </row>
    <row r="709" spans="7:9" x14ac:dyDescent="0.3">
      <c r="G709" s="26"/>
      <c r="H709" s="26"/>
      <c r="I709" s="26"/>
    </row>
    <row r="710" spans="7:9" x14ac:dyDescent="0.3">
      <c r="G710" s="26"/>
      <c r="H710" s="26"/>
      <c r="I710" s="26"/>
    </row>
    <row r="711" spans="7:9" x14ac:dyDescent="0.3">
      <c r="G711" s="26"/>
      <c r="H711" s="26"/>
      <c r="I711" s="26"/>
    </row>
    <row r="712" spans="7:9" x14ac:dyDescent="0.3">
      <c r="G712" s="26"/>
      <c r="H712" s="26"/>
      <c r="I712" s="26"/>
    </row>
    <row r="713" spans="7:9" x14ac:dyDescent="0.3">
      <c r="G713" s="26"/>
      <c r="H713" s="26"/>
      <c r="I713" s="26"/>
    </row>
    <row r="714" spans="7:9" x14ac:dyDescent="0.3">
      <c r="G714" s="26"/>
      <c r="H714" s="26"/>
      <c r="I714" s="26"/>
    </row>
    <row r="715" spans="7:9" x14ac:dyDescent="0.3">
      <c r="G715" s="26"/>
      <c r="H715" s="26"/>
      <c r="I715" s="26"/>
    </row>
    <row r="716" spans="7:9" x14ac:dyDescent="0.3">
      <c r="G716" s="26"/>
      <c r="H716" s="26"/>
      <c r="I716" s="26"/>
    </row>
    <row r="717" spans="7:9" x14ac:dyDescent="0.3">
      <c r="G717" s="26"/>
      <c r="H717" s="26"/>
      <c r="I717" s="26"/>
    </row>
    <row r="718" spans="7:9" x14ac:dyDescent="0.3">
      <c r="G718" s="26"/>
      <c r="H718" s="26"/>
      <c r="I718" s="26"/>
    </row>
    <row r="719" spans="7:9" x14ac:dyDescent="0.3">
      <c r="G719" s="26"/>
      <c r="H719" s="26"/>
      <c r="I719" s="26"/>
    </row>
    <row r="720" spans="7:9" x14ac:dyDescent="0.3">
      <c r="G720" s="26"/>
      <c r="H720" s="26"/>
      <c r="I720" s="26"/>
    </row>
    <row r="721" spans="7:9" x14ac:dyDescent="0.3">
      <c r="G721" s="26"/>
      <c r="H721" s="26"/>
      <c r="I721" s="26"/>
    </row>
    <row r="722" spans="7:9" x14ac:dyDescent="0.3">
      <c r="G722" s="26"/>
      <c r="H722" s="26"/>
      <c r="I722" s="26"/>
    </row>
    <row r="723" spans="7:9" x14ac:dyDescent="0.3">
      <c r="G723" s="26"/>
      <c r="H723" s="26"/>
      <c r="I723" s="26"/>
    </row>
    <row r="724" spans="7:9" x14ac:dyDescent="0.3">
      <c r="G724" s="26"/>
      <c r="H724" s="26"/>
      <c r="I724" s="26"/>
    </row>
    <row r="725" spans="7:9" x14ac:dyDescent="0.3">
      <c r="G725" s="26"/>
      <c r="H725" s="26"/>
      <c r="I725" s="26"/>
    </row>
    <row r="726" spans="7:9" x14ac:dyDescent="0.3">
      <c r="G726" s="26"/>
      <c r="H726" s="26"/>
      <c r="I726" s="26"/>
    </row>
    <row r="727" spans="7:9" x14ac:dyDescent="0.3">
      <c r="G727" s="26"/>
      <c r="H727" s="26"/>
      <c r="I727" s="26"/>
    </row>
    <row r="728" spans="7:9" x14ac:dyDescent="0.3">
      <c r="G728" s="26"/>
      <c r="H728" s="26"/>
      <c r="I728" s="26"/>
    </row>
    <row r="729" spans="7:9" x14ac:dyDescent="0.3">
      <c r="G729" s="26"/>
      <c r="H729" s="26"/>
      <c r="I729" s="26"/>
    </row>
    <row r="730" spans="7:9" x14ac:dyDescent="0.3">
      <c r="G730" s="26"/>
      <c r="H730" s="26"/>
      <c r="I730" s="26"/>
    </row>
    <row r="731" spans="7:9" x14ac:dyDescent="0.3">
      <c r="G731" s="26"/>
      <c r="H731" s="26"/>
      <c r="I731" s="26"/>
    </row>
    <row r="732" spans="7:9" x14ac:dyDescent="0.3">
      <c r="G732" s="26"/>
      <c r="H732" s="26"/>
      <c r="I732" s="26"/>
    </row>
    <row r="733" spans="7:9" x14ac:dyDescent="0.3">
      <c r="G733" s="26"/>
      <c r="H733" s="26"/>
      <c r="I733" s="26"/>
    </row>
    <row r="734" spans="7:9" x14ac:dyDescent="0.3">
      <c r="G734" s="26"/>
      <c r="H734" s="26"/>
      <c r="I734" s="26"/>
    </row>
    <row r="735" spans="7:9" x14ac:dyDescent="0.3">
      <c r="G735" s="26"/>
      <c r="H735" s="26"/>
      <c r="I735" s="26"/>
    </row>
    <row r="736" spans="7:9" x14ac:dyDescent="0.3">
      <c r="G736" s="26"/>
      <c r="H736" s="26"/>
      <c r="I736" s="26"/>
    </row>
    <row r="737" spans="7:9" x14ac:dyDescent="0.3">
      <c r="G737" s="26"/>
      <c r="H737" s="26"/>
      <c r="I737" s="26"/>
    </row>
    <row r="738" spans="7:9" x14ac:dyDescent="0.3">
      <c r="G738" s="26"/>
      <c r="H738" s="26"/>
      <c r="I738" s="26"/>
    </row>
    <row r="739" spans="7:9" x14ac:dyDescent="0.3">
      <c r="G739" s="26"/>
      <c r="H739" s="26"/>
      <c r="I739" s="26"/>
    </row>
    <row r="740" spans="7:9" x14ac:dyDescent="0.3">
      <c r="G740" s="26"/>
      <c r="H740" s="26"/>
      <c r="I740" s="26"/>
    </row>
    <row r="741" spans="7:9" x14ac:dyDescent="0.3">
      <c r="G741" s="26"/>
      <c r="H741" s="26"/>
      <c r="I741" s="26"/>
    </row>
    <row r="742" spans="7:9" x14ac:dyDescent="0.3">
      <c r="G742" s="26"/>
      <c r="H742" s="26"/>
      <c r="I742" s="26"/>
    </row>
    <row r="743" spans="7:9" x14ac:dyDescent="0.3">
      <c r="G743" s="26"/>
      <c r="H743" s="26"/>
      <c r="I743" s="26"/>
    </row>
    <row r="744" spans="7:9" x14ac:dyDescent="0.3">
      <c r="G744" s="26"/>
      <c r="H744" s="26"/>
      <c r="I744" s="26"/>
    </row>
    <row r="745" spans="7:9" x14ac:dyDescent="0.3">
      <c r="G745" s="26"/>
      <c r="H745" s="26"/>
      <c r="I745" s="26"/>
    </row>
    <row r="746" spans="7:9" x14ac:dyDescent="0.3">
      <c r="G746" s="26"/>
      <c r="H746" s="26"/>
      <c r="I746" s="26"/>
    </row>
    <row r="747" spans="7:9" x14ac:dyDescent="0.3">
      <c r="G747" s="26"/>
      <c r="H747" s="26"/>
      <c r="I747" s="26"/>
    </row>
    <row r="748" spans="7:9" x14ac:dyDescent="0.3">
      <c r="G748" s="26"/>
      <c r="H748" s="26"/>
      <c r="I748" s="26"/>
    </row>
    <row r="749" spans="7:9" x14ac:dyDescent="0.3">
      <c r="G749" s="26"/>
      <c r="H749" s="26"/>
      <c r="I749" s="26"/>
    </row>
    <row r="750" spans="7:9" x14ac:dyDescent="0.3">
      <c r="G750" s="26"/>
      <c r="H750" s="26"/>
      <c r="I750" s="26"/>
    </row>
    <row r="751" spans="7:9" x14ac:dyDescent="0.3">
      <c r="G751" s="26"/>
      <c r="H751" s="26"/>
      <c r="I751" s="26"/>
    </row>
    <row r="752" spans="7:9" x14ac:dyDescent="0.3">
      <c r="G752" s="26"/>
      <c r="H752" s="26"/>
      <c r="I752" s="26"/>
    </row>
    <row r="753" spans="7:9" x14ac:dyDescent="0.3">
      <c r="G753" s="26"/>
      <c r="H753" s="26"/>
      <c r="I753" s="26"/>
    </row>
    <row r="754" spans="7:9" x14ac:dyDescent="0.3">
      <c r="G754" s="26"/>
      <c r="H754" s="26"/>
      <c r="I754" s="26"/>
    </row>
    <row r="755" spans="7:9" x14ac:dyDescent="0.3">
      <c r="G755" s="26"/>
      <c r="H755" s="26"/>
      <c r="I755" s="26"/>
    </row>
    <row r="756" spans="7:9" x14ac:dyDescent="0.3">
      <c r="G756" s="26"/>
      <c r="H756" s="26"/>
      <c r="I756" s="26"/>
    </row>
    <row r="757" spans="7:9" x14ac:dyDescent="0.3">
      <c r="G757" s="26"/>
      <c r="H757" s="26"/>
      <c r="I757" s="26"/>
    </row>
    <row r="758" spans="7:9" x14ac:dyDescent="0.3">
      <c r="G758" s="26"/>
      <c r="H758" s="26"/>
      <c r="I758" s="26"/>
    </row>
    <row r="759" spans="7:9" x14ac:dyDescent="0.3">
      <c r="G759" s="26"/>
      <c r="H759" s="26"/>
      <c r="I759" s="26"/>
    </row>
    <row r="760" spans="7:9" x14ac:dyDescent="0.3">
      <c r="G760" s="26"/>
      <c r="H760" s="26"/>
      <c r="I760" s="26"/>
    </row>
    <row r="761" spans="7:9" x14ac:dyDescent="0.3">
      <c r="G761" s="26"/>
      <c r="H761" s="26"/>
      <c r="I761" s="26"/>
    </row>
    <row r="762" spans="7:9" x14ac:dyDescent="0.3">
      <c r="G762" s="26"/>
      <c r="H762" s="26"/>
      <c r="I762" s="26"/>
    </row>
    <row r="763" spans="7:9" x14ac:dyDescent="0.3">
      <c r="G763" s="26"/>
      <c r="H763" s="26"/>
      <c r="I763" s="26"/>
    </row>
    <row r="764" spans="7:9" x14ac:dyDescent="0.3">
      <c r="G764" s="26"/>
      <c r="H764" s="26"/>
      <c r="I764" s="26"/>
    </row>
    <row r="765" spans="7:9" x14ac:dyDescent="0.3">
      <c r="G765" s="26"/>
      <c r="H765" s="26"/>
      <c r="I765" s="26"/>
    </row>
    <row r="766" spans="7:9" x14ac:dyDescent="0.3">
      <c r="G766" s="26"/>
      <c r="H766" s="26"/>
      <c r="I766" s="26"/>
    </row>
    <row r="767" spans="7:9" x14ac:dyDescent="0.3">
      <c r="G767" s="26"/>
      <c r="H767" s="26"/>
      <c r="I767" s="26"/>
    </row>
    <row r="768" spans="7:9" x14ac:dyDescent="0.3">
      <c r="G768" s="26"/>
      <c r="H768" s="26"/>
      <c r="I768" s="26"/>
    </row>
    <row r="769" spans="7:9" x14ac:dyDescent="0.3">
      <c r="G769" s="26"/>
      <c r="H769" s="26"/>
      <c r="I769" s="26"/>
    </row>
    <row r="770" spans="7:9" x14ac:dyDescent="0.3">
      <c r="G770" s="26"/>
      <c r="H770" s="26"/>
      <c r="I770" s="26"/>
    </row>
    <row r="771" spans="7:9" x14ac:dyDescent="0.3">
      <c r="G771" s="26"/>
      <c r="H771" s="26"/>
      <c r="I771" s="26"/>
    </row>
    <row r="772" spans="7:9" x14ac:dyDescent="0.3">
      <c r="G772" s="26"/>
      <c r="H772" s="26"/>
      <c r="I772" s="26"/>
    </row>
    <row r="773" spans="7:9" x14ac:dyDescent="0.3">
      <c r="G773" s="26"/>
      <c r="H773" s="26"/>
      <c r="I773" s="26"/>
    </row>
    <row r="774" spans="7:9" x14ac:dyDescent="0.3">
      <c r="G774" s="26"/>
      <c r="H774" s="26"/>
      <c r="I774" s="26"/>
    </row>
    <row r="775" spans="7:9" x14ac:dyDescent="0.3">
      <c r="G775" s="26"/>
      <c r="H775" s="26"/>
      <c r="I775" s="26"/>
    </row>
    <row r="776" spans="7:9" x14ac:dyDescent="0.3">
      <c r="G776" s="26"/>
      <c r="H776" s="26"/>
      <c r="I776" s="26"/>
    </row>
    <row r="777" spans="7:9" x14ac:dyDescent="0.3">
      <c r="G777" s="26"/>
      <c r="H777" s="26"/>
      <c r="I777" s="26"/>
    </row>
    <row r="778" spans="7:9" x14ac:dyDescent="0.3">
      <c r="G778" s="26"/>
      <c r="H778" s="26"/>
      <c r="I778" s="26"/>
    </row>
    <row r="779" spans="7:9" x14ac:dyDescent="0.3">
      <c r="G779" s="26"/>
      <c r="H779" s="26"/>
      <c r="I779" s="26"/>
    </row>
    <row r="780" spans="7:9" x14ac:dyDescent="0.3">
      <c r="G780" s="26"/>
      <c r="H780" s="26"/>
      <c r="I780" s="26"/>
    </row>
    <row r="781" spans="7:9" x14ac:dyDescent="0.3">
      <c r="G781" s="26"/>
      <c r="H781" s="26"/>
      <c r="I781" s="26"/>
    </row>
    <row r="782" spans="7:9" x14ac:dyDescent="0.3">
      <c r="G782" s="26"/>
      <c r="H782" s="26"/>
      <c r="I782" s="26"/>
    </row>
    <row r="783" spans="7:9" x14ac:dyDescent="0.3">
      <c r="G783" s="26"/>
      <c r="H783" s="26"/>
      <c r="I783" s="26"/>
    </row>
    <row r="784" spans="7:9" x14ac:dyDescent="0.3">
      <c r="G784" s="26"/>
      <c r="H784" s="26"/>
      <c r="I784" s="26"/>
    </row>
    <row r="785" spans="7:9" x14ac:dyDescent="0.3">
      <c r="G785" s="26"/>
      <c r="H785" s="26"/>
      <c r="I785" s="26"/>
    </row>
    <row r="786" spans="7:9" x14ac:dyDescent="0.3">
      <c r="G786" s="26"/>
      <c r="H786" s="26"/>
      <c r="I786" s="26"/>
    </row>
    <row r="787" spans="7:9" x14ac:dyDescent="0.3">
      <c r="G787" s="26"/>
      <c r="H787" s="26"/>
      <c r="I787" s="26"/>
    </row>
    <row r="788" spans="7:9" x14ac:dyDescent="0.3">
      <c r="G788" s="26"/>
      <c r="H788" s="26"/>
      <c r="I788" s="26"/>
    </row>
    <row r="789" spans="7:9" x14ac:dyDescent="0.3">
      <c r="G789" s="26"/>
      <c r="H789" s="26"/>
      <c r="I789" s="26"/>
    </row>
    <row r="790" spans="7:9" x14ac:dyDescent="0.3">
      <c r="G790" s="26"/>
      <c r="H790" s="26"/>
      <c r="I790" s="26"/>
    </row>
    <row r="791" spans="7:9" x14ac:dyDescent="0.3">
      <c r="G791" s="26"/>
      <c r="H791" s="26"/>
      <c r="I791" s="26"/>
    </row>
    <row r="792" spans="7:9" x14ac:dyDescent="0.3">
      <c r="G792" s="26"/>
      <c r="H792" s="26"/>
      <c r="I792" s="26"/>
    </row>
    <row r="793" spans="7:9" x14ac:dyDescent="0.3">
      <c r="G793" s="26"/>
      <c r="H793" s="26"/>
      <c r="I793" s="26"/>
    </row>
    <row r="794" spans="7:9" x14ac:dyDescent="0.3">
      <c r="G794" s="26"/>
      <c r="H794" s="26"/>
      <c r="I794" s="26"/>
    </row>
    <row r="795" spans="7:9" x14ac:dyDescent="0.3">
      <c r="G795" s="26"/>
      <c r="H795" s="26"/>
      <c r="I795" s="26"/>
    </row>
    <row r="796" spans="7:9" x14ac:dyDescent="0.3">
      <c r="G796" s="26"/>
      <c r="H796" s="26"/>
      <c r="I796" s="26"/>
    </row>
    <row r="797" spans="7:9" x14ac:dyDescent="0.3">
      <c r="G797" s="26"/>
      <c r="H797" s="26"/>
      <c r="I797" s="26"/>
    </row>
    <row r="798" spans="7:9" x14ac:dyDescent="0.3">
      <c r="G798" s="26"/>
      <c r="H798" s="26"/>
      <c r="I798" s="26"/>
    </row>
    <row r="799" spans="7:9" x14ac:dyDescent="0.3">
      <c r="G799" s="26"/>
      <c r="H799" s="26"/>
      <c r="I799" s="26"/>
    </row>
    <row r="800" spans="7:9" x14ac:dyDescent="0.3">
      <c r="G800" s="26"/>
      <c r="H800" s="26"/>
      <c r="I800" s="26"/>
    </row>
    <row r="801" spans="7:9" x14ac:dyDescent="0.3">
      <c r="G801" s="26"/>
      <c r="H801" s="26"/>
      <c r="I801" s="26"/>
    </row>
    <row r="802" spans="7:9" x14ac:dyDescent="0.3">
      <c r="G802" s="26"/>
      <c r="H802" s="26"/>
      <c r="I802" s="26"/>
    </row>
    <row r="803" spans="7:9" x14ac:dyDescent="0.3">
      <c r="G803" s="26"/>
      <c r="H803" s="26"/>
      <c r="I803" s="26"/>
    </row>
    <row r="804" spans="7:9" x14ac:dyDescent="0.3">
      <c r="G804" s="26"/>
      <c r="H804" s="26"/>
      <c r="I804" s="26"/>
    </row>
    <row r="805" spans="7:9" x14ac:dyDescent="0.3">
      <c r="G805" s="26"/>
      <c r="H805" s="26"/>
      <c r="I805" s="26"/>
    </row>
    <row r="806" spans="7:9" x14ac:dyDescent="0.3">
      <c r="G806" s="26"/>
      <c r="H806" s="26"/>
      <c r="I806" s="26"/>
    </row>
    <row r="807" spans="7:9" x14ac:dyDescent="0.3">
      <c r="G807" s="26"/>
      <c r="H807" s="26"/>
      <c r="I807" s="26"/>
    </row>
    <row r="808" spans="7:9" x14ac:dyDescent="0.3">
      <c r="G808" s="26"/>
      <c r="H808" s="26"/>
      <c r="I808" s="26"/>
    </row>
    <row r="809" spans="7:9" x14ac:dyDescent="0.3">
      <c r="G809" s="26"/>
      <c r="H809" s="26"/>
      <c r="I809" s="26"/>
    </row>
    <row r="810" spans="7:9" x14ac:dyDescent="0.3">
      <c r="G810" s="26"/>
      <c r="H810" s="26"/>
      <c r="I810" s="26"/>
    </row>
    <row r="811" spans="7:9" x14ac:dyDescent="0.3">
      <c r="G811" s="26"/>
      <c r="H811" s="26"/>
      <c r="I811" s="26"/>
    </row>
    <row r="812" spans="7:9" x14ac:dyDescent="0.3">
      <c r="G812" s="26"/>
      <c r="H812" s="26"/>
      <c r="I812" s="26"/>
    </row>
    <row r="813" spans="7:9" x14ac:dyDescent="0.3">
      <c r="G813" s="26"/>
      <c r="H813" s="26"/>
      <c r="I813" s="26"/>
    </row>
    <row r="814" spans="7:9" x14ac:dyDescent="0.3">
      <c r="G814" s="26"/>
      <c r="H814" s="26"/>
      <c r="I814" s="26"/>
    </row>
    <row r="815" spans="7:9" x14ac:dyDescent="0.3">
      <c r="G815" s="26"/>
      <c r="H815" s="26"/>
      <c r="I815" s="26"/>
    </row>
    <row r="816" spans="7:9" x14ac:dyDescent="0.3">
      <c r="G816" s="26"/>
      <c r="H816" s="26"/>
      <c r="I816" s="26"/>
    </row>
    <row r="817" spans="7:9" x14ac:dyDescent="0.3">
      <c r="G817" s="26"/>
      <c r="H817" s="26"/>
      <c r="I817" s="26"/>
    </row>
    <row r="818" spans="7:9" x14ac:dyDescent="0.3">
      <c r="G818" s="26"/>
      <c r="H818" s="26"/>
      <c r="I818" s="26"/>
    </row>
    <row r="819" spans="7:9" x14ac:dyDescent="0.3">
      <c r="G819" s="26"/>
      <c r="H819" s="26"/>
      <c r="I819" s="26"/>
    </row>
    <row r="820" spans="7:9" x14ac:dyDescent="0.3">
      <c r="G820" s="26"/>
      <c r="H820" s="26"/>
      <c r="I820" s="26"/>
    </row>
    <row r="821" spans="7:9" x14ac:dyDescent="0.3">
      <c r="G821" s="26"/>
      <c r="H821" s="26"/>
      <c r="I821" s="26"/>
    </row>
    <row r="822" spans="7:9" x14ac:dyDescent="0.3">
      <c r="G822" s="26"/>
      <c r="H822" s="26"/>
      <c r="I822" s="26"/>
    </row>
    <row r="823" spans="7:9" x14ac:dyDescent="0.3">
      <c r="G823" s="26"/>
      <c r="H823" s="26"/>
      <c r="I823" s="26"/>
    </row>
    <row r="824" spans="7:9" x14ac:dyDescent="0.3">
      <c r="G824" s="26"/>
      <c r="H824" s="26"/>
      <c r="I824" s="26"/>
    </row>
    <row r="825" spans="7:9" x14ac:dyDescent="0.3">
      <c r="G825" s="26"/>
      <c r="H825" s="26"/>
      <c r="I825" s="26"/>
    </row>
    <row r="826" spans="7:9" x14ac:dyDescent="0.3">
      <c r="G826" s="26"/>
      <c r="H826" s="26"/>
      <c r="I826" s="26"/>
    </row>
    <row r="827" spans="7:9" x14ac:dyDescent="0.3">
      <c r="G827" s="26"/>
      <c r="H827" s="26"/>
      <c r="I827" s="26"/>
    </row>
    <row r="828" spans="7:9" x14ac:dyDescent="0.3">
      <c r="G828" s="26"/>
      <c r="H828" s="26"/>
      <c r="I828" s="26"/>
    </row>
    <row r="829" spans="7:9" x14ac:dyDescent="0.3">
      <c r="G829" s="26"/>
      <c r="H829" s="26"/>
      <c r="I829" s="26"/>
    </row>
    <row r="830" spans="7:9" x14ac:dyDescent="0.3">
      <c r="G830" s="26"/>
      <c r="H830" s="26"/>
      <c r="I830" s="26"/>
    </row>
    <row r="831" spans="7:9" x14ac:dyDescent="0.3">
      <c r="G831" s="26"/>
      <c r="H831" s="26"/>
      <c r="I831" s="26"/>
    </row>
    <row r="832" spans="7:9" x14ac:dyDescent="0.3">
      <c r="G832" s="26"/>
      <c r="H832" s="26"/>
      <c r="I832" s="26"/>
    </row>
    <row r="833" spans="7:9" x14ac:dyDescent="0.3">
      <c r="G833" s="26"/>
      <c r="H833" s="26"/>
      <c r="I833" s="26"/>
    </row>
    <row r="834" spans="7:9" x14ac:dyDescent="0.3">
      <c r="G834" s="26"/>
      <c r="H834" s="26"/>
      <c r="I834" s="26"/>
    </row>
    <row r="835" spans="7:9" x14ac:dyDescent="0.3">
      <c r="G835" s="26"/>
      <c r="H835" s="26"/>
      <c r="I835" s="26"/>
    </row>
    <row r="836" spans="7:9" x14ac:dyDescent="0.3">
      <c r="G836" s="26"/>
      <c r="H836" s="26"/>
      <c r="I836" s="26"/>
    </row>
    <row r="837" spans="7:9" x14ac:dyDescent="0.3">
      <c r="G837" s="26"/>
      <c r="H837" s="26"/>
      <c r="I837" s="26"/>
    </row>
    <row r="838" spans="7:9" x14ac:dyDescent="0.3">
      <c r="G838" s="26"/>
      <c r="H838" s="26"/>
      <c r="I838" s="26"/>
    </row>
    <row r="839" spans="7:9" x14ac:dyDescent="0.3">
      <c r="G839" s="26"/>
      <c r="H839" s="26"/>
      <c r="I839" s="26"/>
    </row>
    <row r="840" spans="7:9" x14ac:dyDescent="0.3">
      <c r="G840" s="26"/>
      <c r="H840" s="26"/>
      <c r="I840" s="26"/>
    </row>
    <row r="841" spans="7:9" x14ac:dyDescent="0.3">
      <c r="G841" s="26"/>
      <c r="H841" s="26"/>
      <c r="I841" s="26"/>
    </row>
    <row r="842" spans="7:9" x14ac:dyDescent="0.3">
      <c r="G842" s="26"/>
      <c r="H842" s="26"/>
      <c r="I842" s="26"/>
    </row>
    <row r="843" spans="7:9" x14ac:dyDescent="0.3">
      <c r="G843" s="26"/>
      <c r="H843" s="26"/>
      <c r="I843" s="26"/>
    </row>
    <row r="844" spans="7:9" x14ac:dyDescent="0.3">
      <c r="G844" s="26"/>
      <c r="H844" s="26"/>
      <c r="I844" s="26"/>
    </row>
    <row r="845" spans="7:9" x14ac:dyDescent="0.3">
      <c r="G845" s="26"/>
      <c r="H845" s="26"/>
      <c r="I845" s="26"/>
    </row>
    <row r="846" spans="7:9" x14ac:dyDescent="0.3">
      <c r="G846" s="26"/>
      <c r="H846" s="26"/>
      <c r="I846" s="26"/>
    </row>
    <row r="847" spans="7:9" x14ac:dyDescent="0.3">
      <c r="G847" s="26"/>
      <c r="H847" s="26"/>
      <c r="I847" s="26"/>
    </row>
    <row r="848" spans="7:9" x14ac:dyDescent="0.3">
      <c r="G848" s="26"/>
      <c r="H848" s="26"/>
      <c r="I848" s="26"/>
    </row>
    <row r="849" spans="7:9" x14ac:dyDescent="0.3">
      <c r="G849" s="26"/>
      <c r="H849" s="26"/>
      <c r="I849" s="26"/>
    </row>
    <row r="850" spans="7:9" x14ac:dyDescent="0.3">
      <c r="G850" s="26"/>
      <c r="H850" s="26"/>
      <c r="I850" s="26"/>
    </row>
    <row r="851" spans="7:9" x14ac:dyDescent="0.3">
      <c r="G851" s="26"/>
      <c r="H851" s="26"/>
      <c r="I851" s="26"/>
    </row>
    <row r="852" spans="7:9" x14ac:dyDescent="0.3">
      <c r="G852" s="26"/>
      <c r="H852" s="26"/>
      <c r="I852" s="26"/>
    </row>
    <row r="853" spans="7:9" x14ac:dyDescent="0.3">
      <c r="G853" s="26"/>
      <c r="H853" s="26"/>
      <c r="I853" s="26"/>
    </row>
    <row r="854" spans="7:9" x14ac:dyDescent="0.3">
      <c r="G854" s="26"/>
      <c r="H854" s="26"/>
      <c r="I854" s="26"/>
    </row>
    <row r="855" spans="7:9" x14ac:dyDescent="0.3">
      <c r="G855" s="26"/>
      <c r="H855" s="26"/>
      <c r="I855" s="26"/>
    </row>
    <row r="856" spans="7:9" x14ac:dyDescent="0.3">
      <c r="G856" s="26"/>
      <c r="H856" s="26"/>
      <c r="I856" s="26"/>
    </row>
    <row r="857" spans="7:9" x14ac:dyDescent="0.3">
      <c r="G857" s="26"/>
      <c r="H857" s="26"/>
      <c r="I857" s="26"/>
    </row>
    <row r="858" spans="7:9" x14ac:dyDescent="0.3">
      <c r="G858" s="26"/>
      <c r="H858" s="26"/>
      <c r="I858" s="26"/>
    </row>
    <row r="859" spans="7:9" x14ac:dyDescent="0.3">
      <c r="G859" s="26"/>
      <c r="H859" s="26"/>
      <c r="I859" s="26"/>
    </row>
    <row r="860" spans="7:9" x14ac:dyDescent="0.3">
      <c r="G860" s="26"/>
      <c r="H860" s="26"/>
      <c r="I860" s="26"/>
    </row>
    <row r="861" spans="7:9" x14ac:dyDescent="0.3">
      <c r="G861" s="26"/>
      <c r="H861" s="26"/>
      <c r="I861" s="26"/>
    </row>
    <row r="862" spans="7:9" x14ac:dyDescent="0.3">
      <c r="G862" s="26"/>
      <c r="H862" s="26"/>
      <c r="I862" s="26"/>
    </row>
    <row r="863" spans="7:9" x14ac:dyDescent="0.3">
      <c r="G863" s="26"/>
      <c r="H863" s="26"/>
      <c r="I863" s="26"/>
    </row>
    <row r="864" spans="7:9" x14ac:dyDescent="0.3">
      <c r="G864" s="26"/>
      <c r="H864" s="26"/>
      <c r="I864" s="26"/>
    </row>
    <row r="865" spans="7:9" x14ac:dyDescent="0.3">
      <c r="G865" s="26"/>
      <c r="H865" s="26"/>
      <c r="I865" s="26"/>
    </row>
    <row r="866" spans="7:9" x14ac:dyDescent="0.3">
      <c r="G866" s="26"/>
      <c r="H866" s="26"/>
      <c r="I866" s="26"/>
    </row>
    <row r="867" spans="7:9" x14ac:dyDescent="0.3">
      <c r="G867" s="26"/>
      <c r="H867" s="26"/>
      <c r="I867" s="26"/>
    </row>
    <row r="868" spans="7:9" x14ac:dyDescent="0.3">
      <c r="G868" s="26"/>
      <c r="H868" s="26"/>
      <c r="I868" s="26"/>
    </row>
    <row r="869" spans="7:9" x14ac:dyDescent="0.3">
      <c r="G869" s="26"/>
      <c r="H869" s="26"/>
      <c r="I869" s="26"/>
    </row>
    <row r="870" spans="7:9" x14ac:dyDescent="0.3">
      <c r="G870" s="26"/>
      <c r="H870" s="26"/>
      <c r="I870" s="26"/>
    </row>
    <row r="871" spans="7:9" x14ac:dyDescent="0.3">
      <c r="G871" s="26"/>
      <c r="H871" s="26"/>
      <c r="I871" s="26"/>
    </row>
    <row r="872" spans="7:9" x14ac:dyDescent="0.3">
      <c r="G872" s="26"/>
      <c r="H872" s="26"/>
      <c r="I872" s="26"/>
    </row>
    <row r="873" spans="7:9" x14ac:dyDescent="0.3">
      <c r="G873" s="26"/>
      <c r="H873" s="26"/>
      <c r="I873" s="26"/>
    </row>
    <row r="874" spans="7:9" x14ac:dyDescent="0.3">
      <c r="G874" s="26"/>
      <c r="H874" s="26"/>
      <c r="I874" s="26"/>
    </row>
    <row r="875" spans="7:9" x14ac:dyDescent="0.3">
      <c r="G875" s="26"/>
      <c r="H875" s="26"/>
      <c r="I875" s="26"/>
    </row>
    <row r="876" spans="7:9" x14ac:dyDescent="0.3">
      <c r="G876" s="26"/>
      <c r="H876" s="26"/>
      <c r="I876" s="26"/>
    </row>
    <row r="877" spans="7:9" x14ac:dyDescent="0.3">
      <c r="G877" s="26"/>
      <c r="H877" s="26"/>
      <c r="I877" s="26"/>
    </row>
    <row r="878" spans="7:9" x14ac:dyDescent="0.3">
      <c r="G878" s="26"/>
      <c r="H878" s="26"/>
      <c r="I878" s="26"/>
    </row>
    <row r="879" spans="7:9" x14ac:dyDescent="0.3">
      <c r="G879" s="26"/>
      <c r="H879" s="26"/>
      <c r="I879" s="26"/>
    </row>
    <row r="880" spans="7:9" x14ac:dyDescent="0.3">
      <c r="G880" s="26"/>
      <c r="H880" s="26"/>
      <c r="I880" s="26"/>
    </row>
    <row r="881" spans="7:9" x14ac:dyDescent="0.3">
      <c r="G881" s="26"/>
      <c r="H881" s="26"/>
      <c r="I881" s="26"/>
    </row>
    <row r="882" spans="7:9" x14ac:dyDescent="0.3">
      <c r="G882" s="26"/>
      <c r="H882" s="26"/>
      <c r="I882" s="26"/>
    </row>
    <row r="883" spans="7:9" x14ac:dyDescent="0.3">
      <c r="G883" s="26"/>
      <c r="H883" s="26"/>
      <c r="I883" s="26"/>
    </row>
    <row r="884" spans="7:9" x14ac:dyDescent="0.3">
      <c r="G884" s="26"/>
      <c r="H884" s="26"/>
      <c r="I884" s="26"/>
    </row>
    <row r="885" spans="7:9" x14ac:dyDescent="0.3">
      <c r="G885" s="26"/>
      <c r="H885" s="26"/>
      <c r="I885" s="26"/>
    </row>
    <row r="886" spans="7:9" x14ac:dyDescent="0.3">
      <c r="G886" s="26"/>
      <c r="H886" s="26"/>
      <c r="I886" s="26"/>
    </row>
    <row r="887" spans="7:9" x14ac:dyDescent="0.3">
      <c r="G887" s="26"/>
      <c r="H887" s="26"/>
      <c r="I887" s="26"/>
    </row>
    <row r="888" spans="7:9" x14ac:dyDescent="0.3">
      <c r="G888" s="26"/>
      <c r="H888" s="26"/>
      <c r="I888" s="26"/>
    </row>
    <row r="889" spans="7:9" x14ac:dyDescent="0.3">
      <c r="G889" s="26"/>
      <c r="H889" s="26"/>
      <c r="I889" s="26"/>
    </row>
    <row r="890" spans="7:9" x14ac:dyDescent="0.3">
      <c r="G890" s="26"/>
      <c r="H890" s="26"/>
      <c r="I890" s="26"/>
    </row>
    <row r="891" spans="7:9" x14ac:dyDescent="0.3">
      <c r="G891" s="26"/>
      <c r="H891" s="26"/>
      <c r="I891" s="26"/>
    </row>
    <row r="892" spans="7:9" x14ac:dyDescent="0.3">
      <c r="G892" s="26"/>
      <c r="H892" s="26"/>
      <c r="I892" s="26"/>
    </row>
    <row r="893" spans="7:9" x14ac:dyDescent="0.3">
      <c r="G893" s="26"/>
      <c r="H893" s="26"/>
      <c r="I893" s="26"/>
    </row>
    <row r="894" spans="7:9" x14ac:dyDescent="0.3">
      <c r="G894" s="26"/>
      <c r="H894" s="26"/>
      <c r="I894" s="26"/>
    </row>
    <row r="895" spans="7:9" x14ac:dyDescent="0.3">
      <c r="G895" s="26"/>
      <c r="H895" s="26"/>
      <c r="I895" s="26"/>
    </row>
    <row r="896" spans="7:9" x14ac:dyDescent="0.3">
      <c r="G896" s="26"/>
      <c r="H896" s="26"/>
      <c r="I896" s="26"/>
    </row>
    <row r="897" spans="7:9" x14ac:dyDescent="0.3">
      <c r="G897" s="26"/>
      <c r="H897" s="26"/>
      <c r="I897" s="26"/>
    </row>
    <row r="898" spans="7:9" x14ac:dyDescent="0.3">
      <c r="G898" s="26"/>
      <c r="H898" s="26"/>
      <c r="I898" s="26"/>
    </row>
    <row r="899" spans="7:9" x14ac:dyDescent="0.3">
      <c r="G899" s="26"/>
      <c r="H899" s="26"/>
      <c r="I899" s="26"/>
    </row>
    <row r="900" spans="7:9" x14ac:dyDescent="0.3">
      <c r="G900" s="26"/>
      <c r="H900" s="26"/>
      <c r="I900" s="26"/>
    </row>
    <row r="901" spans="7:9" x14ac:dyDescent="0.3">
      <c r="G901" s="26"/>
      <c r="H901" s="26"/>
      <c r="I901" s="26"/>
    </row>
    <row r="902" spans="7:9" x14ac:dyDescent="0.3">
      <c r="G902" s="26"/>
      <c r="H902" s="26"/>
      <c r="I902" s="26"/>
    </row>
    <row r="903" spans="7:9" x14ac:dyDescent="0.3">
      <c r="G903" s="26"/>
      <c r="H903" s="26"/>
      <c r="I903" s="26"/>
    </row>
    <row r="904" spans="7:9" x14ac:dyDescent="0.3">
      <c r="G904" s="26"/>
      <c r="H904" s="26"/>
      <c r="I904" s="26"/>
    </row>
    <row r="905" spans="7:9" x14ac:dyDescent="0.3">
      <c r="G905" s="26"/>
      <c r="H905" s="26"/>
      <c r="I905" s="26"/>
    </row>
    <row r="906" spans="7:9" x14ac:dyDescent="0.3">
      <c r="G906" s="26"/>
      <c r="H906" s="26"/>
      <c r="I906" s="26"/>
    </row>
    <row r="907" spans="7:9" x14ac:dyDescent="0.3">
      <c r="G907" s="26"/>
      <c r="H907" s="26"/>
      <c r="I907" s="26"/>
    </row>
    <row r="908" spans="7:9" x14ac:dyDescent="0.3">
      <c r="G908" s="26"/>
      <c r="H908" s="26"/>
      <c r="I908" s="26"/>
    </row>
    <row r="909" spans="7:9" x14ac:dyDescent="0.3">
      <c r="G909" s="26"/>
      <c r="H909" s="26"/>
      <c r="I909" s="26"/>
    </row>
    <row r="910" spans="7:9" x14ac:dyDescent="0.3">
      <c r="G910" s="26"/>
      <c r="H910" s="26"/>
      <c r="I910" s="26"/>
    </row>
    <row r="911" spans="7:9" x14ac:dyDescent="0.3">
      <c r="G911" s="26"/>
      <c r="H911" s="26"/>
      <c r="I911" s="26"/>
    </row>
    <row r="912" spans="7:9" x14ac:dyDescent="0.3">
      <c r="G912" s="26"/>
      <c r="H912" s="26"/>
      <c r="I912" s="26"/>
    </row>
    <row r="913" spans="7:9" x14ac:dyDescent="0.3">
      <c r="G913" s="26"/>
      <c r="H913" s="26"/>
      <c r="I913" s="26"/>
    </row>
    <row r="914" spans="7:9" x14ac:dyDescent="0.3">
      <c r="G914" s="26"/>
      <c r="H914" s="26"/>
      <c r="I914" s="26"/>
    </row>
    <row r="915" spans="7:9" x14ac:dyDescent="0.3">
      <c r="G915" s="26"/>
      <c r="H915" s="26"/>
      <c r="I915" s="26"/>
    </row>
    <row r="916" spans="7:9" x14ac:dyDescent="0.3">
      <c r="G916" s="26"/>
      <c r="H916" s="26"/>
      <c r="I916" s="26"/>
    </row>
    <row r="917" spans="7:9" x14ac:dyDescent="0.3">
      <c r="G917" s="26"/>
      <c r="H917" s="26"/>
      <c r="I917" s="26"/>
    </row>
    <row r="918" spans="7:9" x14ac:dyDescent="0.3">
      <c r="G918" s="26"/>
      <c r="H918" s="26"/>
      <c r="I918" s="26"/>
    </row>
    <row r="919" spans="7:9" x14ac:dyDescent="0.3">
      <c r="G919" s="26"/>
      <c r="H919" s="26"/>
      <c r="I919" s="26"/>
    </row>
    <row r="920" spans="7:9" x14ac:dyDescent="0.3">
      <c r="G920" s="26"/>
      <c r="H920" s="26"/>
      <c r="I920" s="26"/>
    </row>
    <row r="921" spans="7:9" x14ac:dyDescent="0.3">
      <c r="G921" s="26"/>
      <c r="H921" s="26"/>
      <c r="I921" s="26"/>
    </row>
    <row r="922" spans="7:9" x14ac:dyDescent="0.3">
      <c r="G922" s="26"/>
      <c r="H922" s="26"/>
      <c r="I922" s="26"/>
    </row>
    <row r="923" spans="7:9" x14ac:dyDescent="0.3">
      <c r="G923" s="26"/>
      <c r="H923" s="26"/>
      <c r="I923" s="26"/>
    </row>
    <row r="924" spans="7:9" x14ac:dyDescent="0.3">
      <c r="G924" s="26"/>
      <c r="H924" s="26"/>
      <c r="I924" s="26"/>
    </row>
    <row r="925" spans="7:9" x14ac:dyDescent="0.3">
      <c r="G925" s="26"/>
      <c r="H925" s="26"/>
      <c r="I925" s="26"/>
    </row>
    <row r="926" spans="7:9" x14ac:dyDescent="0.3">
      <c r="G926" s="26"/>
      <c r="H926" s="26"/>
      <c r="I926" s="26"/>
    </row>
    <row r="927" spans="7:9" x14ac:dyDescent="0.3">
      <c r="G927" s="26"/>
      <c r="H927" s="26"/>
      <c r="I927" s="26"/>
    </row>
    <row r="928" spans="7:9" x14ac:dyDescent="0.3">
      <c r="G928" s="26"/>
      <c r="H928" s="26"/>
      <c r="I928" s="26"/>
    </row>
    <row r="929" spans="7:9" x14ac:dyDescent="0.3">
      <c r="G929" s="26"/>
      <c r="H929" s="26"/>
      <c r="I929" s="26"/>
    </row>
    <row r="930" spans="7:9" x14ac:dyDescent="0.3">
      <c r="G930" s="26"/>
      <c r="H930" s="26"/>
      <c r="I930" s="26"/>
    </row>
    <row r="931" spans="7:9" x14ac:dyDescent="0.3">
      <c r="G931" s="26"/>
      <c r="H931" s="26"/>
      <c r="I931" s="26"/>
    </row>
    <row r="932" spans="7:9" x14ac:dyDescent="0.3">
      <c r="G932" s="26"/>
      <c r="H932" s="26"/>
      <c r="I932" s="26"/>
    </row>
    <row r="933" spans="7:9" x14ac:dyDescent="0.3">
      <c r="G933" s="26"/>
      <c r="H933" s="26"/>
      <c r="I933" s="26"/>
    </row>
    <row r="934" spans="7:9" x14ac:dyDescent="0.3">
      <c r="G934" s="26"/>
      <c r="H934" s="26"/>
      <c r="I934" s="26"/>
    </row>
    <row r="935" spans="7:9" x14ac:dyDescent="0.3">
      <c r="G935" s="26"/>
      <c r="H935" s="26"/>
      <c r="I935" s="26"/>
    </row>
    <row r="936" spans="7:9" x14ac:dyDescent="0.3">
      <c r="G936" s="26"/>
      <c r="H936" s="26"/>
      <c r="I936" s="26"/>
    </row>
    <row r="937" spans="7:9" x14ac:dyDescent="0.3">
      <c r="G937" s="26"/>
      <c r="H937" s="26"/>
      <c r="I937" s="26"/>
    </row>
    <row r="938" spans="7:9" x14ac:dyDescent="0.3">
      <c r="G938" s="26"/>
      <c r="H938" s="26"/>
      <c r="I938" s="26"/>
    </row>
    <row r="939" spans="7:9" x14ac:dyDescent="0.3">
      <c r="G939" s="26"/>
      <c r="H939" s="26"/>
      <c r="I939" s="26"/>
    </row>
    <row r="940" spans="7:9" x14ac:dyDescent="0.3">
      <c r="G940" s="26"/>
      <c r="H940" s="26"/>
      <c r="I940" s="26"/>
    </row>
    <row r="941" spans="7:9" x14ac:dyDescent="0.3">
      <c r="G941" s="26"/>
      <c r="H941" s="26"/>
      <c r="I941" s="26"/>
    </row>
    <row r="942" spans="7:9" x14ac:dyDescent="0.3">
      <c r="G942" s="26"/>
      <c r="H942" s="26"/>
      <c r="I942" s="26"/>
    </row>
    <row r="943" spans="7:9" x14ac:dyDescent="0.3">
      <c r="G943" s="26"/>
      <c r="H943" s="26"/>
      <c r="I943" s="26"/>
    </row>
    <row r="944" spans="7:9" x14ac:dyDescent="0.3">
      <c r="G944" s="26"/>
      <c r="H944" s="26"/>
      <c r="I944" s="26"/>
    </row>
    <row r="945" spans="7:9" x14ac:dyDescent="0.3">
      <c r="G945" s="26"/>
      <c r="H945" s="26"/>
      <c r="I945" s="26"/>
    </row>
    <row r="946" spans="7:9" x14ac:dyDescent="0.3">
      <c r="G946" s="26"/>
      <c r="H946" s="26"/>
      <c r="I946" s="26"/>
    </row>
    <row r="947" spans="7:9" x14ac:dyDescent="0.3">
      <c r="G947" s="26"/>
      <c r="H947" s="26"/>
      <c r="I947" s="26"/>
    </row>
    <row r="948" spans="7:9" x14ac:dyDescent="0.3">
      <c r="G948" s="26"/>
      <c r="H948" s="26"/>
      <c r="I948" s="26"/>
    </row>
    <row r="949" spans="7:9" x14ac:dyDescent="0.3">
      <c r="G949" s="26"/>
      <c r="H949" s="26"/>
      <c r="I949" s="26"/>
    </row>
    <row r="950" spans="7:9" x14ac:dyDescent="0.3">
      <c r="G950" s="26"/>
      <c r="H950" s="26"/>
      <c r="I950" s="26"/>
    </row>
    <row r="951" spans="7:9" x14ac:dyDescent="0.3">
      <c r="G951" s="26"/>
      <c r="H951" s="26"/>
      <c r="I951" s="26"/>
    </row>
    <row r="952" spans="7:9" x14ac:dyDescent="0.3">
      <c r="G952" s="26"/>
      <c r="H952" s="26"/>
      <c r="I952" s="26"/>
    </row>
    <row r="953" spans="7:9" x14ac:dyDescent="0.3">
      <c r="G953" s="26"/>
      <c r="H953" s="26"/>
      <c r="I953" s="26"/>
    </row>
    <row r="954" spans="7:9" x14ac:dyDescent="0.3">
      <c r="G954" s="26"/>
      <c r="H954" s="26"/>
      <c r="I954" s="26"/>
    </row>
    <row r="955" spans="7:9" x14ac:dyDescent="0.3">
      <c r="G955" s="26"/>
      <c r="H955" s="26"/>
      <c r="I955" s="26"/>
    </row>
    <row r="956" spans="7:9" x14ac:dyDescent="0.3">
      <c r="G956" s="26"/>
      <c r="H956" s="26"/>
      <c r="I956" s="26"/>
    </row>
    <row r="957" spans="7:9" x14ac:dyDescent="0.3">
      <c r="G957" s="26"/>
      <c r="H957" s="26"/>
      <c r="I957" s="26"/>
    </row>
    <row r="958" spans="7:9" x14ac:dyDescent="0.3">
      <c r="G958" s="26"/>
      <c r="H958" s="26"/>
      <c r="I958" s="26"/>
    </row>
    <row r="959" spans="7:9" x14ac:dyDescent="0.3">
      <c r="G959" s="26"/>
      <c r="H959" s="26"/>
      <c r="I959" s="26"/>
    </row>
    <row r="960" spans="7:9" x14ac:dyDescent="0.3">
      <c r="G960" s="26"/>
      <c r="H960" s="26"/>
      <c r="I960" s="26"/>
    </row>
    <row r="961" spans="7:9" x14ac:dyDescent="0.3">
      <c r="G961" s="26"/>
      <c r="H961" s="26"/>
      <c r="I961" s="26"/>
    </row>
    <row r="962" spans="7:9" x14ac:dyDescent="0.3">
      <c r="G962" s="26"/>
      <c r="H962" s="26"/>
      <c r="I962" s="26"/>
    </row>
    <row r="963" spans="7:9" x14ac:dyDescent="0.3">
      <c r="G963" s="26"/>
      <c r="H963" s="26"/>
      <c r="I963" s="26"/>
    </row>
    <row r="964" spans="7:9" x14ac:dyDescent="0.3">
      <c r="G964" s="26"/>
      <c r="H964" s="26"/>
      <c r="I964" s="26"/>
    </row>
    <row r="965" spans="7:9" x14ac:dyDescent="0.3">
      <c r="G965" s="26"/>
      <c r="H965" s="26"/>
      <c r="I965" s="26"/>
    </row>
    <row r="966" spans="7:9" x14ac:dyDescent="0.3">
      <c r="G966" s="26"/>
      <c r="H966" s="26"/>
      <c r="I966" s="26"/>
    </row>
    <row r="967" spans="7:9" x14ac:dyDescent="0.3">
      <c r="G967" s="26"/>
      <c r="H967" s="26"/>
      <c r="I967" s="26"/>
    </row>
    <row r="968" spans="7:9" x14ac:dyDescent="0.3">
      <c r="G968" s="26"/>
      <c r="H968" s="26"/>
      <c r="I968" s="26"/>
    </row>
    <row r="969" spans="7:9" x14ac:dyDescent="0.3">
      <c r="G969" s="26"/>
      <c r="H969" s="26"/>
      <c r="I969" s="26"/>
    </row>
    <row r="970" spans="7:9" x14ac:dyDescent="0.3">
      <c r="G970" s="26"/>
      <c r="H970" s="26"/>
      <c r="I970" s="26"/>
    </row>
    <row r="971" spans="7:9" x14ac:dyDescent="0.3">
      <c r="G971" s="26"/>
      <c r="H971" s="26"/>
      <c r="I971" s="26"/>
    </row>
    <row r="972" spans="7:9" x14ac:dyDescent="0.3">
      <c r="G972" s="26"/>
      <c r="H972" s="26"/>
      <c r="I972" s="26"/>
    </row>
    <row r="973" spans="7:9" x14ac:dyDescent="0.3">
      <c r="G973" s="26"/>
      <c r="H973" s="26"/>
      <c r="I973" s="26"/>
    </row>
    <row r="974" spans="7:9" x14ac:dyDescent="0.3">
      <c r="G974" s="26"/>
      <c r="H974" s="26"/>
      <c r="I974" s="26"/>
    </row>
    <row r="975" spans="7:9" x14ac:dyDescent="0.3">
      <c r="G975" s="26"/>
      <c r="H975" s="26"/>
      <c r="I975" s="26"/>
    </row>
    <row r="976" spans="7:9" x14ac:dyDescent="0.3">
      <c r="G976" s="26"/>
      <c r="H976" s="26"/>
      <c r="I976" s="26"/>
    </row>
    <row r="977" spans="7:9" x14ac:dyDescent="0.3">
      <c r="G977" s="26"/>
      <c r="H977" s="26"/>
      <c r="I977" s="26"/>
    </row>
    <row r="978" spans="7:9" x14ac:dyDescent="0.3">
      <c r="G978" s="26"/>
      <c r="H978" s="26"/>
      <c r="I978" s="26"/>
    </row>
    <row r="979" spans="7:9" x14ac:dyDescent="0.3">
      <c r="G979" s="26"/>
      <c r="H979" s="26"/>
      <c r="I979" s="26"/>
    </row>
    <row r="980" spans="7:9" x14ac:dyDescent="0.3">
      <c r="G980" s="26"/>
      <c r="H980" s="26"/>
      <c r="I980" s="26"/>
    </row>
    <row r="981" spans="7:9" x14ac:dyDescent="0.3">
      <c r="G981" s="26"/>
      <c r="H981" s="26"/>
      <c r="I981" s="26"/>
    </row>
    <row r="982" spans="7:9" x14ac:dyDescent="0.3">
      <c r="G982" s="26"/>
      <c r="H982" s="26"/>
      <c r="I982" s="26"/>
    </row>
    <row r="983" spans="7:9" x14ac:dyDescent="0.3">
      <c r="G983" s="26"/>
      <c r="H983" s="26"/>
      <c r="I983" s="26"/>
    </row>
    <row r="984" spans="7:9" x14ac:dyDescent="0.3">
      <c r="G984" s="26"/>
      <c r="H984" s="26"/>
      <c r="I984" s="26"/>
    </row>
    <row r="985" spans="7:9" x14ac:dyDescent="0.3">
      <c r="G985" s="26"/>
      <c r="H985" s="26"/>
      <c r="I985" s="26"/>
    </row>
    <row r="986" spans="7:9" x14ac:dyDescent="0.3">
      <c r="G986" s="26"/>
      <c r="H986" s="26"/>
      <c r="I986" s="26"/>
    </row>
    <row r="987" spans="7:9" x14ac:dyDescent="0.3">
      <c r="G987" s="26"/>
      <c r="H987" s="26"/>
      <c r="I987" s="26"/>
    </row>
    <row r="988" spans="7:9" x14ac:dyDescent="0.3">
      <c r="G988" s="26"/>
      <c r="H988" s="26"/>
      <c r="I988" s="26"/>
    </row>
    <row r="989" spans="7:9" x14ac:dyDescent="0.3">
      <c r="G989" s="26"/>
      <c r="H989" s="26"/>
      <c r="I989" s="26"/>
    </row>
    <row r="990" spans="7:9" x14ac:dyDescent="0.3">
      <c r="G990" s="26"/>
      <c r="H990" s="26"/>
      <c r="I990" s="26"/>
    </row>
    <row r="991" spans="7:9" x14ac:dyDescent="0.3">
      <c r="G991" s="26"/>
      <c r="H991" s="26"/>
      <c r="I991" s="26"/>
    </row>
    <row r="992" spans="7:9" x14ac:dyDescent="0.3">
      <c r="G992" s="26"/>
      <c r="H992" s="26"/>
      <c r="I992" s="26"/>
    </row>
    <row r="993" spans="7:9" x14ac:dyDescent="0.3">
      <c r="G993" s="26"/>
      <c r="H993" s="26"/>
      <c r="I993" s="26"/>
    </row>
    <row r="994" spans="7:9" x14ac:dyDescent="0.3">
      <c r="G994" s="26"/>
      <c r="H994" s="26"/>
      <c r="I994" s="26"/>
    </row>
    <row r="995" spans="7:9" x14ac:dyDescent="0.3">
      <c r="G995" s="26"/>
      <c r="H995" s="26"/>
      <c r="I995" s="26"/>
    </row>
    <row r="996" spans="7:9" x14ac:dyDescent="0.3">
      <c r="G996" s="26"/>
      <c r="H996" s="26"/>
      <c r="I996" s="26"/>
    </row>
    <row r="997" spans="7:9" x14ac:dyDescent="0.3">
      <c r="G997" s="26"/>
      <c r="H997" s="26"/>
      <c r="I997" s="26"/>
    </row>
    <row r="998" spans="7:9" x14ac:dyDescent="0.3">
      <c r="G998" s="26"/>
      <c r="H998" s="26"/>
      <c r="I998" s="26"/>
    </row>
    <row r="999" spans="7:9" x14ac:dyDescent="0.3">
      <c r="G999" s="26"/>
      <c r="H999" s="26"/>
      <c r="I999" s="26"/>
    </row>
    <row r="1000" spans="7:9" x14ac:dyDescent="0.3">
      <c r="G1000" s="26"/>
      <c r="H1000" s="26"/>
      <c r="I1000" s="26"/>
    </row>
    <row r="1001" spans="7:9" x14ac:dyDescent="0.3">
      <c r="G1001" s="26"/>
      <c r="H1001" s="26"/>
      <c r="I1001" s="26"/>
    </row>
    <row r="1002" spans="7:9" x14ac:dyDescent="0.3">
      <c r="G1002" s="26"/>
      <c r="H1002" s="26"/>
      <c r="I1002" s="26"/>
    </row>
    <row r="1003" spans="7:9" x14ac:dyDescent="0.3">
      <c r="G1003" s="26"/>
      <c r="H1003" s="26"/>
      <c r="I1003" s="26"/>
    </row>
    <row r="1004" spans="7:9" x14ac:dyDescent="0.3">
      <c r="G1004" s="26"/>
      <c r="H1004" s="26"/>
      <c r="I1004" s="26"/>
    </row>
    <row r="1005" spans="7:9" x14ac:dyDescent="0.3">
      <c r="G1005" s="26"/>
      <c r="H1005" s="26"/>
      <c r="I1005" s="26"/>
    </row>
    <row r="1006" spans="7:9" x14ac:dyDescent="0.3">
      <c r="G1006" s="26"/>
      <c r="H1006" s="26"/>
      <c r="I1006" s="26"/>
    </row>
    <row r="1007" spans="7:9" x14ac:dyDescent="0.3">
      <c r="G1007" s="26"/>
      <c r="H1007" s="26"/>
      <c r="I1007" s="26"/>
    </row>
    <row r="1008" spans="7:9" x14ac:dyDescent="0.3">
      <c r="G1008" s="26"/>
      <c r="H1008" s="26"/>
      <c r="I1008" s="26"/>
    </row>
    <row r="1009" spans="7:9" x14ac:dyDescent="0.3">
      <c r="G1009" s="26"/>
      <c r="H1009" s="26"/>
      <c r="I1009" s="26"/>
    </row>
    <row r="1010" spans="7:9" x14ac:dyDescent="0.3">
      <c r="G1010" s="26"/>
      <c r="H1010" s="26"/>
      <c r="I1010" s="26"/>
    </row>
    <row r="1011" spans="7:9" x14ac:dyDescent="0.3">
      <c r="G1011" s="26"/>
      <c r="H1011" s="26"/>
      <c r="I1011" s="26"/>
    </row>
    <row r="1012" spans="7:9" x14ac:dyDescent="0.3">
      <c r="G1012" s="26"/>
      <c r="H1012" s="26"/>
      <c r="I1012" s="26"/>
    </row>
    <row r="1013" spans="7:9" x14ac:dyDescent="0.3">
      <c r="G1013" s="26"/>
      <c r="H1013" s="26"/>
      <c r="I1013" s="26"/>
    </row>
    <row r="1014" spans="7:9" x14ac:dyDescent="0.3">
      <c r="G1014" s="26"/>
      <c r="H1014" s="26"/>
      <c r="I1014" s="26"/>
    </row>
    <row r="1015" spans="7:9" x14ac:dyDescent="0.3">
      <c r="G1015" s="26"/>
      <c r="H1015" s="26"/>
      <c r="I1015" s="26"/>
    </row>
    <row r="1016" spans="7:9" x14ac:dyDescent="0.3">
      <c r="G1016" s="26"/>
      <c r="H1016" s="26"/>
      <c r="I1016" s="26"/>
    </row>
    <row r="1017" spans="7:9" x14ac:dyDescent="0.3">
      <c r="G1017" s="26"/>
      <c r="H1017" s="26"/>
      <c r="I1017" s="26"/>
    </row>
    <row r="1018" spans="7:9" x14ac:dyDescent="0.3">
      <c r="G1018" s="26"/>
      <c r="H1018" s="26"/>
      <c r="I1018" s="26"/>
    </row>
    <row r="1019" spans="7:9" x14ac:dyDescent="0.3">
      <c r="G1019" s="26"/>
      <c r="H1019" s="26"/>
      <c r="I1019" s="26"/>
    </row>
    <row r="1020" spans="7:9" x14ac:dyDescent="0.3">
      <c r="G1020" s="26"/>
      <c r="H1020" s="26"/>
      <c r="I1020" s="26"/>
    </row>
    <row r="1021" spans="7:9" x14ac:dyDescent="0.3">
      <c r="G1021" s="26"/>
      <c r="H1021" s="26"/>
      <c r="I1021" s="26"/>
    </row>
    <row r="1022" spans="7:9" x14ac:dyDescent="0.3">
      <c r="G1022" s="26"/>
      <c r="H1022" s="26"/>
      <c r="I1022" s="26"/>
    </row>
    <row r="1023" spans="7:9" x14ac:dyDescent="0.3">
      <c r="G1023" s="26"/>
      <c r="H1023" s="26"/>
      <c r="I1023" s="26"/>
    </row>
    <row r="1024" spans="7:9" x14ac:dyDescent="0.3">
      <c r="G1024" s="26"/>
      <c r="H1024" s="26"/>
      <c r="I1024" s="26"/>
    </row>
    <row r="1025" spans="7:9" x14ac:dyDescent="0.3">
      <c r="G1025" s="26"/>
      <c r="H1025" s="26"/>
      <c r="I1025" s="26"/>
    </row>
    <row r="1026" spans="7:9" x14ac:dyDescent="0.3">
      <c r="G1026" s="26"/>
      <c r="H1026" s="26"/>
      <c r="I1026" s="26"/>
    </row>
    <row r="1027" spans="7:9" x14ac:dyDescent="0.3">
      <c r="G1027" s="26"/>
      <c r="H1027" s="26"/>
      <c r="I1027" s="26"/>
    </row>
    <row r="1028" spans="7:9" x14ac:dyDescent="0.3">
      <c r="G1028" s="26"/>
      <c r="H1028" s="26"/>
      <c r="I1028" s="26"/>
    </row>
    <row r="1029" spans="7:9" x14ac:dyDescent="0.3">
      <c r="G1029" s="26"/>
      <c r="H1029" s="26"/>
      <c r="I1029" s="26"/>
    </row>
    <row r="1030" spans="7:9" x14ac:dyDescent="0.3">
      <c r="G1030" s="26"/>
      <c r="H1030" s="26"/>
      <c r="I1030" s="26"/>
    </row>
    <row r="1031" spans="7:9" x14ac:dyDescent="0.3">
      <c r="G1031" s="26"/>
      <c r="H1031" s="26"/>
      <c r="I1031" s="26"/>
    </row>
    <row r="1032" spans="7:9" x14ac:dyDescent="0.3">
      <c r="G1032" s="26"/>
      <c r="H1032" s="26"/>
      <c r="I1032" s="26"/>
    </row>
    <row r="1033" spans="7:9" x14ac:dyDescent="0.3">
      <c r="G1033" s="26"/>
      <c r="H1033" s="26"/>
      <c r="I1033" s="26"/>
    </row>
    <row r="1034" spans="7:9" x14ac:dyDescent="0.3">
      <c r="G1034" s="26"/>
      <c r="H1034" s="26"/>
      <c r="I1034" s="26"/>
    </row>
    <row r="1035" spans="7:9" x14ac:dyDescent="0.3">
      <c r="G1035" s="26"/>
      <c r="H1035" s="26"/>
      <c r="I1035" s="26"/>
    </row>
    <row r="1036" spans="7:9" x14ac:dyDescent="0.3">
      <c r="G1036" s="26"/>
      <c r="H1036" s="26"/>
      <c r="I1036" s="26"/>
    </row>
    <row r="1037" spans="7:9" x14ac:dyDescent="0.3">
      <c r="G1037" s="26"/>
      <c r="H1037" s="26"/>
      <c r="I1037" s="26"/>
    </row>
    <row r="1038" spans="7:9" x14ac:dyDescent="0.3">
      <c r="G1038" s="26"/>
      <c r="H1038" s="26"/>
      <c r="I1038" s="26"/>
    </row>
    <row r="1039" spans="7:9" x14ac:dyDescent="0.3">
      <c r="G1039" s="26"/>
      <c r="H1039" s="26"/>
      <c r="I1039" s="26"/>
    </row>
    <row r="1040" spans="7:9" x14ac:dyDescent="0.3">
      <c r="G1040" s="26"/>
      <c r="H1040" s="26"/>
      <c r="I1040" s="26"/>
    </row>
    <row r="1041" spans="7:9" x14ac:dyDescent="0.3">
      <c r="G1041" s="26"/>
      <c r="H1041" s="26"/>
      <c r="I1041" s="26"/>
    </row>
    <row r="1042" spans="7:9" x14ac:dyDescent="0.3">
      <c r="G1042" s="26"/>
      <c r="H1042" s="26"/>
      <c r="I1042" s="26"/>
    </row>
    <row r="1043" spans="7:9" x14ac:dyDescent="0.3">
      <c r="G1043" s="26"/>
      <c r="H1043" s="26"/>
      <c r="I1043" s="26"/>
    </row>
    <row r="1044" spans="7:9" x14ac:dyDescent="0.3">
      <c r="G1044" s="26"/>
      <c r="H1044" s="26"/>
      <c r="I1044" s="26"/>
    </row>
    <row r="1045" spans="7:9" x14ac:dyDescent="0.3">
      <c r="G1045" s="26"/>
      <c r="H1045" s="26"/>
      <c r="I1045" s="26"/>
    </row>
    <row r="1046" spans="7:9" x14ac:dyDescent="0.3">
      <c r="G1046" s="26"/>
      <c r="H1046" s="26"/>
      <c r="I1046" s="26"/>
    </row>
    <row r="1047" spans="7:9" x14ac:dyDescent="0.3">
      <c r="G1047" s="26"/>
      <c r="H1047" s="26"/>
      <c r="I1047" s="26"/>
    </row>
    <row r="1048" spans="7:9" x14ac:dyDescent="0.3">
      <c r="G1048" s="26"/>
      <c r="H1048" s="26"/>
      <c r="I1048" s="26"/>
    </row>
    <row r="1049" spans="7:9" x14ac:dyDescent="0.3">
      <c r="G1049" s="26"/>
      <c r="H1049" s="26"/>
      <c r="I1049" s="26"/>
    </row>
    <row r="1050" spans="7:9" x14ac:dyDescent="0.3">
      <c r="G1050" s="26"/>
      <c r="H1050" s="26"/>
      <c r="I1050" s="26"/>
    </row>
    <row r="1051" spans="7:9" x14ac:dyDescent="0.3">
      <c r="G1051" s="26"/>
      <c r="H1051" s="26"/>
      <c r="I1051" s="26"/>
    </row>
    <row r="1052" spans="7:9" x14ac:dyDescent="0.3">
      <c r="G1052" s="26"/>
      <c r="H1052" s="26"/>
      <c r="I1052" s="26"/>
    </row>
    <row r="1053" spans="7:9" x14ac:dyDescent="0.3">
      <c r="G1053" s="26"/>
      <c r="H1053" s="26"/>
      <c r="I1053" s="26"/>
    </row>
    <row r="1054" spans="7:9" x14ac:dyDescent="0.3">
      <c r="G1054" s="26"/>
      <c r="H1054" s="26"/>
      <c r="I1054" s="26"/>
    </row>
    <row r="1055" spans="7:9" x14ac:dyDescent="0.3">
      <c r="G1055" s="26"/>
      <c r="H1055" s="26"/>
      <c r="I1055" s="26"/>
    </row>
    <row r="1056" spans="7:9" x14ac:dyDescent="0.3">
      <c r="G1056" s="26"/>
      <c r="H1056" s="26"/>
      <c r="I1056" s="26"/>
    </row>
    <row r="1057" spans="7:9" x14ac:dyDescent="0.3">
      <c r="G1057" s="26"/>
      <c r="H1057" s="26"/>
      <c r="I1057" s="26"/>
    </row>
    <row r="1058" spans="7:9" x14ac:dyDescent="0.3">
      <c r="G1058" s="26"/>
      <c r="H1058" s="26"/>
      <c r="I1058" s="26"/>
    </row>
    <row r="1059" spans="7:9" x14ac:dyDescent="0.3">
      <c r="G1059" s="26"/>
      <c r="H1059" s="26"/>
      <c r="I1059" s="26"/>
    </row>
    <row r="1060" spans="7:9" x14ac:dyDescent="0.3">
      <c r="G1060" s="26"/>
      <c r="H1060" s="26"/>
      <c r="I1060" s="26"/>
    </row>
    <row r="1061" spans="7:9" x14ac:dyDescent="0.3">
      <c r="G1061" s="26"/>
      <c r="H1061" s="26"/>
      <c r="I1061" s="26"/>
    </row>
    <row r="1062" spans="7:9" x14ac:dyDescent="0.3">
      <c r="G1062" s="26"/>
      <c r="H1062" s="26"/>
      <c r="I1062" s="26"/>
    </row>
    <row r="1063" spans="7:9" x14ac:dyDescent="0.3">
      <c r="G1063" s="26"/>
      <c r="H1063" s="26"/>
      <c r="I1063" s="26"/>
    </row>
    <row r="1064" spans="7:9" x14ac:dyDescent="0.3">
      <c r="G1064" s="26"/>
      <c r="H1064" s="26"/>
      <c r="I1064" s="26"/>
    </row>
    <row r="1065" spans="7:9" x14ac:dyDescent="0.3">
      <c r="G1065" s="26"/>
      <c r="H1065" s="26"/>
      <c r="I1065" s="26"/>
    </row>
    <row r="1066" spans="7:9" x14ac:dyDescent="0.3">
      <c r="G1066" s="26"/>
      <c r="H1066" s="26"/>
      <c r="I1066" s="26"/>
    </row>
    <row r="1067" spans="7:9" x14ac:dyDescent="0.3">
      <c r="G1067" s="26"/>
      <c r="H1067" s="26"/>
      <c r="I1067" s="26"/>
    </row>
    <row r="1068" spans="7:9" x14ac:dyDescent="0.3">
      <c r="G1068" s="26"/>
      <c r="H1068" s="26"/>
      <c r="I1068" s="26"/>
    </row>
    <row r="1069" spans="7:9" x14ac:dyDescent="0.3">
      <c r="G1069" s="26"/>
      <c r="H1069" s="26"/>
      <c r="I1069" s="26"/>
    </row>
    <row r="1070" spans="7:9" x14ac:dyDescent="0.3">
      <c r="G1070" s="26"/>
      <c r="H1070" s="26"/>
      <c r="I1070" s="26"/>
    </row>
    <row r="1071" spans="7:9" x14ac:dyDescent="0.3">
      <c r="G1071" s="26"/>
      <c r="H1071" s="26"/>
      <c r="I1071" s="26"/>
    </row>
    <row r="1072" spans="7:9" x14ac:dyDescent="0.3">
      <c r="G1072" s="26"/>
      <c r="H1072" s="26"/>
      <c r="I1072" s="26"/>
    </row>
    <row r="1073" spans="7:9" x14ac:dyDescent="0.3">
      <c r="G1073" s="26"/>
      <c r="H1073" s="26"/>
      <c r="I1073" s="26"/>
    </row>
    <row r="1074" spans="7:9" x14ac:dyDescent="0.3">
      <c r="G1074" s="26"/>
      <c r="H1074" s="26"/>
      <c r="I1074" s="26"/>
    </row>
    <row r="1075" spans="7:9" x14ac:dyDescent="0.3">
      <c r="G1075" s="26"/>
      <c r="H1075" s="26"/>
      <c r="I1075" s="26"/>
    </row>
    <row r="1076" spans="7:9" x14ac:dyDescent="0.3">
      <c r="G1076" s="26"/>
      <c r="H1076" s="26"/>
      <c r="I1076" s="26"/>
    </row>
    <row r="1077" spans="7:9" x14ac:dyDescent="0.3">
      <c r="G1077" s="26"/>
      <c r="H1077" s="26"/>
      <c r="I1077" s="26"/>
    </row>
    <row r="1078" spans="7:9" x14ac:dyDescent="0.3">
      <c r="G1078" s="26"/>
      <c r="H1078" s="26"/>
      <c r="I1078" s="26"/>
    </row>
    <row r="1079" spans="7:9" x14ac:dyDescent="0.3">
      <c r="G1079" s="26"/>
      <c r="H1079" s="26"/>
      <c r="I1079" s="26"/>
    </row>
    <row r="1080" spans="7:9" x14ac:dyDescent="0.3">
      <c r="G1080" s="26"/>
      <c r="H1080" s="26"/>
      <c r="I1080" s="26"/>
    </row>
    <row r="1081" spans="7:9" x14ac:dyDescent="0.3">
      <c r="G1081" s="26"/>
      <c r="H1081" s="26"/>
      <c r="I1081" s="26"/>
    </row>
    <row r="1082" spans="7:9" x14ac:dyDescent="0.3">
      <c r="G1082" s="26"/>
      <c r="H1082" s="26"/>
      <c r="I1082" s="26"/>
    </row>
    <row r="1083" spans="7:9" x14ac:dyDescent="0.3">
      <c r="G1083" s="26"/>
      <c r="H1083" s="26"/>
      <c r="I1083" s="26"/>
    </row>
    <row r="1084" spans="7:9" x14ac:dyDescent="0.3">
      <c r="G1084" s="26"/>
      <c r="H1084" s="26"/>
      <c r="I1084" s="26"/>
    </row>
    <row r="1085" spans="7:9" x14ac:dyDescent="0.3">
      <c r="G1085" s="26"/>
      <c r="H1085" s="26"/>
      <c r="I1085" s="26"/>
    </row>
    <row r="1086" spans="7:9" x14ac:dyDescent="0.3">
      <c r="G1086" s="26"/>
      <c r="H1086" s="26"/>
      <c r="I1086" s="26"/>
    </row>
    <row r="1087" spans="7:9" x14ac:dyDescent="0.3">
      <c r="G1087" s="26"/>
      <c r="H1087" s="26"/>
      <c r="I1087" s="26"/>
    </row>
    <row r="1088" spans="7:9" x14ac:dyDescent="0.3">
      <c r="G1088" s="26"/>
      <c r="H1088" s="26"/>
      <c r="I1088" s="26"/>
    </row>
    <row r="1089" spans="7:9" x14ac:dyDescent="0.3">
      <c r="G1089" s="26"/>
      <c r="H1089" s="26"/>
      <c r="I1089" s="26"/>
    </row>
    <row r="1090" spans="7:9" x14ac:dyDescent="0.3">
      <c r="G1090" s="26"/>
      <c r="H1090" s="26"/>
      <c r="I1090" s="26"/>
    </row>
    <row r="1091" spans="7:9" x14ac:dyDescent="0.3">
      <c r="G1091" s="26"/>
      <c r="H1091" s="26"/>
      <c r="I1091" s="26"/>
    </row>
    <row r="1092" spans="7:9" x14ac:dyDescent="0.3">
      <c r="G1092" s="26"/>
      <c r="H1092" s="26"/>
      <c r="I1092" s="26"/>
    </row>
    <row r="1093" spans="7:9" x14ac:dyDescent="0.3">
      <c r="G1093" s="26"/>
      <c r="H1093" s="26"/>
      <c r="I1093" s="26"/>
    </row>
    <row r="1094" spans="7:9" x14ac:dyDescent="0.3">
      <c r="G1094" s="26"/>
      <c r="H1094" s="26"/>
      <c r="I1094" s="26"/>
    </row>
    <row r="1095" spans="7:9" x14ac:dyDescent="0.3">
      <c r="G1095" s="26"/>
      <c r="H1095" s="26"/>
      <c r="I1095" s="26"/>
    </row>
    <row r="1096" spans="7:9" x14ac:dyDescent="0.3">
      <c r="G1096" s="26"/>
      <c r="H1096" s="26"/>
      <c r="I1096" s="26"/>
    </row>
    <row r="1097" spans="7:9" x14ac:dyDescent="0.3">
      <c r="G1097" s="26"/>
      <c r="H1097" s="26"/>
      <c r="I1097" s="26"/>
    </row>
    <row r="1098" spans="7:9" x14ac:dyDescent="0.3">
      <c r="G1098" s="26"/>
      <c r="H1098" s="26"/>
      <c r="I1098" s="26"/>
    </row>
    <row r="1099" spans="7:9" x14ac:dyDescent="0.3">
      <c r="G1099" s="26"/>
      <c r="H1099" s="26"/>
      <c r="I1099" s="26"/>
    </row>
    <row r="1100" spans="7:9" x14ac:dyDescent="0.3">
      <c r="G1100" s="26"/>
      <c r="H1100" s="26"/>
      <c r="I1100" s="26"/>
    </row>
    <row r="1101" spans="7:9" x14ac:dyDescent="0.3">
      <c r="G1101" s="26"/>
      <c r="H1101" s="26"/>
      <c r="I1101" s="26"/>
    </row>
    <row r="1102" spans="7:9" x14ac:dyDescent="0.3">
      <c r="G1102" s="26"/>
      <c r="H1102" s="26"/>
      <c r="I1102" s="26"/>
    </row>
    <row r="1103" spans="7:9" x14ac:dyDescent="0.3">
      <c r="G1103" s="26"/>
      <c r="H1103" s="26"/>
      <c r="I1103" s="26"/>
    </row>
    <row r="1104" spans="7:9" x14ac:dyDescent="0.3">
      <c r="G1104" s="26"/>
      <c r="H1104" s="26"/>
      <c r="I1104" s="26"/>
    </row>
    <row r="1105" spans="7:9" x14ac:dyDescent="0.3">
      <c r="G1105" s="26"/>
      <c r="H1105" s="26"/>
      <c r="I1105" s="26"/>
    </row>
    <row r="1106" spans="7:9" x14ac:dyDescent="0.3">
      <c r="G1106" s="26"/>
      <c r="H1106" s="26"/>
      <c r="I1106" s="26"/>
    </row>
    <row r="1107" spans="7:9" x14ac:dyDescent="0.3">
      <c r="G1107" s="26"/>
      <c r="H1107" s="26"/>
      <c r="I1107" s="26"/>
    </row>
    <row r="1108" spans="7:9" x14ac:dyDescent="0.3">
      <c r="G1108" s="26"/>
      <c r="H1108" s="26"/>
      <c r="I1108" s="26"/>
    </row>
    <row r="1109" spans="7:9" x14ac:dyDescent="0.3">
      <c r="G1109" s="26"/>
      <c r="H1109" s="26"/>
      <c r="I1109" s="26"/>
    </row>
    <row r="1110" spans="7:9" x14ac:dyDescent="0.3">
      <c r="G1110" s="26"/>
      <c r="H1110" s="26"/>
      <c r="I1110" s="26"/>
    </row>
    <row r="1111" spans="7:9" x14ac:dyDescent="0.3">
      <c r="G1111" s="26"/>
      <c r="H1111" s="26"/>
      <c r="I1111" s="26"/>
    </row>
    <row r="1112" spans="7:9" x14ac:dyDescent="0.3">
      <c r="G1112" s="26"/>
      <c r="H1112" s="26"/>
      <c r="I1112" s="26"/>
    </row>
    <row r="1113" spans="7:9" x14ac:dyDescent="0.3">
      <c r="G1113" s="26"/>
      <c r="H1113" s="26"/>
      <c r="I1113" s="26"/>
    </row>
    <row r="1114" spans="7:9" x14ac:dyDescent="0.3">
      <c r="G1114" s="26"/>
      <c r="H1114" s="26"/>
      <c r="I1114" s="26"/>
    </row>
    <row r="1115" spans="7:9" x14ac:dyDescent="0.3">
      <c r="G1115" s="26"/>
      <c r="H1115" s="26"/>
      <c r="I1115" s="26"/>
    </row>
    <row r="1116" spans="7:9" x14ac:dyDescent="0.3">
      <c r="G1116" s="26"/>
      <c r="H1116" s="26"/>
      <c r="I1116" s="26"/>
    </row>
    <row r="1117" spans="7:9" x14ac:dyDescent="0.3">
      <c r="G1117" s="26"/>
      <c r="H1117" s="26"/>
      <c r="I1117" s="26"/>
    </row>
    <row r="1118" spans="7:9" x14ac:dyDescent="0.3">
      <c r="G1118" s="26"/>
      <c r="H1118" s="26"/>
      <c r="I1118" s="26"/>
    </row>
    <row r="1119" spans="7:9" x14ac:dyDescent="0.3">
      <c r="G1119" s="26"/>
      <c r="H1119" s="26"/>
      <c r="I1119" s="26"/>
    </row>
    <row r="1120" spans="7:9" x14ac:dyDescent="0.3">
      <c r="G1120" s="26"/>
      <c r="H1120" s="26"/>
      <c r="I1120" s="26"/>
    </row>
    <row r="1121" spans="7:9" x14ac:dyDescent="0.3">
      <c r="G1121" s="26"/>
      <c r="H1121" s="26"/>
      <c r="I1121" s="26"/>
    </row>
    <row r="1122" spans="7:9" x14ac:dyDescent="0.3">
      <c r="G1122" s="26"/>
      <c r="H1122" s="26"/>
      <c r="I1122" s="26"/>
    </row>
    <row r="1123" spans="7:9" x14ac:dyDescent="0.3">
      <c r="G1123" s="26"/>
      <c r="H1123" s="26"/>
      <c r="I1123" s="26"/>
    </row>
    <row r="1124" spans="7:9" x14ac:dyDescent="0.3">
      <c r="G1124" s="26"/>
      <c r="H1124" s="26"/>
      <c r="I1124" s="26"/>
    </row>
    <row r="1125" spans="7:9" x14ac:dyDescent="0.3">
      <c r="G1125" s="26"/>
      <c r="H1125" s="26"/>
      <c r="I1125" s="26"/>
    </row>
    <row r="1126" spans="7:9" x14ac:dyDescent="0.3">
      <c r="G1126" s="26"/>
      <c r="H1126" s="26"/>
      <c r="I1126" s="26"/>
    </row>
    <row r="1127" spans="7:9" x14ac:dyDescent="0.3">
      <c r="G1127" s="26"/>
      <c r="H1127" s="26"/>
      <c r="I1127" s="26"/>
    </row>
    <row r="1128" spans="7:9" x14ac:dyDescent="0.3">
      <c r="G1128" s="26"/>
      <c r="H1128" s="26"/>
      <c r="I1128" s="26"/>
    </row>
    <row r="1129" spans="7:9" x14ac:dyDescent="0.3">
      <c r="G1129" s="26"/>
      <c r="H1129" s="26"/>
      <c r="I1129" s="26"/>
    </row>
    <row r="1130" spans="7:9" x14ac:dyDescent="0.3">
      <c r="G1130" s="26"/>
      <c r="H1130" s="26"/>
      <c r="I1130" s="26"/>
    </row>
    <row r="1131" spans="7:9" x14ac:dyDescent="0.3">
      <c r="G1131" s="26"/>
      <c r="H1131" s="26"/>
      <c r="I1131" s="26"/>
    </row>
    <row r="1132" spans="7:9" x14ac:dyDescent="0.3">
      <c r="G1132" s="26"/>
      <c r="H1132" s="26"/>
      <c r="I1132" s="26"/>
    </row>
    <row r="1133" spans="7:9" x14ac:dyDescent="0.3">
      <c r="G1133" s="26"/>
      <c r="H1133" s="26"/>
      <c r="I1133" s="26"/>
    </row>
    <row r="1134" spans="7:9" x14ac:dyDescent="0.3">
      <c r="G1134" s="26"/>
      <c r="H1134" s="26"/>
      <c r="I1134" s="26"/>
    </row>
    <row r="1135" spans="7:9" x14ac:dyDescent="0.3">
      <c r="G1135" s="26"/>
      <c r="H1135" s="26"/>
      <c r="I1135" s="26"/>
    </row>
    <row r="1136" spans="7:9" x14ac:dyDescent="0.3">
      <c r="G1136" s="26"/>
      <c r="H1136" s="26"/>
      <c r="I1136" s="26"/>
    </row>
    <row r="1137" spans="7:9" x14ac:dyDescent="0.3">
      <c r="G1137" s="26"/>
      <c r="H1137" s="26"/>
      <c r="I1137" s="26"/>
    </row>
    <row r="1138" spans="7:9" x14ac:dyDescent="0.3">
      <c r="G1138" s="26"/>
      <c r="H1138" s="26"/>
      <c r="I1138" s="26"/>
    </row>
    <row r="1139" spans="7:9" x14ac:dyDescent="0.3">
      <c r="G1139" s="26"/>
      <c r="H1139" s="26"/>
      <c r="I1139" s="26"/>
    </row>
    <row r="1140" spans="7:9" x14ac:dyDescent="0.3">
      <c r="G1140" s="26"/>
      <c r="H1140" s="26"/>
      <c r="I1140" s="26"/>
    </row>
    <row r="1141" spans="7:9" x14ac:dyDescent="0.3">
      <c r="G1141" s="26"/>
      <c r="H1141" s="26"/>
      <c r="I1141" s="26"/>
    </row>
    <row r="1142" spans="7:9" x14ac:dyDescent="0.3">
      <c r="G1142" s="26"/>
      <c r="H1142" s="26"/>
      <c r="I1142" s="26"/>
    </row>
    <row r="1143" spans="7:9" x14ac:dyDescent="0.3">
      <c r="G1143" s="26"/>
      <c r="H1143" s="26"/>
      <c r="I1143" s="26"/>
    </row>
    <row r="1144" spans="7:9" x14ac:dyDescent="0.3">
      <c r="G1144" s="26"/>
      <c r="H1144" s="26"/>
      <c r="I1144" s="26"/>
    </row>
    <row r="1145" spans="7:9" x14ac:dyDescent="0.3">
      <c r="G1145" s="26"/>
      <c r="H1145" s="26"/>
      <c r="I1145" s="26"/>
    </row>
    <row r="1146" spans="7:9" x14ac:dyDescent="0.3">
      <c r="G1146" s="26"/>
      <c r="H1146" s="26"/>
      <c r="I1146" s="26"/>
    </row>
    <row r="1147" spans="7:9" x14ac:dyDescent="0.3">
      <c r="G1147" s="26"/>
      <c r="H1147" s="26"/>
      <c r="I1147" s="26"/>
    </row>
    <row r="1148" spans="7:9" x14ac:dyDescent="0.3">
      <c r="G1148" s="26"/>
      <c r="H1148" s="26"/>
      <c r="I1148" s="26"/>
    </row>
    <row r="1149" spans="7:9" x14ac:dyDescent="0.3">
      <c r="G1149" s="26"/>
      <c r="H1149" s="26"/>
      <c r="I1149" s="26"/>
    </row>
    <row r="1150" spans="7:9" x14ac:dyDescent="0.3">
      <c r="G1150" s="26"/>
      <c r="H1150" s="26"/>
      <c r="I1150" s="26"/>
    </row>
    <row r="1151" spans="7:9" x14ac:dyDescent="0.3">
      <c r="G1151" s="26"/>
      <c r="H1151" s="26"/>
      <c r="I1151" s="26"/>
    </row>
    <row r="1152" spans="7:9" x14ac:dyDescent="0.3">
      <c r="G1152" s="26"/>
      <c r="H1152" s="26"/>
      <c r="I1152" s="26"/>
    </row>
    <row r="1153" spans="7:9" x14ac:dyDescent="0.3">
      <c r="G1153" s="26"/>
      <c r="H1153" s="26"/>
      <c r="I1153" s="26"/>
    </row>
    <row r="1154" spans="7:9" x14ac:dyDescent="0.3">
      <c r="G1154" s="26"/>
      <c r="H1154" s="26"/>
      <c r="I1154" s="26"/>
    </row>
    <row r="1155" spans="7:9" x14ac:dyDescent="0.3">
      <c r="G1155" s="26"/>
      <c r="H1155" s="26"/>
      <c r="I1155" s="26"/>
    </row>
    <row r="1156" spans="7:9" x14ac:dyDescent="0.3">
      <c r="G1156" s="26"/>
      <c r="H1156" s="26"/>
      <c r="I1156" s="26"/>
    </row>
    <row r="1157" spans="7:9" x14ac:dyDescent="0.3">
      <c r="G1157" s="26"/>
      <c r="H1157" s="26"/>
      <c r="I1157" s="26"/>
    </row>
    <row r="1158" spans="7:9" x14ac:dyDescent="0.3">
      <c r="G1158" s="26"/>
      <c r="H1158" s="26"/>
      <c r="I1158" s="26"/>
    </row>
    <row r="1159" spans="7:9" x14ac:dyDescent="0.3">
      <c r="G1159" s="26"/>
      <c r="H1159" s="26"/>
      <c r="I1159" s="26"/>
    </row>
    <row r="1160" spans="7:9" x14ac:dyDescent="0.3">
      <c r="G1160" s="26"/>
      <c r="H1160" s="26"/>
      <c r="I1160" s="26"/>
    </row>
    <row r="1161" spans="7:9" x14ac:dyDescent="0.3">
      <c r="G1161" s="26"/>
      <c r="H1161" s="26"/>
      <c r="I1161" s="26"/>
    </row>
    <row r="1162" spans="7:9" x14ac:dyDescent="0.3">
      <c r="G1162" s="26"/>
      <c r="H1162" s="26"/>
      <c r="I1162" s="26"/>
    </row>
    <row r="1163" spans="7:9" x14ac:dyDescent="0.3">
      <c r="G1163" s="26"/>
      <c r="H1163" s="26"/>
      <c r="I1163" s="26"/>
    </row>
    <row r="1164" spans="7:9" x14ac:dyDescent="0.3">
      <c r="G1164" s="26"/>
      <c r="H1164" s="26"/>
      <c r="I1164" s="26"/>
    </row>
    <row r="1165" spans="7:9" x14ac:dyDescent="0.3">
      <c r="G1165" s="26"/>
      <c r="H1165" s="26"/>
      <c r="I1165" s="26"/>
    </row>
    <row r="1166" spans="7:9" x14ac:dyDescent="0.3">
      <c r="G1166" s="26"/>
      <c r="H1166" s="26"/>
      <c r="I1166" s="26"/>
    </row>
    <row r="1167" spans="7:9" x14ac:dyDescent="0.3">
      <c r="G1167" s="26"/>
      <c r="H1167" s="26"/>
      <c r="I1167" s="26"/>
    </row>
    <row r="1168" spans="7:9" x14ac:dyDescent="0.3">
      <c r="G1168" s="26"/>
      <c r="H1168" s="26"/>
      <c r="I1168" s="26"/>
    </row>
    <row r="1169" spans="7:9" x14ac:dyDescent="0.3">
      <c r="G1169" s="26"/>
      <c r="H1169" s="26"/>
      <c r="I1169" s="26"/>
    </row>
    <row r="1170" spans="7:9" x14ac:dyDescent="0.3">
      <c r="G1170" s="26"/>
      <c r="H1170" s="26"/>
      <c r="I1170" s="26"/>
    </row>
    <row r="1171" spans="7:9" x14ac:dyDescent="0.3">
      <c r="G1171" s="26"/>
      <c r="H1171" s="26"/>
      <c r="I1171" s="26"/>
    </row>
    <row r="1172" spans="7:9" x14ac:dyDescent="0.3">
      <c r="G1172" s="26"/>
      <c r="H1172" s="26"/>
      <c r="I1172" s="26"/>
    </row>
    <row r="1173" spans="7:9" x14ac:dyDescent="0.3">
      <c r="G1173" s="26"/>
      <c r="H1173" s="26"/>
      <c r="I1173" s="26"/>
    </row>
    <row r="1174" spans="7:9" x14ac:dyDescent="0.3">
      <c r="G1174" s="26"/>
      <c r="H1174" s="26"/>
      <c r="I1174" s="26"/>
    </row>
    <row r="1175" spans="7:9" x14ac:dyDescent="0.3">
      <c r="G1175" s="26"/>
      <c r="H1175" s="26"/>
      <c r="I1175" s="26"/>
    </row>
    <row r="1176" spans="7:9" x14ac:dyDescent="0.3">
      <c r="G1176" s="26"/>
      <c r="H1176" s="26"/>
      <c r="I1176" s="26"/>
    </row>
    <row r="1177" spans="7:9" x14ac:dyDescent="0.3">
      <c r="G1177" s="26"/>
      <c r="H1177" s="26"/>
      <c r="I1177" s="26"/>
    </row>
    <row r="1178" spans="7:9" x14ac:dyDescent="0.3">
      <c r="G1178" s="26"/>
      <c r="H1178" s="26"/>
      <c r="I1178" s="26"/>
    </row>
    <row r="1179" spans="7:9" x14ac:dyDescent="0.3">
      <c r="G1179" s="26"/>
      <c r="H1179" s="26"/>
      <c r="I1179" s="26"/>
    </row>
    <row r="1180" spans="7:9" x14ac:dyDescent="0.3">
      <c r="G1180" s="26"/>
      <c r="H1180" s="26"/>
      <c r="I1180" s="26"/>
    </row>
    <row r="1181" spans="7:9" x14ac:dyDescent="0.3">
      <c r="G1181" s="26"/>
      <c r="H1181" s="26"/>
      <c r="I1181" s="26"/>
    </row>
    <row r="1182" spans="7:9" x14ac:dyDescent="0.3">
      <c r="G1182" s="26"/>
      <c r="H1182" s="26"/>
      <c r="I1182" s="26"/>
    </row>
    <row r="1183" spans="7:9" x14ac:dyDescent="0.3">
      <c r="G1183" s="26"/>
      <c r="H1183" s="26"/>
      <c r="I1183" s="26"/>
    </row>
    <row r="1184" spans="7:9" x14ac:dyDescent="0.3">
      <c r="G1184" s="26"/>
      <c r="H1184" s="26"/>
      <c r="I1184" s="26"/>
    </row>
    <row r="1185" spans="7:9" x14ac:dyDescent="0.3">
      <c r="G1185" s="26"/>
      <c r="H1185" s="26"/>
      <c r="I1185" s="26"/>
    </row>
    <row r="1186" spans="7:9" x14ac:dyDescent="0.3">
      <c r="G1186" s="26"/>
      <c r="H1186" s="26"/>
      <c r="I1186" s="26"/>
    </row>
    <row r="1187" spans="7:9" x14ac:dyDescent="0.3">
      <c r="G1187" s="26"/>
      <c r="H1187" s="26"/>
      <c r="I1187" s="26"/>
    </row>
    <row r="1188" spans="7:9" x14ac:dyDescent="0.3">
      <c r="G1188" s="26"/>
      <c r="H1188" s="26"/>
      <c r="I1188" s="26"/>
    </row>
    <row r="1189" spans="7:9" x14ac:dyDescent="0.3">
      <c r="G1189" s="26"/>
      <c r="H1189" s="26"/>
      <c r="I1189" s="26"/>
    </row>
    <row r="1190" spans="7:9" x14ac:dyDescent="0.3">
      <c r="G1190" s="26"/>
      <c r="H1190" s="26"/>
      <c r="I1190" s="26"/>
    </row>
    <row r="1191" spans="7:9" x14ac:dyDescent="0.3">
      <c r="G1191" s="26"/>
      <c r="H1191" s="26"/>
      <c r="I1191" s="26"/>
    </row>
    <row r="1192" spans="7:9" x14ac:dyDescent="0.3">
      <c r="G1192" s="26"/>
      <c r="H1192" s="26"/>
      <c r="I1192" s="26"/>
    </row>
    <row r="1193" spans="7:9" x14ac:dyDescent="0.3">
      <c r="G1193" s="26"/>
      <c r="H1193" s="26"/>
      <c r="I1193" s="26"/>
    </row>
    <row r="1194" spans="7:9" x14ac:dyDescent="0.3">
      <c r="G1194" s="26"/>
      <c r="H1194" s="26"/>
      <c r="I1194" s="26"/>
    </row>
    <row r="1195" spans="7:9" x14ac:dyDescent="0.3">
      <c r="G1195" s="26"/>
      <c r="H1195" s="26"/>
      <c r="I1195" s="26"/>
    </row>
    <row r="1196" spans="7:9" x14ac:dyDescent="0.3">
      <c r="G1196" s="26"/>
      <c r="H1196" s="26"/>
      <c r="I1196" s="26"/>
    </row>
    <row r="1197" spans="7:9" x14ac:dyDescent="0.3">
      <c r="G1197" s="26"/>
      <c r="H1197" s="26"/>
      <c r="I1197" s="26"/>
    </row>
    <row r="1198" spans="7:9" x14ac:dyDescent="0.3">
      <c r="G1198" s="26"/>
      <c r="H1198" s="26"/>
      <c r="I1198" s="26"/>
    </row>
    <row r="1199" spans="7:9" x14ac:dyDescent="0.3">
      <c r="G1199" s="26"/>
      <c r="H1199" s="26"/>
      <c r="I1199" s="26"/>
    </row>
    <row r="1200" spans="7:9" x14ac:dyDescent="0.3">
      <c r="G1200" s="26"/>
      <c r="H1200" s="26"/>
      <c r="I1200" s="26"/>
    </row>
    <row r="1201" spans="7:9" x14ac:dyDescent="0.3">
      <c r="G1201" s="26"/>
      <c r="H1201" s="26"/>
      <c r="I1201" s="26"/>
    </row>
    <row r="1202" spans="7:9" x14ac:dyDescent="0.3">
      <c r="G1202" s="26"/>
      <c r="H1202" s="26"/>
      <c r="I1202" s="26"/>
    </row>
    <row r="1203" spans="7:9" x14ac:dyDescent="0.3">
      <c r="G1203" s="26"/>
      <c r="H1203" s="26"/>
      <c r="I1203" s="26"/>
    </row>
    <row r="1204" spans="7:9" x14ac:dyDescent="0.3">
      <c r="G1204" s="26"/>
      <c r="H1204" s="26"/>
      <c r="I1204" s="26"/>
    </row>
    <row r="1205" spans="7:9" x14ac:dyDescent="0.3">
      <c r="G1205" s="26"/>
      <c r="H1205" s="26"/>
      <c r="I1205" s="26"/>
    </row>
    <row r="1206" spans="7:9" x14ac:dyDescent="0.3">
      <c r="G1206" s="26"/>
      <c r="H1206" s="26"/>
      <c r="I1206" s="26"/>
    </row>
    <row r="1207" spans="7:9" x14ac:dyDescent="0.3">
      <c r="G1207" s="26"/>
      <c r="H1207" s="26"/>
      <c r="I1207" s="26"/>
    </row>
    <row r="1208" spans="7:9" x14ac:dyDescent="0.3">
      <c r="G1208" s="26"/>
      <c r="H1208" s="26"/>
      <c r="I1208" s="26"/>
    </row>
    <row r="1209" spans="7:9" x14ac:dyDescent="0.3">
      <c r="G1209" s="26"/>
      <c r="H1209" s="26"/>
      <c r="I1209" s="26"/>
    </row>
    <row r="1210" spans="7:9" x14ac:dyDescent="0.3">
      <c r="G1210" s="26"/>
      <c r="H1210" s="26"/>
      <c r="I1210" s="26"/>
    </row>
    <row r="1211" spans="7:9" x14ac:dyDescent="0.3">
      <c r="G1211" s="26"/>
      <c r="H1211" s="26"/>
      <c r="I1211" s="26"/>
    </row>
    <row r="1212" spans="7:9" x14ac:dyDescent="0.3">
      <c r="G1212" s="26"/>
      <c r="H1212" s="26"/>
      <c r="I1212" s="26"/>
    </row>
    <row r="1213" spans="7:9" x14ac:dyDescent="0.3">
      <c r="G1213" s="26"/>
      <c r="H1213" s="26"/>
      <c r="I1213" s="26"/>
    </row>
    <row r="1214" spans="7:9" x14ac:dyDescent="0.3">
      <c r="G1214" s="26"/>
      <c r="H1214" s="26"/>
      <c r="I1214" s="26"/>
    </row>
    <row r="1215" spans="7:9" x14ac:dyDescent="0.3">
      <c r="G1215" s="26"/>
      <c r="H1215" s="26"/>
      <c r="I1215" s="26"/>
    </row>
    <row r="1216" spans="7:9" x14ac:dyDescent="0.3">
      <c r="G1216" s="26"/>
      <c r="H1216" s="26"/>
      <c r="I1216" s="26"/>
    </row>
    <row r="1217" spans="7:9" x14ac:dyDescent="0.3">
      <c r="G1217" s="26"/>
      <c r="H1217" s="26"/>
      <c r="I1217" s="26"/>
    </row>
    <row r="1218" spans="7:9" x14ac:dyDescent="0.3">
      <c r="G1218" s="26"/>
      <c r="H1218" s="26"/>
      <c r="I1218" s="26"/>
    </row>
    <row r="1219" spans="7:9" x14ac:dyDescent="0.3">
      <c r="G1219" s="26"/>
      <c r="H1219" s="26"/>
      <c r="I1219" s="26"/>
    </row>
    <row r="1220" spans="7:9" x14ac:dyDescent="0.3">
      <c r="G1220" s="26"/>
      <c r="H1220" s="26"/>
      <c r="I1220" s="26"/>
    </row>
    <row r="1221" spans="7:9" x14ac:dyDescent="0.3">
      <c r="G1221" s="26"/>
      <c r="H1221" s="26"/>
      <c r="I1221" s="26"/>
    </row>
    <row r="1222" spans="7:9" x14ac:dyDescent="0.3">
      <c r="G1222" s="26"/>
      <c r="H1222" s="26"/>
      <c r="I1222" s="26"/>
    </row>
    <row r="1223" spans="7:9" x14ac:dyDescent="0.3">
      <c r="G1223" s="26"/>
      <c r="H1223" s="26"/>
      <c r="I1223" s="26"/>
    </row>
    <row r="1224" spans="7:9" x14ac:dyDescent="0.3">
      <c r="G1224" s="26"/>
      <c r="H1224" s="26"/>
      <c r="I1224" s="26"/>
    </row>
    <row r="1225" spans="7:9" x14ac:dyDescent="0.3">
      <c r="G1225" s="26"/>
      <c r="H1225" s="26"/>
      <c r="I1225" s="26"/>
    </row>
    <row r="1226" spans="7:9" x14ac:dyDescent="0.3">
      <c r="G1226" s="26"/>
      <c r="H1226" s="26"/>
      <c r="I1226" s="26"/>
    </row>
    <row r="1227" spans="7:9" x14ac:dyDescent="0.3">
      <c r="G1227" s="26"/>
      <c r="H1227" s="26"/>
      <c r="I1227" s="26"/>
    </row>
    <row r="1228" spans="7:9" x14ac:dyDescent="0.3">
      <c r="G1228" s="26"/>
      <c r="H1228" s="26"/>
      <c r="I1228" s="26"/>
    </row>
    <row r="1229" spans="7:9" x14ac:dyDescent="0.3">
      <c r="G1229" s="26"/>
      <c r="H1229" s="26"/>
      <c r="I1229" s="26"/>
    </row>
    <row r="1230" spans="7:9" x14ac:dyDescent="0.3">
      <c r="G1230" s="26"/>
      <c r="H1230" s="26"/>
      <c r="I1230" s="26"/>
    </row>
    <row r="1231" spans="7:9" x14ac:dyDescent="0.3">
      <c r="G1231" s="26"/>
      <c r="H1231" s="26"/>
      <c r="I1231" s="26"/>
    </row>
    <row r="1232" spans="7:9" x14ac:dyDescent="0.3">
      <c r="G1232" s="26"/>
      <c r="H1232" s="26"/>
      <c r="I1232" s="26"/>
    </row>
    <row r="1233" spans="7:9" x14ac:dyDescent="0.3">
      <c r="G1233" s="26"/>
      <c r="H1233" s="26"/>
      <c r="I1233" s="26"/>
    </row>
    <row r="1234" spans="7:9" x14ac:dyDescent="0.3">
      <c r="G1234" s="26"/>
      <c r="H1234" s="26"/>
      <c r="I1234" s="26"/>
    </row>
    <row r="1235" spans="7:9" x14ac:dyDescent="0.3">
      <c r="G1235" s="26"/>
      <c r="H1235" s="26"/>
      <c r="I1235" s="26"/>
    </row>
    <row r="1236" spans="7:9" x14ac:dyDescent="0.3">
      <c r="G1236" s="26"/>
      <c r="H1236" s="26"/>
      <c r="I1236" s="26"/>
    </row>
    <row r="1237" spans="7:9" x14ac:dyDescent="0.3">
      <c r="G1237" s="26"/>
      <c r="H1237" s="26"/>
      <c r="I1237" s="26"/>
    </row>
    <row r="1238" spans="7:9" x14ac:dyDescent="0.3">
      <c r="G1238" s="26"/>
      <c r="H1238" s="26"/>
      <c r="I1238" s="26"/>
    </row>
    <row r="1239" spans="7:9" x14ac:dyDescent="0.3">
      <c r="G1239" s="26"/>
      <c r="H1239" s="26"/>
      <c r="I1239" s="26"/>
    </row>
    <row r="1240" spans="7:9" x14ac:dyDescent="0.3">
      <c r="G1240" s="26"/>
      <c r="H1240" s="26"/>
      <c r="I1240" s="26"/>
    </row>
    <row r="1241" spans="7:9" x14ac:dyDescent="0.3">
      <c r="G1241" s="26"/>
      <c r="H1241" s="26"/>
      <c r="I1241" s="26"/>
    </row>
    <row r="1242" spans="7:9" x14ac:dyDescent="0.3">
      <c r="G1242" s="26"/>
      <c r="H1242" s="26"/>
      <c r="I1242" s="26"/>
    </row>
    <row r="1243" spans="7:9" x14ac:dyDescent="0.3">
      <c r="G1243" s="26"/>
      <c r="H1243" s="26"/>
      <c r="I1243" s="26"/>
    </row>
    <row r="1244" spans="7:9" x14ac:dyDescent="0.3">
      <c r="G1244" s="26"/>
      <c r="H1244" s="26"/>
      <c r="I1244" s="26"/>
    </row>
    <row r="1245" spans="7:9" x14ac:dyDescent="0.3">
      <c r="G1245" s="26"/>
      <c r="H1245" s="26"/>
      <c r="I1245" s="26"/>
    </row>
    <row r="1246" spans="7:9" x14ac:dyDescent="0.3">
      <c r="G1246" s="26"/>
      <c r="H1246" s="26"/>
      <c r="I1246" s="26"/>
    </row>
    <row r="1247" spans="7:9" x14ac:dyDescent="0.3">
      <c r="G1247" s="26"/>
      <c r="H1247" s="26"/>
      <c r="I1247" s="26"/>
    </row>
    <row r="1248" spans="7:9" x14ac:dyDescent="0.3">
      <c r="G1248" s="26"/>
      <c r="H1248" s="26"/>
      <c r="I1248" s="26"/>
    </row>
    <row r="1249" spans="7:9" x14ac:dyDescent="0.3">
      <c r="G1249" s="26"/>
      <c r="H1249" s="26"/>
      <c r="I1249" s="26"/>
    </row>
    <row r="1250" spans="7:9" x14ac:dyDescent="0.3">
      <c r="G1250" s="26"/>
      <c r="H1250" s="26"/>
      <c r="I1250" s="26"/>
    </row>
    <row r="1251" spans="7:9" x14ac:dyDescent="0.3">
      <c r="G1251" s="26"/>
      <c r="H1251" s="26"/>
      <c r="I1251" s="26"/>
    </row>
    <row r="1252" spans="7:9" x14ac:dyDescent="0.3">
      <c r="G1252" s="26"/>
      <c r="H1252" s="26"/>
      <c r="I1252" s="26"/>
    </row>
    <row r="1253" spans="7:9" x14ac:dyDescent="0.3">
      <c r="G1253" s="26"/>
      <c r="H1253" s="26"/>
      <c r="I1253" s="26"/>
    </row>
    <row r="1254" spans="7:9" x14ac:dyDescent="0.3">
      <c r="G1254" s="26"/>
      <c r="H1254" s="26"/>
      <c r="I1254" s="26"/>
    </row>
    <row r="1255" spans="7:9" x14ac:dyDescent="0.3">
      <c r="G1255" s="26"/>
      <c r="H1255" s="26"/>
      <c r="I1255" s="26"/>
    </row>
    <row r="1256" spans="7:9" x14ac:dyDescent="0.3">
      <c r="G1256" s="26"/>
      <c r="H1256" s="26"/>
      <c r="I1256" s="26"/>
    </row>
    <row r="1257" spans="7:9" x14ac:dyDescent="0.3">
      <c r="G1257" s="26"/>
      <c r="H1257" s="26"/>
      <c r="I1257" s="26"/>
    </row>
    <row r="1258" spans="7:9" x14ac:dyDescent="0.3">
      <c r="G1258" s="26"/>
      <c r="H1258" s="26"/>
      <c r="I1258" s="26"/>
    </row>
    <row r="1259" spans="7:9" x14ac:dyDescent="0.3">
      <c r="G1259" s="26"/>
      <c r="H1259" s="26"/>
      <c r="I1259" s="26"/>
    </row>
    <row r="1260" spans="7:9" x14ac:dyDescent="0.3">
      <c r="G1260" s="26"/>
      <c r="H1260" s="26"/>
      <c r="I1260" s="26"/>
    </row>
    <row r="1261" spans="7:9" x14ac:dyDescent="0.3">
      <c r="G1261" s="26"/>
      <c r="H1261" s="26"/>
      <c r="I1261" s="26"/>
    </row>
    <row r="1262" spans="7:9" x14ac:dyDescent="0.3">
      <c r="G1262" s="26"/>
      <c r="H1262" s="26"/>
      <c r="I1262" s="26"/>
    </row>
    <row r="1263" spans="7:9" x14ac:dyDescent="0.3">
      <c r="G1263" s="26"/>
      <c r="H1263" s="26"/>
      <c r="I1263" s="26"/>
    </row>
    <row r="1264" spans="7:9" x14ac:dyDescent="0.3">
      <c r="G1264" s="26"/>
      <c r="H1264" s="26"/>
      <c r="I1264" s="26"/>
    </row>
    <row r="1265" spans="7:9" x14ac:dyDescent="0.3">
      <c r="G1265" s="26"/>
      <c r="H1265" s="26"/>
      <c r="I1265" s="26"/>
    </row>
    <row r="1266" spans="7:9" x14ac:dyDescent="0.3">
      <c r="G1266" s="26"/>
      <c r="H1266" s="26"/>
      <c r="I1266" s="26"/>
    </row>
    <row r="1267" spans="7:9" x14ac:dyDescent="0.3">
      <c r="G1267" s="26"/>
      <c r="H1267" s="26"/>
      <c r="I1267" s="26"/>
    </row>
    <row r="1268" spans="7:9" x14ac:dyDescent="0.3">
      <c r="G1268" s="26"/>
      <c r="H1268" s="26"/>
      <c r="I1268" s="26"/>
    </row>
    <row r="1269" spans="7:9" x14ac:dyDescent="0.3">
      <c r="G1269" s="26"/>
      <c r="H1269" s="26"/>
      <c r="I1269" s="26"/>
    </row>
    <row r="1270" spans="7:9" x14ac:dyDescent="0.3">
      <c r="G1270" s="26"/>
      <c r="H1270" s="26"/>
      <c r="I1270" s="26"/>
    </row>
    <row r="1271" spans="7:9" x14ac:dyDescent="0.3">
      <c r="G1271" s="26"/>
      <c r="H1271" s="26"/>
      <c r="I1271" s="26"/>
    </row>
    <row r="1272" spans="7:9" x14ac:dyDescent="0.3">
      <c r="G1272" s="26"/>
      <c r="H1272" s="26"/>
      <c r="I1272" s="26"/>
    </row>
    <row r="1273" spans="7:9" x14ac:dyDescent="0.3">
      <c r="G1273" s="26"/>
      <c r="H1273" s="26"/>
      <c r="I1273" s="26"/>
    </row>
    <row r="1274" spans="7:9" x14ac:dyDescent="0.3">
      <c r="G1274" s="26"/>
      <c r="H1274" s="26"/>
      <c r="I1274" s="26"/>
    </row>
    <row r="1275" spans="7:9" x14ac:dyDescent="0.3">
      <c r="G1275" s="26"/>
      <c r="H1275" s="26"/>
      <c r="I1275" s="26"/>
    </row>
    <row r="1276" spans="7:9" x14ac:dyDescent="0.3">
      <c r="G1276" s="26"/>
      <c r="H1276" s="26"/>
      <c r="I1276" s="26"/>
    </row>
    <row r="1277" spans="7:9" x14ac:dyDescent="0.3">
      <c r="G1277" s="26"/>
      <c r="H1277" s="26"/>
      <c r="I1277" s="26"/>
    </row>
    <row r="1278" spans="7:9" x14ac:dyDescent="0.3">
      <c r="G1278" s="26"/>
      <c r="H1278" s="26"/>
      <c r="I1278" s="26"/>
    </row>
    <row r="1279" spans="7:9" x14ac:dyDescent="0.3">
      <c r="G1279" s="26"/>
      <c r="H1279" s="26"/>
      <c r="I1279" s="26"/>
    </row>
    <row r="1280" spans="7:9" x14ac:dyDescent="0.3">
      <c r="G1280" s="26"/>
      <c r="H1280" s="26"/>
      <c r="I1280" s="26"/>
    </row>
    <row r="1281" spans="7:9" x14ac:dyDescent="0.3">
      <c r="G1281" s="26"/>
      <c r="H1281" s="26"/>
      <c r="I1281" s="26"/>
    </row>
    <row r="1282" spans="7:9" x14ac:dyDescent="0.3">
      <c r="G1282" s="26"/>
      <c r="H1282" s="26"/>
      <c r="I1282" s="26"/>
    </row>
    <row r="1283" spans="7:9" x14ac:dyDescent="0.3">
      <c r="G1283" s="26"/>
      <c r="H1283" s="26"/>
      <c r="I1283" s="26"/>
    </row>
    <row r="1284" spans="7:9" x14ac:dyDescent="0.3">
      <c r="G1284" s="26"/>
      <c r="H1284" s="26"/>
      <c r="I1284" s="26"/>
    </row>
    <row r="1285" spans="7:9" x14ac:dyDescent="0.3">
      <c r="G1285" s="26"/>
      <c r="H1285" s="26"/>
      <c r="I1285" s="26"/>
    </row>
    <row r="1286" spans="7:9" x14ac:dyDescent="0.3">
      <c r="G1286" s="26"/>
      <c r="H1286" s="26"/>
      <c r="I1286" s="26"/>
    </row>
    <row r="1287" spans="7:9" x14ac:dyDescent="0.3">
      <c r="G1287" s="26"/>
      <c r="H1287" s="26"/>
      <c r="I1287" s="26"/>
    </row>
    <row r="1288" spans="7:9" x14ac:dyDescent="0.3">
      <c r="G1288" s="26"/>
      <c r="H1288" s="26"/>
      <c r="I1288" s="26"/>
    </row>
    <row r="1289" spans="7:9" x14ac:dyDescent="0.3">
      <c r="G1289" s="26"/>
      <c r="H1289" s="26"/>
      <c r="I1289" s="26"/>
    </row>
    <row r="1290" spans="7:9" x14ac:dyDescent="0.3">
      <c r="G1290" s="26"/>
      <c r="H1290" s="26"/>
      <c r="I1290" s="26"/>
    </row>
    <row r="1291" spans="7:9" x14ac:dyDescent="0.3">
      <c r="G1291" s="26"/>
      <c r="H1291" s="26"/>
      <c r="I1291" s="26"/>
    </row>
    <row r="1292" spans="7:9" x14ac:dyDescent="0.3">
      <c r="G1292" s="26"/>
      <c r="H1292" s="26"/>
      <c r="I1292" s="26"/>
    </row>
    <row r="1293" spans="7:9" x14ac:dyDescent="0.3">
      <c r="G1293" s="26"/>
      <c r="H1293" s="26"/>
      <c r="I1293" s="26"/>
    </row>
    <row r="1294" spans="7:9" x14ac:dyDescent="0.3">
      <c r="G1294" s="26"/>
      <c r="H1294" s="26"/>
      <c r="I1294" s="26"/>
    </row>
    <row r="1295" spans="7:9" x14ac:dyDescent="0.3">
      <c r="G1295" s="26"/>
      <c r="H1295" s="26"/>
      <c r="I1295" s="26"/>
    </row>
    <row r="1296" spans="7:9" x14ac:dyDescent="0.3">
      <c r="G1296" s="26"/>
      <c r="H1296" s="26"/>
      <c r="I1296" s="26"/>
    </row>
    <row r="1297" spans="7:9" x14ac:dyDescent="0.3">
      <c r="G1297" s="26"/>
      <c r="H1297" s="26"/>
      <c r="I1297" s="26"/>
    </row>
    <row r="1298" spans="7:9" x14ac:dyDescent="0.3">
      <c r="G1298" s="26"/>
      <c r="H1298" s="26"/>
      <c r="I1298" s="26"/>
    </row>
    <row r="1299" spans="7:9" x14ac:dyDescent="0.3">
      <c r="G1299" s="26"/>
      <c r="H1299" s="26"/>
      <c r="I1299" s="26"/>
    </row>
    <row r="1300" spans="7:9" x14ac:dyDescent="0.3">
      <c r="G1300" s="26"/>
      <c r="H1300" s="26"/>
      <c r="I1300" s="26"/>
    </row>
    <row r="1301" spans="7:9" x14ac:dyDescent="0.3">
      <c r="G1301" s="26"/>
      <c r="H1301" s="26"/>
      <c r="I1301" s="26"/>
    </row>
    <row r="1302" spans="7:9" x14ac:dyDescent="0.3">
      <c r="G1302" s="26"/>
      <c r="H1302" s="26"/>
      <c r="I1302" s="26"/>
    </row>
    <row r="1303" spans="7:9" x14ac:dyDescent="0.3">
      <c r="G1303" s="26"/>
      <c r="H1303" s="26"/>
      <c r="I1303" s="26"/>
    </row>
    <row r="1304" spans="7:9" x14ac:dyDescent="0.3">
      <c r="G1304" s="26"/>
      <c r="H1304" s="26"/>
      <c r="I1304" s="26"/>
    </row>
    <row r="1305" spans="7:9" x14ac:dyDescent="0.3">
      <c r="G1305" s="26"/>
      <c r="H1305" s="26"/>
      <c r="I1305" s="26"/>
    </row>
    <row r="1306" spans="7:9" x14ac:dyDescent="0.3">
      <c r="G1306" s="26"/>
      <c r="H1306" s="26"/>
      <c r="I1306" s="26"/>
    </row>
    <row r="1307" spans="7:9" x14ac:dyDescent="0.3">
      <c r="G1307" s="26"/>
      <c r="H1307" s="26"/>
      <c r="I1307" s="26"/>
    </row>
    <row r="1308" spans="7:9" x14ac:dyDescent="0.3">
      <c r="G1308" s="26"/>
      <c r="H1308" s="26"/>
      <c r="I1308" s="26"/>
    </row>
    <row r="1309" spans="7:9" x14ac:dyDescent="0.3">
      <c r="G1309" s="26"/>
      <c r="H1309" s="26"/>
      <c r="I1309" s="26"/>
    </row>
    <row r="1310" spans="7:9" x14ac:dyDescent="0.3">
      <c r="G1310" s="26"/>
      <c r="H1310" s="26"/>
      <c r="I1310" s="26"/>
    </row>
    <row r="1311" spans="7:9" x14ac:dyDescent="0.3">
      <c r="G1311" s="26"/>
      <c r="H1311" s="26"/>
      <c r="I1311" s="26"/>
    </row>
    <row r="1312" spans="7:9" x14ac:dyDescent="0.3">
      <c r="G1312" s="26"/>
      <c r="H1312" s="26"/>
      <c r="I1312" s="26"/>
    </row>
    <row r="1313" spans="7:9" x14ac:dyDescent="0.3">
      <c r="G1313" s="26"/>
      <c r="H1313" s="26"/>
      <c r="I1313" s="26"/>
    </row>
    <row r="1314" spans="7:9" x14ac:dyDescent="0.3">
      <c r="G1314" s="26"/>
      <c r="H1314" s="26"/>
      <c r="I1314" s="26"/>
    </row>
    <row r="1315" spans="7:9" x14ac:dyDescent="0.3">
      <c r="G1315" s="26"/>
      <c r="H1315" s="26"/>
      <c r="I1315" s="26"/>
    </row>
    <row r="1316" spans="7:9" x14ac:dyDescent="0.3">
      <c r="G1316" s="26"/>
      <c r="H1316" s="26"/>
      <c r="I1316" s="26"/>
    </row>
    <row r="1317" spans="7:9" x14ac:dyDescent="0.3">
      <c r="G1317" s="26"/>
      <c r="H1317" s="26"/>
      <c r="I1317" s="26"/>
    </row>
    <row r="1318" spans="7:9" x14ac:dyDescent="0.3">
      <c r="G1318" s="26"/>
      <c r="H1318" s="26"/>
      <c r="I1318" s="26"/>
    </row>
    <row r="1319" spans="7:9" x14ac:dyDescent="0.3">
      <c r="G1319" s="26"/>
      <c r="H1319" s="26"/>
      <c r="I1319" s="26"/>
    </row>
    <row r="1320" spans="7:9" x14ac:dyDescent="0.3">
      <c r="G1320" s="26"/>
      <c r="H1320" s="26"/>
      <c r="I1320" s="26"/>
    </row>
    <row r="1321" spans="7:9" x14ac:dyDescent="0.3">
      <c r="G1321" s="26"/>
      <c r="H1321" s="26"/>
      <c r="I1321" s="26"/>
    </row>
    <row r="1322" spans="7:9" x14ac:dyDescent="0.3">
      <c r="G1322" s="26"/>
      <c r="H1322" s="26"/>
      <c r="I1322" s="26"/>
    </row>
    <row r="1323" spans="7:9" x14ac:dyDescent="0.3">
      <c r="G1323" s="26"/>
      <c r="H1323" s="26"/>
      <c r="I1323" s="26"/>
    </row>
    <row r="1324" spans="7:9" x14ac:dyDescent="0.3">
      <c r="G1324" s="26"/>
      <c r="H1324" s="26"/>
      <c r="I1324" s="26"/>
    </row>
    <row r="1325" spans="7:9" x14ac:dyDescent="0.3">
      <c r="G1325" s="26"/>
      <c r="H1325" s="26"/>
      <c r="I1325" s="26"/>
    </row>
    <row r="1326" spans="7:9" x14ac:dyDescent="0.3">
      <c r="G1326" s="26"/>
      <c r="H1326" s="26"/>
      <c r="I1326" s="26"/>
    </row>
    <row r="1327" spans="7:9" x14ac:dyDescent="0.3">
      <c r="G1327" s="26"/>
      <c r="H1327" s="26"/>
      <c r="I1327" s="26"/>
    </row>
    <row r="1328" spans="7:9" x14ac:dyDescent="0.3">
      <c r="G1328" s="26"/>
      <c r="H1328" s="26"/>
      <c r="I1328" s="26"/>
    </row>
    <row r="1329" spans="7:9" x14ac:dyDescent="0.3">
      <c r="G1329" s="26"/>
      <c r="H1329" s="26"/>
      <c r="I1329" s="26"/>
    </row>
    <row r="1330" spans="7:9" x14ac:dyDescent="0.3">
      <c r="G1330" s="26"/>
      <c r="H1330" s="26"/>
      <c r="I1330" s="26"/>
    </row>
    <row r="1331" spans="7:9" x14ac:dyDescent="0.3">
      <c r="G1331" s="26"/>
      <c r="H1331" s="26"/>
      <c r="I1331" s="26"/>
    </row>
    <row r="1332" spans="7:9" x14ac:dyDescent="0.3">
      <c r="G1332" s="26"/>
      <c r="H1332" s="26"/>
      <c r="I1332" s="26"/>
    </row>
    <row r="1333" spans="7:9" x14ac:dyDescent="0.3">
      <c r="G1333" s="26"/>
      <c r="H1333" s="26"/>
      <c r="I1333" s="26"/>
    </row>
    <row r="1334" spans="7:9" x14ac:dyDescent="0.3">
      <c r="G1334" s="26"/>
      <c r="H1334" s="26"/>
      <c r="I1334" s="26"/>
    </row>
    <row r="1335" spans="7:9" x14ac:dyDescent="0.3">
      <c r="G1335" s="26"/>
      <c r="H1335" s="26"/>
      <c r="I1335" s="26"/>
    </row>
    <row r="1336" spans="7:9" x14ac:dyDescent="0.3">
      <c r="G1336" s="26"/>
      <c r="H1336" s="26"/>
      <c r="I1336" s="26"/>
    </row>
    <row r="1337" spans="7:9" x14ac:dyDescent="0.3">
      <c r="G1337" s="26"/>
      <c r="H1337" s="26"/>
      <c r="I1337" s="26"/>
    </row>
    <row r="1338" spans="7:9" x14ac:dyDescent="0.3">
      <c r="G1338" s="26"/>
      <c r="H1338" s="26"/>
      <c r="I1338" s="26"/>
    </row>
    <row r="1339" spans="7:9" x14ac:dyDescent="0.3">
      <c r="G1339" s="26"/>
      <c r="H1339" s="26"/>
      <c r="I1339" s="26"/>
    </row>
    <row r="1340" spans="7:9" x14ac:dyDescent="0.3">
      <c r="G1340" s="26"/>
      <c r="H1340" s="26"/>
      <c r="I1340" s="26"/>
    </row>
    <row r="1341" spans="7:9" x14ac:dyDescent="0.3">
      <c r="G1341" s="26"/>
      <c r="H1341" s="26"/>
      <c r="I1341" s="26"/>
    </row>
    <row r="1342" spans="7:9" x14ac:dyDescent="0.3">
      <c r="G1342" s="26"/>
      <c r="H1342" s="26"/>
      <c r="I1342" s="26"/>
    </row>
    <row r="1343" spans="7:9" x14ac:dyDescent="0.3">
      <c r="G1343" s="26"/>
      <c r="H1343" s="26"/>
      <c r="I1343" s="26"/>
    </row>
    <row r="1344" spans="7:9" x14ac:dyDescent="0.3">
      <c r="G1344" s="26"/>
      <c r="H1344" s="26"/>
      <c r="I1344" s="26"/>
    </row>
    <row r="1345" spans="7:9" x14ac:dyDescent="0.3">
      <c r="G1345" s="26"/>
      <c r="H1345" s="26"/>
      <c r="I1345" s="26"/>
    </row>
    <row r="1346" spans="7:9" x14ac:dyDescent="0.3">
      <c r="G1346" s="26"/>
      <c r="H1346" s="26"/>
      <c r="I1346" s="26"/>
    </row>
    <row r="1347" spans="7:9" x14ac:dyDescent="0.3">
      <c r="G1347" s="26"/>
      <c r="H1347" s="26"/>
      <c r="I1347" s="26"/>
    </row>
    <row r="1348" spans="7:9" x14ac:dyDescent="0.3">
      <c r="G1348" s="26"/>
      <c r="H1348" s="26"/>
      <c r="I1348" s="26"/>
    </row>
    <row r="1349" spans="7:9" x14ac:dyDescent="0.3">
      <c r="G1349" s="26"/>
      <c r="H1349" s="26"/>
      <c r="I1349" s="26"/>
    </row>
    <row r="1350" spans="7:9" x14ac:dyDescent="0.3">
      <c r="G1350" s="26"/>
      <c r="H1350" s="26"/>
      <c r="I1350" s="26"/>
    </row>
    <row r="1351" spans="7:9" x14ac:dyDescent="0.3">
      <c r="G1351" s="26"/>
      <c r="H1351" s="26"/>
      <c r="I1351" s="26"/>
    </row>
    <row r="1352" spans="7:9" x14ac:dyDescent="0.3">
      <c r="G1352" s="26"/>
      <c r="H1352" s="26"/>
      <c r="I1352" s="26"/>
    </row>
    <row r="1353" spans="7:9" x14ac:dyDescent="0.3">
      <c r="G1353" s="26"/>
      <c r="H1353" s="26"/>
      <c r="I1353" s="26"/>
    </row>
    <row r="1354" spans="7:9" x14ac:dyDescent="0.3">
      <c r="G1354" s="26"/>
      <c r="H1354" s="26"/>
      <c r="I1354" s="26"/>
    </row>
    <row r="1355" spans="7:9" x14ac:dyDescent="0.3">
      <c r="G1355" s="26"/>
      <c r="H1355" s="26"/>
      <c r="I1355" s="26"/>
    </row>
    <row r="1356" spans="7:9" x14ac:dyDescent="0.3">
      <c r="G1356" s="26"/>
      <c r="H1356" s="26"/>
      <c r="I1356" s="26"/>
    </row>
    <row r="1357" spans="7:9" x14ac:dyDescent="0.3">
      <c r="G1357" s="26"/>
      <c r="H1357" s="26"/>
      <c r="I1357" s="26"/>
    </row>
    <row r="1358" spans="7:9" x14ac:dyDescent="0.3">
      <c r="G1358" s="26"/>
      <c r="H1358" s="26"/>
      <c r="I1358" s="26"/>
    </row>
    <row r="1359" spans="7:9" x14ac:dyDescent="0.3">
      <c r="G1359" s="26"/>
      <c r="H1359" s="26"/>
      <c r="I1359" s="26"/>
    </row>
    <row r="1360" spans="7:9" x14ac:dyDescent="0.3">
      <c r="G1360" s="26"/>
      <c r="H1360" s="26"/>
      <c r="I1360" s="26"/>
    </row>
    <row r="1361" spans="7:9" x14ac:dyDescent="0.3">
      <c r="G1361" s="26"/>
      <c r="H1361" s="26"/>
      <c r="I1361" s="26"/>
    </row>
    <row r="1362" spans="7:9" x14ac:dyDescent="0.3">
      <c r="G1362" s="26"/>
      <c r="H1362" s="26"/>
      <c r="I1362" s="26"/>
    </row>
    <row r="1363" spans="7:9" x14ac:dyDescent="0.3">
      <c r="G1363" s="26"/>
      <c r="H1363" s="26"/>
      <c r="I1363" s="26"/>
    </row>
    <row r="1364" spans="7:9" x14ac:dyDescent="0.3">
      <c r="G1364" s="26"/>
      <c r="H1364" s="26"/>
      <c r="I1364" s="26"/>
    </row>
    <row r="1365" spans="7:9" x14ac:dyDescent="0.3">
      <c r="G1365" s="26"/>
      <c r="H1365" s="26"/>
      <c r="I1365" s="26"/>
    </row>
    <row r="1366" spans="7:9" x14ac:dyDescent="0.3">
      <c r="G1366" s="26"/>
      <c r="H1366" s="26"/>
      <c r="I1366" s="26"/>
    </row>
    <row r="1367" spans="7:9" x14ac:dyDescent="0.3">
      <c r="G1367" s="26"/>
      <c r="H1367" s="26"/>
      <c r="I1367" s="26"/>
    </row>
    <row r="1368" spans="7:9" x14ac:dyDescent="0.3">
      <c r="G1368" s="26"/>
      <c r="H1368" s="26"/>
      <c r="I1368" s="26"/>
    </row>
    <row r="1369" spans="7:9" x14ac:dyDescent="0.3">
      <c r="G1369" s="26"/>
      <c r="H1369" s="26"/>
      <c r="I1369" s="26"/>
    </row>
    <row r="1370" spans="7:9" x14ac:dyDescent="0.3">
      <c r="G1370" s="26"/>
      <c r="H1370" s="26"/>
      <c r="I1370" s="26"/>
    </row>
    <row r="1371" spans="7:9" x14ac:dyDescent="0.3">
      <c r="G1371" s="26"/>
      <c r="H1371" s="26"/>
      <c r="I1371" s="26"/>
    </row>
    <row r="1372" spans="7:9" x14ac:dyDescent="0.3">
      <c r="G1372" s="26"/>
      <c r="H1372" s="26"/>
      <c r="I1372" s="26"/>
    </row>
    <row r="1373" spans="7:9" x14ac:dyDescent="0.3">
      <c r="G1373" s="26"/>
      <c r="H1373" s="26"/>
      <c r="I1373" s="26"/>
    </row>
    <row r="1374" spans="7:9" x14ac:dyDescent="0.3">
      <c r="G1374" s="26"/>
      <c r="H1374" s="26"/>
      <c r="I1374" s="26"/>
    </row>
    <row r="1375" spans="7:9" x14ac:dyDescent="0.3">
      <c r="G1375" s="26"/>
      <c r="H1375" s="26"/>
      <c r="I1375" s="26"/>
    </row>
    <row r="1376" spans="7:9" x14ac:dyDescent="0.3">
      <c r="G1376" s="26"/>
      <c r="H1376" s="26"/>
      <c r="I1376" s="26"/>
    </row>
    <row r="1377" spans="7:9" x14ac:dyDescent="0.3">
      <c r="G1377" s="26"/>
      <c r="H1377" s="26"/>
      <c r="I1377" s="26"/>
    </row>
    <row r="1378" spans="7:9" x14ac:dyDescent="0.3">
      <c r="G1378" s="26"/>
      <c r="H1378" s="26"/>
      <c r="I1378" s="26"/>
    </row>
    <row r="1379" spans="7:9" x14ac:dyDescent="0.3">
      <c r="G1379" s="26"/>
      <c r="H1379" s="26"/>
      <c r="I1379" s="26"/>
    </row>
    <row r="1380" spans="7:9" x14ac:dyDescent="0.3">
      <c r="G1380" s="26"/>
      <c r="H1380" s="26"/>
      <c r="I1380" s="26"/>
    </row>
    <row r="1381" spans="7:9" x14ac:dyDescent="0.3">
      <c r="G1381" s="26"/>
      <c r="H1381" s="26"/>
      <c r="I1381" s="26"/>
    </row>
    <row r="1382" spans="7:9" x14ac:dyDescent="0.3">
      <c r="G1382" s="26"/>
      <c r="H1382" s="26"/>
      <c r="I1382" s="26"/>
    </row>
    <row r="1383" spans="7:9" x14ac:dyDescent="0.3">
      <c r="G1383" s="26"/>
      <c r="H1383" s="26"/>
      <c r="I1383" s="26"/>
    </row>
    <row r="1384" spans="7:9" x14ac:dyDescent="0.3">
      <c r="G1384" s="26"/>
      <c r="H1384" s="26"/>
      <c r="I1384" s="26"/>
    </row>
    <row r="1385" spans="7:9" x14ac:dyDescent="0.3">
      <c r="G1385" s="26"/>
      <c r="H1385" s="26"/>
      <c r="I1385" s="26"/>
    </row>
    <row r="1386" spans="7:9" x14ac:dyDescent="0.3">
      <c r="G1386" s="26"/>
      <c r="H1386" s="26"/>
      <c r="I1386" s="26"/>
    </row>
    <row r="1387" spans="7:9" x14ac:dyDescent="0.3">
      <c r="G1387" s="26"/>
      <c r="H1387" s="26"/>
      <c r="I1387" s="26"/>
    </row>
    <row r="1388" spans="7:9" x14ac:dyDescent="0.3">
      <c r="G1388" s="26"/>
      <c r="H1388" s="26"/>
      <c r="I1388" s="26"/>
    </row>
    <row r="1389" spans="7:9" x14ac:dyDescent="0.3">
      <c r="G1389" s="26"/>
      <c r="H1389" s="26"/>
      <c r="I1389" s="26"/>
    </row>
    <row r="1390" spans="7:9" x14ac:dyDescent="0.3">
      <c r="G1390" s="26"/>
      <c r="H1390" s="26"/>
      <c r="I1390" s="26"/>
    </row>
    <row r="1391" spans="7:9" x14ac:dyDescent="0.3">
      <c r="G1391" s="26"/>
      <c r="H1391" s="26"/>
      <c r="I1391" s="26"/>
    </row>
    <row r="1392" spans="7:9" x14ac:dyDescent="0.3">
      <c r="G1392" s="26"/>
      <c r="H1392" s="26"/>
      <c r="I1392" s="26"/>
    </row>
    <row r="1393" spans="7:9" x14ac:dyDescent="0.3">
      <c r="G1393" s="26"/>
      <c r="H1393" s="26"/>
      <c r="I1393" s="26"/>
    </row>
    <row r="1394" spans="7:9" x14ac:dyDescent="0.3">
      <c r="G1394" s="26"/>
      <c r="H1394" s="26"/>
      <c r="I1394" s="26"/>
    </row>
    <row r="1395" spans="7:9" x14ac:dyDescent="0.3">
      <c r="G1395" s="26"/>
      <c r="H1395" s="26"/>
      <c r="I1395" s="26"/>
    </row>
    <row r="1396" spans="7:9" x14ac:dyDescent="0.3">
      <c r="G1396" s="26"/>
      <c r="H1396" s="26"/>
      <c r="I1396" s="26"/>
    </row>
    <row r="1397" spans="7:9" x14ac:dyDescent="0.3">
      <c r="G1397" s="26"/>
      <c r="H1397" s="26"/>
      <c r="I1397" s="26"/>
    </row>
    <row r="1398" spans="7:9" x14ac:dyDescent="0.3">
      <c r="G1398" s="26"/>
      <c r="H1398" s="26"/>
      <c r="I1398" s="26"/>
    </row>
    <row r="1399" spans="7:9" x14ac:dyDescent="0.3">
      <c r="G1399" s="26"/>
      <c r="H1399" s="26"/>
      <c r="I1399" s="26"/>
    </row>
    <row r="1400" spans="7:9" x14ac:dyDescent="0.3">
      <c r="G1400" s="26"/>
      <c r="H1400" s="26"/>
      <c r="I1400" s="26"/>
    </row>
    <row r="1401" spans="7:9" x14ac:dyDescent="0.3">
      <c r="G1401" s="26"/>
      <c r="H1401" s="26"/>
      <c r="I1401" s="26"/>
    </row>
    <row r="1402" spans="7:9" x14ac:dyDescent="0.3">
      <c r="G1402" s="26"/>
      <c r="H1402" s="26"/>
      <c r="I1402" s="26"/>
    </row>
    <row r="1403" spans="7:9" x14ac:dyDescent="0.3">
      <c r="G1403" s="26"/>
      <c r="H1403" s="26"/>
      <c r="I1403" s="26"/>
    </row>
    <row r="1404" spans="7:9" x14ac:dyDescent="0.3">
      <c r="G1404" s="26"/>
      <c r="H1404" s="26"/>
      <c r="I1404" s="26"/>
    </row>
    <row r="1405" spans="7:9" x14ac:dyDescent="0.3">
      <c r="G1405" s="26"/>
      <c r="H1405" s="26"/>
      <c r="I1405" s="26"/>
    </row>
    <row r="1406" spans="7:9" x14ac:dyDescent="0.3">
      <c r="G1406" s="26"/>
      <c r="H1406" s="26"/>
      <c r="I1406" s="26"/>
    </row>
    <row r="1407" spans="7:9" x14ac:dyDescent="0.3">
      <c r="G1407" s="26"/>
      <c r="H1407" s="26"/>
      <c r="I1407" s="26"/>
    </row>
    <row r="1408" spans="7:9" x14ac:dyDescent="0.3">
      <c r="G1408" s="26"/>
      <c r="H1408" s="26"/>
      <c r="I1408" s="26"/>
    </row>
    <row r="1409" spans="7:9" x14ac:dyDescent="0.3">
      <c r="G1409" s="26"/>
      <c r="H1409" s="26"/>
      <c r="I1409" s="26"/>
    </row>
    <row r="1410" spans="7:9" x14ac:dyDescent="0.3">
      <c r="G1410" s="26"/>
      <c r="H1410" s="26"/>
      <c r="I1410" s="26"/>
    </row>
    <row r="1411" spans="7:9" x14ac:dyDescent="0.3">
      <c r="G1411" s="26"/>
      <c r="H1411" s="26"/>
      <c r="I1411" s="26"/>
    </row>
    <row r="1412" spans="7:9" x14ac:dyDescent="0.3">
      <c r="G1412" s="26"/>
      <c r="H1412" s="26"/>
      <c r="I1412" s="26"/>
    </row>
    <row r="1413" spans="7:9" x14ac:dyDescent="0.3">
      <c r="G1413" s="26"/>
      <c r="H1413" s="26"/>
      <c r="I1413" s="26"/>
    </row>
    <row r="1414" spans="7:9" x14ac:dyDescent="0.3">
      <c r="G1414" s="26"/>
      <c r="H1414" s="26"/>
      <c r="I1414" s="26"/>
    </row>
    <row r="1415" spans="7:9" x14ac:dyDescent="0.3">
      <c r="G1415" s="26"/>
      <c r="H1415" s="26"/>
      <c r="I1415" s="26"/>
    </row>
    <row r="1416" spans="7:9" x14ac:dyDescent="0.3">
      <c r="G1416" s="26"/>
      <c r="H1416" s="26"/>
      <c r="I1416" s="26"/>
    </row>
    <row r="1417" spans="7:9" x14ac:dyDescent="0.3">
      <c r="G1417" s="26"/>
      <c r="H1417" s="26"/>
      <c r="I1417" s="26"/>
    </row>
    <row r="1418" spans="7:9" x14ac:dyDescent="0.3">
      <c r="G1418" s="26"/>
      <c r="H1418" s="26"/>
      <c r="I1418" s="26"/>
    </row>
    <row r="1419" spans="7:9" x14ac:dyDescent="0.3">
      <c r="G1419" s="26"/>
      <c r="H1419" s="26"/>
      <c r="I1419" s="26"/>
    </row>
    <row r="1420" spans="7:9" x14ac:dyDescent="0.3">
      <c r="G1420" s="26"/>
      <c r="H1420" s="26"/>
      <c r="I1420" s="26"/>
    </row>
    <row r="1421" spans="7:9" x14ac:dyDescent="0.3">
      <c r="G1421" s="26"/>
      <c r="H1421" s="26"/>
      <c r="I1421" s="26"/>
    </row>
    <row r="1422" spans="7:9" x14ac:dyDescent="0.3">
      <c r="G1422" s="26"/>
      <c r="H1422" s="26"/>
      <c r="I1422" s="26"/>
    </row>
    <row r="1423" spans="7:9" x14ac:dyDescent="0.3">
      <c r="G1423" s="26"/>
      <c r="H1423" s="26"/>
      <c r="I1423" s="26"/>
    </row>
    <row r="1424" spans="7:9" x14ac:dyDescent="0.3">
      <c r="G1424" s="26"/>
      <c r="H1424" s="26"/>
      <c r="I1424" s="26"/>
    </row>
    <row r="1425" spans="7:9" x14ac:dyDescent="0.3">
      <c r="G1425" s="26"/>
      <c r="H1425" s="26"/>
      <c r="I1425" s="26"/>
    </row>
    <row r="1426" spans="7:9" x14ac:dyDescent="0.3">
      <c r="G1426" s="26"/>
      <c r="H1426" s="26"/>
      <c r="I1426" s="26"/>
    </row>
    <row r="1427" spans="7:9" x14ac:dyDescent="0.3">
      <c r="G1427" s="26"/>
      <c r="H1427" s="26"/>
      <c r="I1427" s="26"/>
    </row>
    <row r="1428" spans="7:9" x14ac:dyDescent="0.3">
      <c r="G1428" s="26"/>
      <c r="H1428" s="26"/>
      <c r="I1428" s="26"/>
    </row>
    <row r="1429" spans="7:9" x14ac:dyDescent="0.3">
      <c r="G1429" s="26"/>
      <c r="H1429" s="26"/>
      <c r="I1429" s="26"/>
    </row>
    <row r="1430" spans="7:9" x14ac:dyDescent="0.3">
      <c r="G1430" s="26"/>
      <c r="H1430" s="26"/>
      <c r="I1430" s="26"/>
    </row>
    <row r="1431" spans="7:9" x14ac:dyDescent="0.3">
      <c r="G1431" s="26"/>
      <c r="H1431" s="26"/>
      <c r="I1431" s="26"/>
    </row>
    <row r="1432" spans="7:9" x14ac:dyDescent="0.3">
      <c r="G1432" s="26"/>
      <c r="H1432" s="26"/>
      <c r="I1432" s="26"/>
    </row>
    <row r="1433" spans="7:9" x14ac:dyDescent="0.3">
      <c r="G1433" s="26"/>
      <c r="H1433" s="26"/>
      <c r="I1433" s="26"/>
    </row>
    <row r="1434" spans="7:9" x14ac:dyDescent="0.3">
      <c r="G1434" s="26"/>
      <c r="H1434" s="26"/>
      <c r="I1434" s="26"/>
    </row>
    <row r="1435" spans="7:9" x14ac:dyDescent="0.3">
      <c r="G1435" s="26"/>
      <c r="H1435" s="26"/>
      <c r="I1435" s="26"/>
    </row>
    <row r="1436" spans="7:9" x14ac:dyDescent="0.3">
      <c r="G1436" s="26"/>
      <c r="H1436" s="26"/>
      <c r="I1436" s="26"/>
    </row>
    <row r="1437" spans="7:9" x14ac:dyDescent="0.3">
      <c r="G1437" s="26"/>
      <c r="H1437" s="26"/>
      <c r="I1437" s="26"/>
    </row>
    <row r="1438" spans="7:9" x14ac:dyDescent="0.3">
      <c r="G1438" s="26"/>
      <c r="H1438" s="26"/>
      <c r="I1438" s="26"/>
    </row>
    <row r="1439" spans="7:9" x14ac:dyDescent="0.3">
      <c r="G1439" s="26"/>
      <c r="H1439" s="26"/>
      <c r="I1439" s="26"/>
    </row>
    <row r="1440" spans="7:9" x14ac:dyDescent="0.3">
      <c r="G1440" s="26"/>
      <c r="H1440" s="26"/>
      <c r="I1440" s="26"/>
    </row>
    <row r="1441" spans="7:9" x14ac:dyDescent="0.3">
      <c r="G1441" s="26"/>
      <c r="H1441" s="26"/>
      <c r="I1441" s="26"/>
    </row>
    <row r="1442" spans="7:9" x14ac:dyDescent="0.3">
      <c r="G1442" s="26"/>
      <c r="H1442" s="26"/>
      <c r="I1442" s="26"/>
    </row>
    <row r="1443" spans="7:9" x14ac:dyDescent="0.3">
      <c r="G1443" s="26"/>
      <c r="H1443" s="26"/>
      <c r="I1443" s="26"/>
    </row>
    <row r="1444" spans="7:9" x14ac:dyDescent="0.3">
      <c r="G1444" s="26"/>
      <c r="H1444" s="26"/>
      <c r="I1444" s="26"/>
    </row>
    <row r="1445" spans="7:9" x14ac:dyDescent="0.3">
      <c r="G1445" s="26"/>
      <c r="H1445" s="26"/>
      <c r="I1445" s="26"/>
    </row>
    <row r="1446" spans="7:9" x14ac:dyDescent="0.3">
      <c r="G1446" s="26"/>
      <c r="H1446" s="26"/>
      <c r="I1446" s="26"/>
    </row>
    <row r="1447" spans="7:9" x14ac:dyDescent="0.3">
      <c r="G1447" s="26"/>
      <c r="H1447" s="26"/>
      <c r="I1447" s="26"/>
    </row>
    <row r="1448" spans="7:9" x14ac:dyDescent="0.3">
      <c r="G1448" s="26"/>
      <c r="H1448" s="26"/>
      <c r="I1448" s="26"/>
    </row>
    <row r="1449" spans="7:9" x14ac:dyDescent="0.3">
      <c r="G1449" s="26"/>
      <c r="H1449" s="26"/>
      <c r="I1449" s="26"/>
    </row>
    <row r="1450" spans="7:9" x14ac:dyDescent="0.3">
      <c r="G1450" s="26"/>
      <c r="H1450" s="26"/>
      <c r="I1450" s="26"/>
    </row>
    <row r="1451" spans="7:9" x14ac:dyDescent="0.3">
      <c r="G1451" s="26"/>
      <c r="H1451" s="26"/>
      <c r="I1451" s="26"/>
    </row>
    <row r="1452" spans="7:9" x14ac:dyDescent="0.3">
      <c r="G1452" s="26"/>
      <c r="H1452" s="26"/>
      <c r="I1452" s="26"/>
    </row>
    <row r="1453" spans="7:9" x14ac:dyDescent="0.3">
      <c r="G1453" s="26"/>
      <c r="H1453" s="26"/>
      <c r="I1453" s="26"/>
    </row>
    <row r="1454" spans="7:9" x14ac:dyDescent="0.3">
      <c r="G1454" s="26"/>
      <c r="H1454" s="26"/>
      <c r="I1454" s="26"/>
    </row>
    <row r="1455" spans="7:9" x14ac:dyDescent="0.3">
      <c r="G1455" s="26"/>
      <c r="H1455" s="26"/>
      <c r="I1455" s="26"/>
    </row>
    <row r="1456" spans="7:9" x14ac:dyDescent="0.3">
      <c r="G1456" s="26"/>
      <c r="H1456" s="26"/>
      <c r="I1456" s="26"/>
    </row>
    <row r="1457" spans="7:9" x14ac:dyDescent="0.3">
      <c r="G1457" s="26"/>
      <c r="H1457" s="26"/>
      <c r="I1457" s="26"/>
    </row>
    <row r="1458" spans="7:9" x14ac:dyDescent="0.3">
      <c r="G1458" s="26"/>
      <c r="H1458" s="26"/>
      <c r="I1458" s="26"/>
    </row>
    <row r="1459" spans="7:9" x14ac:dyDescent="0.3">
      <c r="G1459" s="26"/>
      <c r="H1459" s="26"/>
      <c r="I1459" s="26"/>
    </row>
    <row r="1460" spans="7:9" x14ac:dyDescent="0.3">
      <c r="G1460" s="26"/>
      <c r="H1460" s="26"/>
      <c r="I1460" s="26"/>
    </row>
    <row r="1461" spans="7:9" x14ac:dyDescent="0.3">
      <c r="G1461" s="26"/>
      <c r="H1461" s="26"/>
      <c r="I1461" s="26"/>
    </row>
    <row r="1462" spans="7:9" x14ac:dyDescent="0.3">
      <c r="G1462" s="26"/>
      <c r="H1462" s="26"/>
      <c r="I1462" s="26"/>
    </row>
    <row r="1463" spans="7:9" x14ac:dyDescent="0.3">
      <c r="G1463" s="26"/>
      <c r="H1463" s="26"/>
      <c r="I1463" s="26"/>
    </row>
    <row r="1464" spans="7:9" x14ac:dyDescent="0.3">
      <c r="G1464" s="26"/>
      <c r="H1464" s="26"/>
      <c r="I1464" s="26"/>
    </row>
    <row r="1465" spans="7:9" x14ac:dyDescent="0.3">
      <c r="G1465" s="26"/>
      <c r="H1465" s="26"/>
      <c r="I1465" s="26"/>
    </row>
    <row r="1466" spans="7:9" x14ac:dyDescent="0.3">
      <c r="G1466" s="26"/>
      <c r="H1466" s="26"/>
      <c r="I1466" s="26"/>
    </row>
    <row r="1467" spans="7:9" x14ac:dyDescent="0.3">
      <c r="G1467" s="26"/>
      <c r="H1467" s="26"/>
      <c r="I1467" s="26"/>
    </row>
    <row r="1468" spans="7:9" x14ac:dyDescent="0.3">
      <c r="G1468" s="26"/>
      <c r="H1468" s="26"/>
      <c r="I1468" s="26"/>
    </row>
    <row r="1469" spans="7:9" x14ac:dyDescent="0.3">
      <c r="G1469" s="26"/>
      <c r="H1469" s="26"/>
      <c r="I1469" s="26"/>
    </row>
    <row r="1470" spans="7:9" x14ac:dyDescent="0.3">
      <c r="G1470" s="26"/>
      <c r="H1470" s="26"/>
      <c r="I1470" s="26"/>
    </row>
    <row r="1471" spans="7:9" x14ac:dyDescent="0.3">
      <c r="G1471" s="26"/>
      <c r="H1471" s="26"/>
      <c r="I1471" s="26"/>
    </row>
    <row r="1472" spans="7:9" x14ac:dyDescent="0.3">
      <c r="G1472" s="26"/>
      <c r="H1472" s="26"/>
      <c r="I1472" s="26"/>
    </row>
    <row r="1473" spans="7:9" x14ac:dyDescent="0.3">
      <c r="G1473" s="26"/>
      <c r="H1473" s="26"/>
      <c r="I1473" s="26"/>
    </row>
    <row r="1474" spans="7:9" x14ac:dyDescent="0.3">
      <c r="G1474" s="26"/>
      <c r="H1474" s="26"/>
      <c r="I1474" s="26"/>
    </row>
    <row r="1475" spans="7:9" x14ac:dyDescent="0.3">
      <c r="G1475" s="26"/>
      <c r="H1475" s="26"/>
      <c r="I1475" s="26"/>
    </row>
    <row r="1476" spans="7:9" x14ac:dyDescent="0.3">
      <c r="G1476" s="26"/>
      <c r="H1476" s="26"/>
      <c r="I1476" s="26"/>
    </row>
    <row r="1477" spans="7:9" x14ac:dyDescent="0.3">
      <c r="G1477" s="26"/>
      <c r="H1477" s="26"/>
      <c r="I1477" s="26"/>
    </row>
    <row r="1478" spans="7:9" x14ac:dyDescent="0.3">
      <c r="G1478" s="26"/>
      <c r="H1478" s="26"/>
      <c r="I1478" s="26"/>
    </row>
    <row r="1479" spans="7:9" x14ac:dyDescent="0.3">
      <c r="G1479" s="26"/>
      <c r="H1479" s="26"/>
      <c r="I1479" s="26"/>
    </row>
    <row r="1480" spans="7:9" x14ac:dyDescent="0.3">
      <c r="G1480" s="26"/>
      <c r="H1480" s="26"/>
      <c r="I1480" s="26"/>
    </row>
    <row r="1481" spans="7:9" x14ac:dyDescent="0.3">
      <c r="G1481" s="26"/>
      <c r="H1481" s="26"/>
      <c r="I1481" s="26"/>
    </row>
    <row r="1482" spans="7:9" x14ac:dyDescent="0.3">
      <c r="G1482" s="26"/>
      <c r="H1482" s="26"/>
      <c r="I1482" s="26"/>
    </row>
    <row r="1483" spans="7:9" x14ac:dyDescent="0.3">
      <c r="G1483" s="26"/>
      <c r="H1483" s="26"/>
      <c r="I1483" s="26"/>
    </row>
    <row r="1484" spans="7:9" x14ac:dyDescent="0.3">
      <c r="G1484" s="26"/>
      <c r="H1484" s="26"/>
      <c r="I1484" s="26"/>
    </row>
    <row r="1485" spans="7:9" x14ac:dyDescent="0.3">
      <c r="G1485" s="26"/>
      <c r="H1485" s="26"/>
      <c r="I1485" s="26"/>
    </row>
    <row r="1486" spans="7:9" x14ac:dyDescent="0.3">
      <c r="G1486" s="26"/>
      <c r="H1486" s="26"/>
      <c r="I1486" s="26"/>
    </row>
    <row r="1487" spans="7:9" x14ac:dyDescent="0.3">
      <c r="G1487" s="26"/>
      <c r="H1487" s="26"/>
      <c r="I1487" s="26"/>
    </row>
    <row r="1488" spans="7:9" x14ac:dyDescent="0.3">
      <c r="G1488" s="26"/>
      <c r="H1488" s="26"/>
      <c r="I1488" s="26"/>
    </row>
    <row r="1489" spans="7:9" x14ac:dyDescent="0.3">
      <c r="G1489" s="26"/>
      <c r="H1489" s="26"/>
      <c r="I1489" s="26"/>
    </row>
    <row r="1490" spans="7:9" x14ac:dyDescent="0.3">
      <c r="G1490" s="26"/>
      <c r="H1490" s="26"/>
      <c r="I1490" s="26"/>
    </row>
    <row r="1491" spans="7:9" x14ac:dyDescent="0.3">
      <c r="G1491" s="26"/>
      <c r="H1491" s="26"/>
      <c r="I1491" s="26"/>
    </row>
    <row r="1492" spans="7:9" x14ac:dyDescent="0.3">
      <c r="G1492" s="26"/>
      <c r="H1492" s="26"/>
      <c r="I1492" s="26"/>
    </row>
    <row r="1493" spans="7:9" x14ac:dyDescent="0.3">
      <c r="G1493" s="26"/>
      <c r="H1493" s="26"/>
      <c r="I1493" s="26"/>
    </row>
    <row r="1494" spans="7:9" x14ac:dyDescent="0.3">
      <c r="G1494" s="26"/>
      <c r="H1494" s="26"/>
      <c r="I1494" s="26"/>
    </row>
    <row r="1495" spans="7:9" x14ac:dyDescent="0.3">
      <c r="G1495" s="26"/>
      <c r="H1495" s="26"/>
      <c r="I1495" s="26"/>
    </row>
    <row r="1496" spans="7:9" x14ac:dyDescent="0.3">
      <c r="G1496" s="26"/>
      <c r="H1496" s="26"/>
      <c r="I1496" s="26"/>
    </row>
    <row r="1497" spans="7:9" x14ac:dyDescent="0.3">
      <c r="G1497" s="26"/>
      <c r="H1497" s="26"/>
      <c r="I1497" s="26"/>
    </row>
    <row r="1498" spans="7:9" x14ac:dyDescent="0.3">
      <c r="G1498" s="26"/>
      <c r="H1498" s="26"/>
      <c r="I1498" s="26"/>
    </row>
    <row r="1499" spans="7:9" x14ac:dyDescent="0.3">
      <c r="G1499" s="26"/>
      <c r="H1499" s="26"/>
      <c r="I1499" s="26"/>
    </row>
    <row r="1500" spans="7:9" x14ac:dyDescent="0.3">
      <c r="G1500" s="26"/>
      <c r="H1500" s="26"/>
      <c r="I1500" s="26"/>
    </row>
    <row r="1501" spans="7:9" x14ac:dyDescent="0.3">
      <c r="G1501" s="26"/>
      <c r="H1501" s="26"/>
      <c r="I1501" s="26"/>
    </row>
    <row r="1502" spans="7:9" x14ac:dyDescent="0.3">
      <c r="G1502" s="26"/>
      <c r="H1502" s="26"/>
      <c r="I1502" s="26"/>
    </row>
    <row r="1503" spans="7:9" x14ac:dyDescent="0.3">
      <c r="G1503" s="26"/>
      <c r="H1503" s="26"/>
      <c r="I1503" s="26"/>
    </row>
    <row r="1504" spans="7:9" x14ac:dyDescent="0.3">
      <c r="G1504" s="26"/>
      <c r="H1504" s="26"/>
      <c r="I1504" s="26"/>
    </row>
    <row r="1505" spans="7:9" x14ac:dyDescent="0.3">
      <c r="G1505" s="26"/>
      <c r="H1505" s="26"/>
      <c r="I1505" s="26"/>
    </row>
    <row r="1506" spans="7:9" x14ac:dyDescent="0.3">
      <c r="G1506" s="26"/>
      <c r="H1506" s="26"/>
      <c r="I1506" s="26"/>
    </row>
    <row r="1507" spans="7:9" x14ac:dyDescent="0.3">
      <c r="G1507" s="26"/>
      <c r="H1507" s="26"/>
      <c r="I1507" s="26"/>
    </row>
    <row r="1508" spans="7:9" x14ac:dyDescent="0.3">
      <c r="G1508" s="26"/>
      <c r="H1508" s="26"/>
      <c r="I1508" s="26"/>
    </row>
    <row r="1509" spans="7:9" x14ac:dyDescent="0.3">
      <c r="G1509" s="26"/>
      <c r="H1509" s="26"/>
      <c r="I1509" s="26"/>
    </row>
    <row r="1510" spans="7:9" x14ac:dyDescent="0.3">
      <c r="G1510" s="26"/>
      <c r="H1510" s="26"/>
      <c r="I1510" s="26"/>
    </row>
    <row r="1511" spans="7:9" x14ac:dyDescent="0.3">
      <c r="G1511" s="26"/>
      <c r="H1511" s="26"/>
      <c r="I1511" s="26"/>
    </row>
    <row r="1512" spans="7:9" x14ac:dyDescent="0.3">
      <c r="G1512" s="26"/>
      <c r="H1512" s="26"/>
      <c r="I1512" s="26"/>
    </row>
    <row r="1513" spans="7:9" x14ac:dyDescent="0.3">
      <c r="G1513" s="26"/>
      <c r="H1513" s="26"/>
      <c r="I1513" s="26"/>
    </row>
    <row r="1514" spans="7:9" x14ac:dyDescent="0.3">
      <c r="G1514" s="26"/>
      <c r="H1514" s="26"/>
      <c r="I1514" s="26"/>
    </row>
    <row r="1515" spans="7:9" x14ac:dyDescent="0.3">
      <c r="G1515" s="26"/>
      <c r="H1515" s="26"/>
      <c r="I1515" s="26"/>
    </row>
    <row r="1516" spans="7:9" x14ac:dyDescent="0.3">
      <c r="G1516" s="26"/>
      <c r="H1516" s="26"/>
      <c r="I1516" s="26"/>
    </row>
    <row r="1517" spans="7:9" x14ac:dyDescent="0.3">
      <c r="G1517" s="26"/>
      <c r="H1517" s="26"/>
      <c r="I1517" s="26"/>
    </row>
    <row r="1518" spans="7:9" x14ac:dyDescent="0.3">
      <c r="G1518" s="26"/>
      <c r="H1518" s="26"/>
      <c r="I1518" s="26"/>
    </row>
    <row r="1519" spans="7:9" x14ac:dyDescent="0.3">
      <c r="G1519" s="26"/>
      <c r="H1519" s="26"/>
      <c r="I1519" s="26"/>
    </row>
    <row r="1520" spans="7:9" x14ac:dyDescent="0.3">
      <c r="G1520" s="26"/>
      <c r="H1520" s="26"/>
      <c r="I1520" s="26"/>
    </row>
    <row r="1521" spans="7:9" x14ac:dyDescent="0.3">
      <c r="G1521" s="26"/>
      <c r="H1521" s="26"/>
      <c r="I1521" s="26"/>
    </row>
    <row r="1522" spans="7:9" x14ac:dyDescent="0.3">
      <c r="G1522" s="26"/>
      <c r="H1522" s="26"/>
      <c r="I1522" s="26"/>
    </row>
    <row r="1523" spans="7:9" x14ac:dyDescent="0.3">
      <c r="G1523" s="26"/>
      <c r="H1523" s="26"/>
      <c r="I1523" s="26"/>
    </row>
    <row r="1524" spans="7:9" x14ac:dyDescent="0.3">
      <c r="G1524" s="26"/>
      <c r="H1524" s="26"/>
      <c r="I1524" s="26"/>
    </row>
    <row r="1525" spans="7:9" x14ac:dyDescent="0.3">
      <c r="G1525" s="26"/>
      <c r="H1525" s="26"/>
      <c r="I1525" s="26"/>
    </row>
    <row r="1526" spans="7:9" x14ac:dyDescent="0.3">
      <c r="G1526" s="26"/>
      <c r="H1526" s="26"/>
      <c r="I1526" s="26"/>
    </row>
    <row r="1527" spans="7:9" x14ac:dyDescent="0.3">
      <c r="G1527" s="26"/>
      <c r="H1527" s="26"/>
      <c r="I1527" s="26"/>
    </row>
    <row r="1528" spans="7:9" x14ac:dyDescent="0.3">
      <c r="G1528" s="26"/>
      <c r="H1528" s="26"/>
      <c r="I1528" s="26"/>
    </row>
    <row r="1529" spans="7:9" x14ac:dyDescent="0.3">
      <c r="G1529" s="26"/>
      <c r="H1529" s="26"/>
      <c r="I1529" s="26"/>
    </row>
    <row r="1530" spans="7:9" x14ac:dyDescent="0.3">
      <c r="G1530" s="26"/>
      <c r="H1530" s="26"/>
      <c r="I1530" s="26"/>
    </row>
    <row r="1531" spans="7:9" x14ac:dyDescent="0.3">
      <c r="G1531" s="26"/>
      <c r="H1531" s="26"/>
      <c r="I1531" s="26"/>
    </row>
    <row r="1532" spans="7:9" x14ac:dyDescent="0.3">
      <c r="G1532" s="26"/>
      <c r="H1532" s="26"/>
      <c r="I1532" s="26"/>
    </row>
    <row r="1533" spans="7:9" x14ac:dyDescent="0.3">
      <c r="G1533" s="26"/>
      <c r="H1533" s="26"/>
      <c r="I1533" s="26"/>
    </row>
    <row r="1534" spans="7:9" x14ac:dyDescent="0.3">
      <c r="G1534" s="26"/>
      <c r="H1534" s="26"/>
      <c r="I1534" s="26"/>
    </row>
    <row r="1535" spans="7:9" x14ac:dyDescent="0.3">
      <c r="G1535" s="26"/>
      <c r="H1535" s="26"/>
      <c r="I1535" s="26"/>
    </row>
    <row r="1536" spans="7:9" x14ac:dyDescent="0.3">
      <c r="G1536" s="26"/>
      <c r="H1536" s="26"/>
      <c r="I1536" s="26"/>
    </row>
    <row r="1537" spans="7:9" x14ac:dyDescent="0.3">
      <c r="G1537" s="26"/>
      <c r="H1537" s="26"/>
      <c r="I1537" s="26"/>
    </row>
    <row r="1538" spans="7:9" x14ac:dyDescent="0.3">
      <c r="G1538" s="26"/>
      <c r="H1538" s="26"/>
      <c r="I1538" s="26"/>
    </row>
    <row r="1539" spans="7:9" x14ac:dyDescent="0.3">
      <c r="G1539" s="26"/>
      <c r="H1539" s="26"/>
      <c r="I1539" s="26"/>
    </row>
    <row r="1540" spans="7:9" x14ac:dyDescent="0.3">
      <c r="G1540" s="26"/>
      <c r="H1540" s="26"/>
      <c r="I1540" s="26"/>
    </row>
    <row r="1541" spans="7:9" x14ac:dyDescent="0.3">
      <c r="G1541" s="26"/>
      <c r="H1541" s="26"/>
      <c r="I1541" s="26"/>
    </row>
    <row r="1542" spans="7:9" x14ac:dyDescent="0.3">
      <c r="G1542" s="26"/>
      <c r="H1542" s="26"/>
      <c r="I1542" s="26"/>
    </row>
    <row r="1543" spans="7:9" x14ac:dyDescent="0.3">
      <c r="G1543" s="26"/>
      <c r="H1543" s="26"/>
      <c r="I1543" s="26"/>
    </row>
    <row r="1544" spans="7:9" x14ac:dyDescent="0.3">
      <c r="G1544" s="26"/>
      <c r="H1544" s="26"/>
      <c r="I1544" s="26"/>
    </row>
    <row r="1545" spans="7:9" x14ac:dyDescent="0.3">
      <c r="G1545" s="26"/>
      <c r="H1545" s="26"/>
      <c r="I1545" s="26"/>
    </row>
    <row r="1546" spans="7:9" x14ac:dyDescent="0.3">
      <c r="G1546" s="26"/>
      <c r="H1546" s="26"/>
      <c r="I1546" s="26"/>
    </row>
    <row r="1547" spans="7:9" x14ac:dyDescent="0.3">
      <c r="G1547" s="26"/>
      <c r="H1547" s="26"/>
      <c r="I1547" s="26"/>
    </row>
    <row r="1548" spans="7:9" x14ac:dyDescent="0.3">
      <c r="G1548" s="26"/>
      <c r="H1548" s="26"/>
      <c r="I1548" s="26"/>
    </row>
    <row r="1549" spans="7:9" x14ac:dyDescent="0.3">
      <c r="G1549" s="26"/>
      <c r="H1549" s="26"/>
      <c r="I1549" s="26"/>
    </row>
    <row r="1550" spans="7:9" x14ac:dyDescent="0.3">
      <c r="G1550" s="26"/>
      <c r="H1550" s="26"/>
      <c r="I1550" s="26"/>
    </row>
    <row r="1551" spans="7:9" x14ac:dyDescent="0.3">
      <c r="G1551" s="26"/>
      <c r="H1551" s="26"/>
      <c r="I1551" s="26"/>
    </row>
    <row r="1552" spans="7:9" x14ac:dyDescent="0.3">
      <c r="G1552" s="26"/>
      <c r="H1552" s="26"/>
      <c r="I1552" s="26"/>
    </row>
    <row r="1553" spans="7:9" x14ac:dyDescent="0.3">
      <c r="G1553" s="26"/>
      <c r="H1553" s="26"/>
      <c r="I1553" s="26"/>
    </row>
    <row r="1554" spans="7:9" x14ac:dyDescent="0.3">
      <c r="G1554" s="26"/>
      <c r="H1554" s="26"/>
      <c r="I1554" s="26"/>
    </row>
    <row r="1555" spans="7:9" x14ac:dyDescent="0.3">
      <c r="G1555" s="26"/>
      <c r="H1555" s="26"/>
      <c r="I1555" s="26"/>
    </row>
    <row r="1556" spans="7:9" x14ac:dyDescent="0.3">
      <c r="G1556" s="26"/>
      <c r="H1556" s="26"/>
      <c r="I1556" s="26"/>
    </row>
    <row r="1557" spans="7:9" x14ac:dyDescent="0.3">
      <c r="G1557" s="26"/>
      <c r="H1557" s="26"/>
      <c r="I1557" s="26"/>
    </row>
    <row r="1558" spans="7:9" x14ac:dyDescent="0.3">
      <c r="G1558" s="26"/>
      <c r="H1558" s="26"/>
      <c r="I1558" s="26"/>
    </row>
    <row r="1559" spans="7:9" x14ac:dyDescent="0.3">
      <c r="G1559" s="26"/>
      <c r="H1559" s="26"/>
      <c r="I1559" s="26"/>
    </row>
    <row r="1560" spans="7:9" x14ac:dyDescent="0.3">
      <c r="G1560" s="26"/>
      <c r="H1560" s="26"/>
      <c r="I1560" s="26"/>
    </row>
    <row r="1561" spans="7:9" x14ac:dyDescent="0.3">
      <c r="G1561" s="26"/>
      <c r="H1561" s="26"/>
      <c r="I1561" s="26"/>
    </row>
    <row r="1562" spans="7:9" x14ac:dyDescent="0.3">
      <c r="G1562" s="26"/>
      <c r="H1562" s="26"/>
      <c r="I1562" s="26"/>
    </row>
    <row r="1563" spans="7:9" x14ac:dyDescent="0.3">
      <c r="G1563" s="26"/>
      <c r="H1563" s="26"/>
      <c r="I1563" s="26"/>
    </row>
    <row r="1564" spans="7:9" x14ac:dyDescent="0.3">
      <c r="G1564" s="26"/>
      <c r="H1564" s="26"/>
      <c r="I1564" s="26"/>
    </row>
    <row r="1565" spans="7:9" x14ac:dyDescent="0.3">
      <c r="G1565" s="26"/>
      <c r="H1565" s="26"/>
      <c r="I1565" s="26"/>
    </row>
    <row r="1566" spans="7:9" x14ac:dyDescent="0.3">
      <c r="G1566" s="26"/>
      <c r="H1566" s="26"/>
      <c r="I1566" s="26"/>
    </row>
    <row r="1567" spans="7:9" x14ac:dyDescent="0.3">
      <c r="G1567" s="26"/>
      <c r="H1567" s="26"/>
      <c r="I1567" s="26"/>
    </row>
    <row r="1568" spans="7:9" x14ac:dyDescent="0.3">
      <c r="G1568" s="26"/>
      <c r="H1568" s="26"/>
      <c r="I1568" s="26"/>
    </row>
    <row r="1569" spans="7:9" x14ac:dyDescent="0.3">
      <c r="G1569" s="26"/>
      <c r="H1569" s="26"/>
      <c r="I1569" s="26"/>
    </row>
    <row r="1570" spans="7:9" x14ac:dyDescent="0.3">
      <c r="G1570" s="26"/>
      <c r="H1570" s="26"/>
      <c r="I1570" s="26"/>
    </row>
    <row r="1571" spans="7:9" x14ac:dyDescent="0.3">
      <c r="G1571" s="26"/>
      <c r="H1571" s="26"/>
      <c r="I1571" s="26"/>
    </row>
    <row r="1572" spans="7:9" x14ac:dyDescent="0.3">
      <c r="G1572" s="26"/>
      <c r="H1572" s="26"/>
      <c r="I1572" s="26"/>
    </row>
    <row r="1573" spans="7:9" x14ac:dyDescent="0.3">
      <c r="G1573" s="26"/>
      <c r="H1573" s="26"/>
      <c r="I1573" s="26"/>
    </row>
    <row r="1574" spans="7:9" x14ac:dyDescent="0.3">
      <c r="G1574" s="26"/>
      <c r="H1574" s="26"/>
      <c r="I1574" s="26"/>
    </row>
    <row r="1575" spans="7:9" x14ac:dyDescent="0.3">
      <c r="G1575" s="26"/>
      <c r="H1575" s="26"/>
      <c r="I1575" s="26"/>
    </row>
    <row r="1576" spans="7:9" x14ac:dyDescent="0.3">
      <c r="G1576" s="26"/>
      <c r="H1576" s="26"/>
      <c r="I1576" s="26"/>
    </row>
    <row r="1577" spans="7:9" x14ac:dyDescent="0.3">
      <c r="G1577" s="26"/>
      <c r="H1577" s="26"/>
      <c r="I1577" s="26"/>
    </row>
    <row r="1578" spans="7:9" x14ac:dyDescent="0.3">
      <c r="G1578" s="26"/>
      <c r="H1578" s="26"/>
      <c r="I1578" s="26"/>
    </row>
    <row r="1579" spans="7:9" x14ac:dyDescent="0.3">
      <c r="G1579" s="26"/>
      <c r="H1579" s="26"/>
      <c r="I1579" s="26"/>
    </row>
    <row r="1580" spans="7:9" x14ac:dyDescent="0.3">
      <c r="G1580" s="26"/>
      <c r="H1580" s="26"/>
      <c r="I1580" s="26"/>
    </row>
    <row r="1581" spans="7:9" x14ac:dyDescent="0.3">
      <c r="G1581" s="26"/>
      <c r="H1581" s="26"/>
      <c r="I1581" s="26"/>
    </row>
    <row r="1582" spans="7:9" x14ac:dyDescent="0.3">
      <c r="G1582" s="26"/>
      <c r="H1582" s="26"/>
      <c r="I1582" s="26"/>
    </row>
    <row r="1583" spans="7:9" x14ac:dyDescent="0.3">
      <c r="G1583" s="26"/>
      <c r="H1583" s="26"/>
      <c r="I1583" s="26"/>
    </row>
    <row r="1584" spans="7:9" x14ac:dyDescent="0.3">
      <c r="G1584" s="26"/>
      <c r="H1584" s="26"/>
      <c r="I1584" s="26"/>
    </row>
    <row r="1585" spans="7:9" x14ac:dyDescent="0.3">
      <c r="G1585" s="26"/>
      <c r="H1585" s="26"/>
      <c r="I1585" s="26"/>
    </row>
    <row r="1586" spans="7:9" x14ac:dyDescent="0.3">
      <c r="G1586" s="26"/>
      <c r="H1586" s="26"/>
      <c r="I1586" s="26"/>
    </row>
    <row r="1587" spans="7:9" x14ac:dyDescent="0.3">
      <c r="G1587" s="26"/>
      <c r="H1587" s="26"/>
      <c r="I1587" s="26"/>
    </row>
    <row r="1588" spans="7:9" x14ac:dyDescent="0.3">
      <c r="G1588" s="26"/>
      <c r="H1588" s="26"/>
      <c r="I1588" s="26"/>
    </row>
    <row r="1589" spans="7:9" x14ac:dyDescent="0.3">
      <c r="G1589" s="26"/>
      <c r="H1589" s="26"/>
      <c r="I1589" s="26"/>
    </row>
    <row r="1590" spans="7:9" x14ac:dyDescent="0.3">
      <c r="G1590" s="26"/>
      <c r="H1590" s="26"/>
      <c r="I1590" s="26"/>
    </row>
    <row r="1591" spans="7:9" x14ac:dyDescent="0.3">
      <c r="G1591" s="26"/>
      <c r="H1591" s="26"/>
      <c r="I1591" s="26"/>
    </row>
    <row r="1592" spans="7:9" x14ac:dyDescent="0.3">
      <c r="G1592" s="26"/>
      <c r="H1592" s="26"/>
      <c r="I1592" s="26"/>
    </row>
    <row r="1593" spans="7:9" x14ac:dyDescent="0.3">
      <c r="G1593" s="26"/>
      <c r="H1593" s="26"/>
      <c r="I1593" s="26"/>
    </row>
    <row r="1594" spans="7:9" x14ac:dyDescent="0.3">
      <c r="G1594" s="26"/>
      <c r="H1594" s="26"/>
      <c r="I1594" s="26"/>
    </row>
    <row r="1595" spans="7:9" x14ac:dyDescent="0.3">
      <c r="G1595" s="26"/>
      <c r="H1595" s="26"/>
      <c r="I1595" s="26"/>
    </row>
    <row r="1596" spans="7:9" x14ac:dyDescent="0.3">
      <c r="G1596" s="26"/>
      <c r="H1596" s="26"/>
      <c r="I1596" s="26"/>
    </row>
    <row r="1597" spans="7:9" x14ac:dyDescent="0.3">
      <c r="G1597" s="26"/>
      <c r="H1597" s="26"/>
      <c r="I1597" s="26"/>
    </row>
    <row r="1598" spans="7:9" x14ac:dyDescent="0.3">
      <c r="G1598" s="26"/>
      <c r="H1598" s="26"/>
      <c r="I1598" s="26"/>
    </row>
    <row r="1599" spans="7:9" x14ac:dyDescent="0.3">
      <c r="G1599" s="26"/>
      <c r="H1599" s="26"/>
      <c r="I1599" s="26"/>
    </row>
    <row r="1600" spans="7:9" x14ac:dyDescent="0.3">
      <c r="G1600" s="26"/>
      <c r="H1600" s="26"/>
      <c r="I1600" s="26"/>
    </row>
    <row r="1601" spans="7:9" x14ac:dyDescent="0.3">
      <c r="G1601" s="26"/>
      <c r="H1601" s="26"/>
      <c r="I1601" s="26"/>
    </row>
    <row r="1602" spans="7:9" x14ac:dyDescent="0.3">
      <c r="G1602" s="26"/>
      <c r="H1602" s="26"/>
      <c r="I1602" s="26"/>
    </row>
    <row r="1603" spans="7:9" x14ac:dyDescent="0.3">
      <c r="G1603" s="26"/>
      <c r="H1603" s="26"/>
      <c r="I1603" s="26"/>
    </row>
    <row r="1604" spans="7:9" x14ac:dyDescent="0.3">
      <c r="G1604" s="26"/>
      <c r="H1604" s="26"/>
      <c r="I1604" s="26"/>
    </row>
    <row r="1605" spans="7:9" x14ac:dyDescent="0.3">
      <c r="G1605" s="26"/>
      <c r="H1605" s="26"/>
      <c r="I1605" s="26"/>
    </row>
    <row r="1606" spans="7:9" x14ac:dyDescent="0.3">
      <c r="G1606" s="26"/>
      <c r="H1606" s="26"/>
      <c r="I1606" s="26"/>
    </row>
    <row r="1607" spans="7:9" x14ac:dyDescent="0.3">
      <c r="G1607" s="26"/>
      <c r="H1607" s="26"/>
      <c r="I1607" s="26"/>
    </row>
    <row r="1608" spans="7:9" x14ac:dyDescent="0.3">
      <c r="G1608" s="26"/>
      <c r="H1608" s="26"/>
      <c r="I1608" s="26"/>
    </row>
    <row r="1609" spans="7:9" x14ac:dyDescent="0.3">
      <c r="G1609" s="26"/>
      <c r="H1609" s="26"/>
      <c r="I1609" s="26"/>
    </row>
    <row r="1610" spans="7:9" x14ac:dyDescent="0.3">
      <c r="G1610" s="26"/>
      <c r="H1610" s="26"/>
      <c r="I1610" s="26"/>
    </row>
    <row r="1611" spans="7:9" x14ac:dyDescent="0.3">
      <c r="G1611" s="26"/>
      <c r="H1611" s="26"/>
      <c r="I1611" s="26"/>
    </row>
    <row r="1612" spans="7:9" x14ac:dyDescent="0.3">
      <c r="G1612" s="26"/>
      <c r="H1612" s="26"/>
      <c r="I1612" s="26"/>
    </row>
    <row r="1613" spans="7:9" x14ac:dyDescent="0.3">
      <c r="G1613" s="26"/>
      <c r="H1613" s="26"/>
      <c r="I1613" s="26"/>
    </row>
    <row r="1614" spans="7:9" x14ac:dyDescent="0.3">
      <c r="G1614" s="26"/>
      <c r="H1614" s="26"/>
      <c r="I1614" s="26"/>
    </row>
    <row r="1615" spans="7:9" x14ac:dyDescent="0.3">
      <c r="G1615" s="26"/>
      <c r="H1615" s="26"/>
      <c r="I1615" s="26"/>
    </row>
    <row r="1616" spans="7:9" x14ac:dyDescent="0.3">
      <c r="G1616" s="26"/>
      <c r="H1616" s="26"/>
      <c r="I1616" s="26"/>
    </row>
    <row r="1617" spans="7:9" x14ac:dyDescent="0.3">
      <c r="G1617" s="26"/>
      <c r="H1617" s="26"/>
      <c r="I1617" s="26"/>
    </row>
    <row r="1618" spans="7:9" x14ac:dyDescent="0.3">
      <c r="G1618" s="26"/>
      <c r="H1618" s="26"/>
      <c r="I1618" s="26"/>
    </row>
    <row r="1619" spans="7:9" x14ac:dyDescent="0.3">
      <c r="G1619" s="26"/>
      <c r="H1619" s="26"/>
      <c r="I1619" s="26"/>
    </row>
    <row r="1620" spans="7:9" x14ac:dyDescent="0.3">
      <c r="G1620" s="26"/>
      <c r="H1620" s="26"/>
      <c r="I1620" s="26"/>
    </row>
    <row r="1621" spans="7:9" x14ac:dyDescent="0.3">
      <c r="G1621" s="26"/>
      <c r="H1621" s="26"/>
      <c r="I1621" s="26"/>
    </row>
    <row r="1622" spans="7:9" x14ac:dyDescent="0.3">
      <c r="G1622" s="26"/>
      <c r="H1622" s="26"/>
      <c r="I1622" s="26"/>
    </row>
    <row r="1623" spans="7:9" x14ac:dyDescent="0.3">
      <c r="G1623" s="26"/>
      <c r="H1623" s="26"/>
      <c r="I1623" s="26"/>
    </row>
    <row r="1624" spans="7:9" x14ac:dyDescent="0.3">
      <c r="G1624" s="26"/>
      <c r="H1624" s="26"/>
      <c r="I1624" s="26"/>
    </row>
    <row r="1625" spans="7:9" x14ac:dyDescent="0.3">
      <c r="G1625" s="26"/>
      <c r="H1625" s="26"/>
      <c r="I1625" s="26"/>
    </row>
    <row r="1626" spans="7:9" x14ac:dyDescent="0.3">
      <c r="G1626" s="26"/>
      <c r="H1626" s="26"/>
      <c r="I1626" s="26"/>
    </row>
    <row r="1627" spans="7:9" x14ac:dyDescent="0.3">
      <c r="G1627" s="26"/>
      <c r="H1627" s="26"/>
      <c r="I1627" s="26"/>
    </row>
    <row r="1628" spans="7:9" x14ac:dyDescent="0.3">
      <c r="G1628" s="26"/>
      <c r="H1628" s="26"/>
      <c r="I1628" s="26"/>
    </row>
    <row r="1629" spans="7:9" x14ac:dyDescent="0.3">
      <c r="G1629" s="26"/>
      <c r="H1629" s="26"/>
      <c r="I1629" s="26"/>
    </row>
    <row r="1630" spans="7:9" x14ac:dyDescent="0.3">
      <c r="G1630" s="26"/>
      <c r="H1630" s="26"/>
      <c r="I1630" s="26"/>
    </row>
    <row r="1631" spans="7:9" x14ac:dyDescent="0.3">
      <c r="G1631" s="26"/>
      <c r="H1631" s="26"/>
      <c r="I1631" s="26"/>
    </row>
    <row r="1632" spans="7:9" x14ac:dyDescent="0.3">
      <c r="G1632" s="26"/>
      <c r="H1632" s="26"/>
      <c r="I1632" s="26"/>
    </row>
    <row r="1633" spans="7:9" x14ac:dyDescent="0.3">
      <c r="G1633" s="26"/>
      <c r="H1633" s="26"/>
      <c r="I1633" s="26"/>
    </row>
    <row r="1634" spans="7:9" x14ac:dyDescent="0.3">
      <c r="G1634" s="26"/>
      <c r="H1634" s="26"/>
      <c r="I1634" s="26"/>
    </row>
    <row r="1635" spans="7:9" x14ac:dyDescent="0.3">
      <c r="G1635" s="26"/>
      <c r="H1635" s="26"/>
      <c r="I1635" s="26"/>
    </row>
    <row r="1636" spans="7:9" x14ac:dyDescent="0.3">
      <c r="G1636" s="26"/>
      <c r="H1636" s="26"/>
      <c r="I1636" s="26"/>
    </row>
    <row r="1637" spans="7:9" x14ac:dyDescent="0.3">
      <c r="G1637" s="26"/>
      <c r="H1637" s="26"/>
      <c r="I1637" s="26"/>
    </row>
    <row r="1638" spans="7:9" x14ac:dyDescent="0.3">
      <c r="G1638" s="26"/>
      <c r="H1638" s="26"/>
      <c r="I1638" s="26"/>
    </row>
    <row r="1639" spans="7:9" x14ac:dyDescent="0.3">
      <c r="G1639" s="26"/>
      <c r="H1639" s="26"/>
      <c r="I1639" s="26"/>
    </row>
    <row r="1640" spans="7:9" x14ac:dyDescent="0.3">
      <c r="G1640" s="26"/>
      <c r="H1640" s="26"/>
      <c r="I1640" s="26"/>
    </row>
    <row r="1641" spans="7:9" x14ac:dyDescent="0.3">
      <c r="G1641" s="26"/>
      <c r="H1641" s="26"/>
      <c r="I1641" s="26"/>
    </row>
    <row r="1642" spans="7:9" x14ac:dyDescent="0.3">
      <c r="G1642" s="26"/>
      <c r="H1642" s="26"/>
      <c r="I1642" s="26"/>
    </row>
    <row r="1643" spans="7:9" x14ac:dyDescent="0.3">
      <c r="G1643" s="26"/>
      <c r="H1643" s="26"/>
      <c r="I1643" s="26"/>
    </row>
    <row r="1644" spans="7:9" x14ac:dyDescent="0.3">
      <c r="G1644" s="26"/>
      <c r="H1644" s="26"/>
      <c r="I1644" s="26"/>
    </row>
    <row r="1645" spans="7:9" x14ac:dyDescent="0.3">
      <c r="G1645" s="26"/>
      <c r="H1645" s="26"/>
      <c r="I1645" s="26"/>
    </row>
    <row r="1646" spans="7:9" x14ac:dyDescent="0.3">
      <c r="G1646" s="26"/>
      <c r="H1646" s="26"/>
      <c r="I1646" s="26"/>
    </row>
    <row r="1647" spans="7:9" x14ac:dyDescent="0.3">
      <c r="G1647" s="26"/>
      <c r="H1647" s="26"/>
      <c r="I1647" s="26"/>
    </row>
    <row r="1648" spans="7:9" x14ac:dyDescent="0.3">
      <c r="G1648" s="26"/>
      <c r="H1648" s="26"/>
      <c r="I1648" s="26"/>
    </row>
    <row r="1649" spans="7:9" x14ac:dyDescent="0.3">
      <c r="G1649" s="26"/>
      <c r="H1649" s="26"/>
      <c r="I1649" s="26"/>
    </row>
    <row r="1650" spans="7:9" x14ac:dyDescent="0.3">
      <c r="G1650" s="26"/>
      <c r="H1650" s="26"/>
      <c r="I1650" s="26"/>
    </row>
    <row r="1651" spans="7:9" x14ac:dyDescent="0.3">
      <c r="G1651" s="26"/>
      <c r="H1651" s="26"/>
      <c r="I1651" s="26"/>
    </row>
    <row r="1652" spans="7:9" x14ac:dyDescent="0.3">
      <c r="G1652" s="26"/>
      <c r="H1652" s="26"/>
      <c r="I1652" s="26"/>
    </row>
    <row r="1653" spans="7:9" x14ac:dyDescent="0.3">
      <c r="G1653" s="26"/>
      <c r="H1653" s="26"/>
      <c r="I1653" s="26"/>
    </row>
    <row r="1654" spans="7:9" x14ac:dyDescent="0.3">
      <c r="G1654" s="26"/>
      <c r="H1654" s="26"/>
      <c r="I1654" s="26"/>
    </row>
    <row r="1655" spans="7:9" x14ac:dyDescent="0.3">
      <c r="G1655" s="26"/>
      <c r="H1655" s="26"/>
      <c r="I1655" s="26"/>
    </row>
    <row r="1656" spans="7:9" x14ac:dyDescent="0.3">
      <c r="G1656" s="26"/>
      <c r="H1656" s="26"/>
      <c r="I1656" s="26"/>
    </row>
    <row r="1657" spans="7:9" x14ac:dyDescent="0.3">
      <c r="G1657" s="26"/>
      <c r="H1657" s="26"/>
      <c r="I1657" s="26"/>
    </row>
    <row r="1658" spans="7:9" x14ac:dyDescent="0.3">
      <c r="G1658" s="26"/>
      <c r="H1658" s="26"/>
      <c r="I1658" s="26"/>
    </row>
    <row r="1659" spans="7:9" x14ac:dyDescent="0.3">
      <c r="G1659" s="26"/>
      <c r="H1659" s="26"/>
      <c r="I1659" s="26"/>
    </row>
    <row r="1660" spans="7:9" x14ac:dyDescent="0.3">
      <c r="G1660" s="26"/>
      <c r="H1660" s="26"/>
      <c r="I1660" s="26"/>
    </row>
    <row r="1661" spans="7:9" x14ac:dyDescent="0.3">
      <c r="G1661" s="26"/>
      <c r="H1661" s="26"/>
      <c r="I1661" s="26"/>
    </row>
    <row r="1662" spans="7:9" x14ac:dyDescent="0.3">
      <c r="G1662" s="26"/>
      <c r="H1662" s="26"/>
      <c r="I1662" s="26"/>
    </row>
    <row r="1663" spans="7:9" x14ac:dyDescent="0.3">
      <c r="G1663" s="26"/>
      <c r="H1663" s="26"/>
      <c r="I1663" s="26"/>
    </row>
    <row r="1664" spans="7:9" x14ac:dyDescent="0.3">
      <c r="G1664" s="26"/>
      <c r="H1664" s="26"/>
      <c r="I1664" s="26"/>
    </row>
    <row r="1665" spans="7:9" x14ac:dyDescent="0.3">
      <c r="G1665" s="26"/>
      <c r="H1665" s="26"/>
      <c r="I1665" s="26"/>
    </row>
    <row r="1666" spans="7:9" x14ac:dyDescent="0.3">
      <c r="G1666" s="26"/>
      <c r="H1666" s="26"/>
      <c r="I1666" s="26"/>
    </row>
    <row r="1667" spans="7:9" x14ac:dyDescent="0.3">
      <c r="G1667" s="26"/>
      <c r="H1667" s="26"/>
      <c r="I1667" s="26"/>
    </row>
    <row r="1668" spans="7:9" x14ac:dyDescent="0.3">
      <c r="G1668" s="26"/>
      <c r="H1668" s="26"/>
      <c r="I1668" s="26"/>
    </row>
    <row r="1669" spans="7:9" x14ac:dyDescent="0.3">
      <c r="G1669" s="26"/>
      <c r="H1669" s="26"/>
      <c r="I1669" s="26"/>
    </row>
    <row r="1670" spans="7:9" x14ac:dyDescent="0.3">
      <c r="G1670" s="26"/>
      <c r="H1670" s="26"/>
      <c r="I1670" s="26"/>
    </row>
    <row r="1671" spans="7:9" x14ac:dyDescent="0.3">
      <c r="G1671" s="26"/>
      <c r="H1671" s="26"/>
      <c r="I1671" s="26"/>
    </row>
    <row r="1672" spans="7:9" x14ac:dyDescent="0.3">
      <c r="G1672" s="26"/>
      <c r="H1672" s="26"/>
      <c r="I1672" s="26"/>
    </row>
    <row r="1673" spans="7:9" x14ac:dyDescent="0.3">
      <c r="G1673" s="26"/>
      <c r="H1673" s="26"/>
      <c r="I1673" s="26"/>
    </row>
    <row r="1674" spans="7:9" x14ac:dyDescent="0.3">
      <c r="G1674" s="26"/>
      <c r="H1674" s="26"/>
      <c r="I1674" s="26"/>
    </row>
    <row r="1675" spans="7:9" x14ac:dyDescent="0.3">
      <c r="G1675" s="26"/>
      <c r="H1675" s="26"/>
      <c r="I1675" s="26"/>
    </row>
    <row r="1676" spans="7:9" x14ac:dyDescent="0.3">
      <c r="G1676" s="26"/>
      <c r="H1676" s="26"/>
      <c r="I1676" s="26"/>
    </row>
    <row r="1677" spans="7:9" x14ac:dyDescent="0.3">
      <c r="G1677" s="26"/>
      <c r="H1677" s="26"/>
      <c r="I1677" s="26"/>
    </row>
    <row r="1678" spans="7:9" x14ac:dyDescent="0.3">
      <c r="G1678" s="26"/>
      <c r="H1678" s="26"/>
      <c r="I1678" s="26"/>
    </row>
    <row r="1679" spans="7:9" x14ac:dyDescent="0.3">
      <c r="G1679" s="26"/>
      <c r="H1679" s="26"/>
      <c r="I1679" s="26"/>
    </row>
    <row r="1680" spans="7:9" x14ac:dyDescent="0.3">
      <c r="G1680" s="26"/>
      <c r="H1680" s="26"/>
      <c r="I1680" s="26"/>
    </row>
    <row r="1681" spans="7:9" x14ac:dyDescent="0.3">
      <c r="G1681" s="26"/>
      <c r="H1681" s="26"/>
      <c r="I1681" s="26"/>
    </row>
    <row r="1682" spans="7:9" x14ac:dyDescent="0.3">
      <c r="G1682" s="26"/>
      <c r="H1682" s="26"/>
      <c r="I1682" s="26"/>
    </row>
    <row r="1683" spans="7:9" x14ac:dyDescent="0.3">
      <c r="G1683" s="26"/>
      <c r="H1683" s="26"/>
      <c r="I1683" s="26"/>
    </row>
    <row r="1684" spans="7:9" x14ac:dyDescent="0.3">
      <c r="G1684" s="26"/>
      <c r="H1684" s="26"/>
      <c r="I1684" s="26"/>
    </row>
    <row r="1685" spans="7:9" x14ac:dyDescent="0.3">
      <c r="G1685" s="26"/>
      <c r="H1685" s="26"/>
      <c r="I1685" s="26"/>
    </row>
    <row r="1686" spans="7:9" x14ac:dyDescent="0.3">
      <c r="G1686" s="26"/>
      <c r="H1686" s="26"/>
      <c r="I1686" s="26"/>
    </row>
    <row r="1687" spans="7:9" x14ac:dyDescent="0.3">
      <c r="G1687" s="26"/>
      <c r="H1687" s="26"/>
      <c r="I1687" s="26"/>
    </row>
    <row r="1688" spans="7:9" x14ac:dyDescent="0.3">
      <c r="G1688" s="26"/>
      <c r="H1688" s="26"/>
      <c r="I1688" s="26"/>
    </row>
    <row r="1689" spans="7:9" x14ac:dyDescent="0.3">
      <c r="G1689" s="26"/>
      <c r="H1689" s="26"/>
      <c r="I1689" s="26"/>
    </row>
    <row r="1690" spans="7:9" x14ac:dyDescent="0.3">
      <c r="G1690" s="26"/>
      <c r="H1690" s="26"/>
      <c r="I1690" s="26"/>
    </row>
    <row r="1691" spans="7:9" x14ac:dyDescent="0.3">
      <c r="G1691" s="26"/>
      <c r="H1691" s="26"/>
      <c r="I1691" s="26"/>
    </row>
    <row r="1692" spans="7:9" x14ac:dyDescent="0.3">
      <c r="G1692" s="26"/>
      <c r="H1692" s="26"/>
      <c r="I1692" s="26"/>
    </row>
    <row r="1693" spans="7:9" x14ac:dyDescent="0.3">
      <c r="G1693" s="26"/>
      <c r="H1693" s="26"/>
      <c r="I1693" s="26"/>
    </row>
    <row r="1694" spans="7:9" x14ac:dyDescent="0.3">
      <c r="G1694" s="26"/>
      <c r="H1694" s="26"/>
      <c r="I1694" s="26"/>
    </row>
    <row r="1695" spans="7:9" x14ac:dyDescent="0.3">
      <c r="G1695" s="26"/>
      <c r="H1695" s="26"/>
      <c r="I1695" s="26"/>
    </row>
    <row r="1696" spans="7:9" x14ac:dyDescent="0.3">
      <c r="G1696" s="26"/>
      <c r="H1696" s="26"/>
      <c r="I1696" s="26"/>
    </row>
    <row r="1697" spans="7:9" x14ac:dyDescent="0.3">
      <c r="G1697" s="26"/>
      <c r="H1697" s="26"/>
      <c r="I1697" s="26"/>
    </row>
    <row r="1698" spans="7:9" x14ac:dyDescent="0.3">
      <c r="G1698" s="26"/>
      <c r="H1698" s="26"/>
      <c r="I1698" s="26"/>
    </row>
    <row r="1699" spans="7:9" x14ac:dyDescent="0.3">
      <c r="G1699" s="26"/>
      <c r="H1699" s="26"/>
      <c r="I1699" s="26"/>
    </row>
    <row r="1700" spans="7:9" x14ac:dyDescent="0.3">
      <c r="G1700" s="26"/>
      <c r="H1700" s="26"/>
      <c r="I1700" s="26"/>
    </row>
    <row r="1701" spans="7:9" x14ac:dyDescent="0.3">
      <c r="G1701" s="26"/>
      <c r="H1701" s="26"/>
      <c r="I1701" s="26"/>
    </row>
    <row r="1702" spans="7:9" x14ac:dyDescent="0.3">
      <c r="G1702" s="26"/>
      <c r="H1702" s="26"/>
      <c r="I1702" s="26"/>
    </row>
    <row r="1703" spans="7:9" x14ac:dyDescent="0.3">
      <c r="G1703" s="26"/>
      <c r="H1703" s="26"/>
      <c r="I1703" s="26"/>
    </row>
    <row r="1704" spans="7:9" x14ac:dyDescent="0.3">
      <c r="G1704" s="26"/>
      <c r="H1704" s="26"/>
      <c r="I1704" s="26"/>
    </row>
    <row r="1705" spans="7:9" x14ac:dyDescent="0.3">
      <c r="G1705" s="26"/>
      <c r="H1705" s="26"/>
      <c r="I1705" s="26"/>
    </row>
    <row r="1706" spans="7:9" x14ac:dyDescent="0.3">
      <c r="G1706" s="26"/>
      <c r="H1706" s="26"/>
      <c r="I1706" s="26"/>
    </row>
    <row r="1707" spans="7:9" x14ac:dyDescent="0.3">
      <c r="G1707" s="26"/>
      <c r="H1707" s="26"/>
      <c r="I1707" s="26"/>
    </row>
    <row r="1708" spans="7:9" x14ac:dyDescent="0.3">
      <c r="G1708" s="26"/>
      <c r="H1708" s="26"/>
      <c r="I1708" s="26"/>
    </row>
    <row r="1709" spans="7:9" x14ac:dyDescent="0.3">
      <c r="G1709" s="26"/>
      <c r="H1709" s="26"/>
      <c r="I1709" s="26"/>
    </row>
    <row r="1710" spans="7:9" x14ac:dyDescent="0.3">
      <c r="G1710" s="26"/>
      <c r="H1710" s="26"/>
      <c r="I1710" s="26"/>
    </row>
    <row r="1711" spans="7:9" x14ac:dyDescent="0.3">
      <c r="G1711" s="26"/>
      <c r="H1711" s="26"/>
      <c r="I1711" s="26"/>
    </row>
    <row r="1712" spans="7:9" x14ac:dyDescent="0.3">
      <c r="G1712" s="26"/>
      <c r="H1712" s="26"/>
      <c r="I1712" s="26"/>
    </row>
    <row r="1713" spans="7:9" x14ac:dyDescent="0.3">
      <c r="G1713" s="26"/>
      <c r="H1713" s="26"/>
      <c r="I1713" s="26"/>
    </row>
    <row r="1714" spans="7:9" x14ac:dyDescent="0.3">
      <c r="G1714" s="26"/>
      <c r="H1714" s="26"/>
      <c r="I1714" s="26"/>
    </row>
    <row r="1715" spans="7:9" x14ac:dyDescent="0.3">
      <c r="G1715" s="26"/>
      <c r="H1715" s="26"/>
      <c r="I1715" s="26"/>
    </row>
    <row r="1716" spans="7:9" x14ac:dyDescent="0.3">
      <c r="G1716" s="26"/>
      <c r="H1716" s="26"/>
      <c r="I1716" s="26"/>
    </row>
    <row r="1717" spans="7:9" x14ac:dyDescent="0.3">
      <c r="G1717" s="26"/>
      <c r="H1717" s="26"/>
      <c r="I1717" s="26"/>
    </row>
    <row r="1718" spans="7:9" x14ac:dyDescent="0.3">
      <c r="G1718" s="26"/>
      <c r="H1718" s="26"/>
      <c r="I1718" s="26"/>
    </row>
    <row r="1719" spans="7:9" x14ac:dyDescent="0.3">
      <c r="G1719" s="26"/>
      <c r="H1719" s="26"/>
      <c r="I1719" s="26"/>
    </row>
    <row r="1720" spans="7:9" x14ac:dyDescent="0.3">
      <c r="G1720" s="26"/>
      <c r="H1720" s="26"/>
      <c r="I1720" s="26"/>
    </row>
    <row r="1721" spans="7:9" x14ac:dyDescent="0.3">
      <c r="G1721" s="26"/>
      <c r="H1721" s="26"/>
      <c r="I1721" s="26"/>
    </row>
    <row r="1722" spans="7:9" x14ac:dyDescent="0.3">
      <c r="G1722" s="26"/>
      <c r="H1722" s="26"/>
      <c r="I1722" s="26"/>
    </row>
    <row r="1723" spans="7:9" x14ac:dyDescent="0.3">
      <c r="G1723" s="26"/>
      <c r="H1723" s="26"/>
      <c r="I1723" s="26"/>
    </row>
    <row r="1724" spans="7:9" x14ac:dyDescent="0.3">
      <c r="G1724" s="26"/>
      <c r="H1724" s="26"/>
      <c r="I1724" s="26"/>
    </row>
    <row r="1725" spans="7:9" x14ac:dyDescent="0.3">
      <c r="G1725" s="26"/>
      <c r="H1725" s="26"/>
      <c r="I1725" s="26"/>
    </row>
    <row r="1726" spans="7:9" x14ac:dyDescent="0.3">
      <c r="G1726" s="26"/>
      <c r="H1726" s="26"/>
      <c r="I1726" s="26"/>
    </row>
    <row r="1727" spans="7:9" x14ac:dyDescent="0.3">
      <c r="G1727" s="26"/>
      <c r="H1727" s="26"/>
      <c r="I1727" s="26"/>
    </row>
    <row r="1728" spans="7:9" x14ac:dyDescent="0.3">
      <c r="G1728" s="26"/>
      <c r="H1728" s="26"/>
      <c r="I1728" s="26"/>
    </row>
    <row r="1729" spans="7:9" x14ac:dyDescent="0.3">
      <c r="G1729" s="26"/>
      <c r="H1729" s="26"/>
      <c r="I1729" s="26"/>
    </row>
    <row r="1730" spans="7:9" x14ac:dyDescent="0.3">
      <c r="G1730" s="26"/>
      <c r="H1730" s="26"/>
      <c r="I1730" s="26"/>
    </row>
    <row r="1731" spans="7:9" x14ac:dyDescent="0.3">
      <c r="G1731" s="26"/>
      <c r="H1731" s="26"/>
      <c r="I1731" s="26"/>
    </row>
    <row r="1732" spans="7:9" x14ac:dyDescent="0.3">
      <c r="G1732" s="26"/>
      <c r="H1732" s="26"/>
      <c r="I1732" s="26"/>
    </row>
    <row r="1733" spans="7:9" x14ac:dyDescent="0.3">
      <c r="G1733" s="26"/>
      <c r="H1733" s="26"/>
      <c r="I1733" s="26"/>
    </row>
    <row r="1734" spans="7:9" x14ac:dyDescent="0.3">
      <c r="G1734" s="26"/>
      <c r="H1734" s="26"/>
      <c r="I1734" s="26"/>
    </row>
    <row r="1735" spans="7:9" x14ac:dyDescent="0.3">
      <c r="G1735" s="26"/>
      <c r="H1735" s="26"/>
      <c r="I1735" s="26"/>
    </row>
    <row r="1736" spans="7:9" x14ac:dyDescent="0.3">
      <c r="G1736" s="26"/>
      <c r="H1736" s="26"/>
      <c r="I1736" s="26"/>
    </row>
    <row r="1737" spans="7:9" x14ac:dyDescent="0.3">
      <c r="G1737" s="26"/>
      <c r="H1737" s="26"/>
      <c r="I1737" s="26"/>
    </row>
    <row r="1738" spans="7:9" x14ac:dyDescent="0.3">
      <c r="G1738" s="26"/>
      <c r="H1738" s="26"/>
      <c r="I1738" s="26"/>
    </row>
    <row r="1739" spans="7:9" x14ac:dyDescent="0.3">
      <c r="G1739" s="26"/>
      <c r="H1739" s="26"/>
      <c r="I1739" s="26"/>
    </row>
    <row r="1740" spans="7:9" x14ac:dyDescent="0.3">
      <c r="G1740" s="26"/>
      <c r="H1740" s="26"/>
      <c r="I1740" s="26"/>
    </row>
    <row r="1741" spans="7:9" x14ac:dyDescent="0.3">
      <c r="G1741" s="26"/>
      <c r="H1741" s="26"/>
      <c r="I1741" s="26"/>
    </row>
    <row r="1742" spans="7:9" x14ac:dyDescent="0.3">
      <c r="G1742" s="26"/>
      <c r="H1742" s="26"/>
      <c r="I1742" s="26"/>
    </row>
    <row r="1743" spans="7:9" x14ac:dyDescent="0.3">
      <c r="G1743" s="26"/>
      <c r="H1743" s="26"/>
      <c r="I1743" s="26"/>
    </row>
    <row r="1744" spans="7:9" x14ac:dyDescent="0.3">
      <c r="G1744" s="26"/>
      <c r="H1744" s="26"/>
      <c r="I1744" s="26"/>
    </row>
    <row r="1745" spans="7:9" x14ac:dyDescent="0.3">
      <c r="G1745" s="26"/>
      <c r="H1745" s="26"/>
      <c r="I1745" s="26"/>
    </row>
    <row r="1746" spans="7:9" x14ac:dyDescent="0.3">
      <c r="G1746" s="26"/>
      <c r="H1746" s="26"/>
      <c r="I1746" s="26"/>
    </row>
    <row r="1747" spans="7:9" x14ac:dyDescent="0.3">
      <c r="G1747" s="26"/>
      <c r="H1747" s="26"/>
      <c r="I1747" s="26"/>
    </row>
    <row r="1748" spans="7:9" x14ac:dyDescent="0.3">
      <c r="G1748" s="26"/>
      <c r="H1748" s="26"/>
      <c r="I1748" s="26"/>
    </row>
    <row r="1749" spans="7:9" x14ac:dyDescent="0.3">
      <c r="G1749" s="26"/>
      <c r="H1749" s="26"/>
      <c r="I1749" s="26"/>
    </row>
    <row r="1750" spans="7:9" x14ac:dyDescent="0.3">
      <c r="G1750" s="26"/>
      <c r="H1750" s="26"/>
      <c r="I1750" s="26"/>
    </row>
    <row r="1751" spans="7:9" x14ac:dyDescent="0.3">
      <c r="G1751" s="26"/>
      <c r="H1751" s="26"/>
      <c r="I1751" s="26"/>
    </row>
    <row r="1752" spans="7:9" x14ac:dyDescent="0.3">
      <c r="G1752" s="26"/>
      <c r="H1752" s="26"/>
      <c r="I1752" s="26"/>
    </row>
    <row r="1753" spans="7:9" x14ac:dyDescent="0.3">
      <c r="G1753" s="26"/>
      <c r="H1753" s="26"/>
      <c r="I1753" s="26"/>
    </row>
    <row r="1754" spans="7:9" x14ac:dyDescent="0.3">
      <c r="G1754" s="26"/>
      <c r="H1754" s="26"/>
      <c r="I1754" s="26"/>
    </row>
    <row r="1755" spans="7:9" x14ac:dyDescent="0.3">
      <c r="G1755" s="26"/>
      <c r="H1755" s="26"/>
      <c r="I1755" s="26"/>
    </row>
    <row r="1756" spans="7:9" x14ac:dyDescent="0.3">
      <c r="G1756" s="26"/>
      <c r="H1756" s="26"/>
      <c r="I1756" s="26"/>
    </row>
    <row r="1757" spans="7:9" x14ac:dyDescent="0.3">
      <c r="G1757" s="26"/>
      <c r="H1757" s="26"/>
      <c r="I1757" s="26"/>
    </row>
    <row r="1758" spans="7:9" x14ac:dyDescent="0.3">
      <c r="G1758" s="26"/>
      <c r="H1758" s="26"/>
      <c r="I1758" s="26"/>
    </row>
    <row r="1759" spans="7:9" x14ac:dyDescent="0.3">
      <c r="G1759" s="26"/>
      <c r="H1759" s="26"/>
      <c r="I1759" s="26"/>
    </row>
    <row r="1760" spans="7:9" x14ac:dyDescent="0.3">
      <c r="G1760" s="26"/>
      <c r="H1760" s="26"/>
      <c r="I1760" s="26"/>
    </row>
    <row r="1761" spans="7:9" x14ac:dyDescent="0.3">
      <c r="G1761" s="26"/>
      <c r="H1761" s="26"/>
      <c r="I1761" s="26"/>
    </row>
    <row r="1762" spans="7:9" x14ac:dyDescent="0.3">
      <c r="G1762" s="26"/>
      <c r="H1762" s="26"/>
      <c r="I1762" s="26"/>
    </row>
    <row r="1763" spans="7:9" x14ac:dyDescent="0.3">
      <c r="G1763" s="26"/>
      <c r="H1763" s="26"/>
      <c r="I1763" s="26"/>
    </row>
    <row r="1764" spans="7:9" x14ac:dyDescent="0.3">
      <c r="G1764" s="26"/>
      <c r="H1764" s="26"/>
      <c r="I1764" s="26"/>
    </row>
    <row r="1765" spans="7:9" x14ac:dyDescent="0.3">
      <c r="G1765" s="26"/>
      <c r="H1765" s="26"/>
      <c r="I1765" s="26"/>
    </row>
    <row r="1766" spans="7:9" x14ac:dyDescent="0.3">
      <c r="G1766" s="26"/>
      <c r="H1766" s="26"/>
      <c r="I1766" s="26"/>
    </row>
    <row r="1767" spans="7:9" x14ac:dyDescent="0.3">
      <c r="G1767" s="26"/>
      <c r="H1767" s="26"/>
      <c r="I1767" s="26"/>
    </row>
    <row r="1768" spans="7:9" x14ac:dyDescent="0.3">
      <c r="G1768" s="26"/>
      <c r="H1768" s="26"/>
      <c r="I1768" s="26"/>
    </row>
    <row r="1769" spans="7:9" x14ac:dyDescent="0.3">
      <c r="G1769" s="26"/>
      <c r="H1769" s="26"/>
      <c r="I1769" s="26"/>
    </row>
    <row r="1770" spans="7:9" x14ac:dyDescent="0.3">
      <c r="G1770" s="26"/>
      <c r="H1770" s="26"/>
      <c r="I1770" s="26"/>
    </row>
    <row r="1771" spans="7:9" x14ac:dyDescent="0.3">
      <c r="G1771" s="26"/>
      <c r="H1771" s="26"/>
      <c r="I1771" s="26"/>
    </row>
    <row r="1772" spans="7:9" x14ac:dyDescent="0.3">
      <c r="G1772" s="26"/>
      <c r="H1772" s="26"/>
      <c r="I1772" s="26"/>
    </row>
    <row r="1773" spans="7:9" x14ac:dyDescent="0.3">
      <c r="G1773" s="26"/>
      <c r="H1773" s="26"/>
      <c r="I1773" s="26"/>
    </row>
    <row r="1774" spans="7:9" x14ac:dyDescent="0.3">
      <c r="G1774" s="26"/>
      <c r="H1774" s="26"/>
      <c r="I1774" s="26"/>
    </row>
    <row r="1775" spans="7:9" x14ac:dyDescent="0.3">
      <c r="G1775" s="26"/>
      <c r="H1775" s="26"/>
      <c r="I1775" s="26"/>
    </row>
    <row r="1776" spans="7:9" x14ac:dyDescent="0.3">
      <c r="G1776" s="26"/>
      <c r="H1776" s="26"/>
      <c r="I1776" s="26"/>
    </row>
    <row r="1777" spans="7:9" x14ac:dyDescent="0.3">
      <c r="G1777" s="26"/>
      <c r="H1777" s="26"/>
      <c r="I1777" s="26"/>
    </row>
    <row r="1778" spans="7:9" x14ac:dyDescent="0.3">
      <c r="G1778" s="26"/>
      <c r="H1778" s="26"/>
      <c r="I1778" s="26"/>
    </row>
    <row r="1779" spans="7:9" x14ac:dyDescent="0.3">
      <c r="G1779" s="26"/>
      <c r="H1779" s="26"/>
      <c r="I1779" s="26"/>
    </row>
    <row r="1780" spans="7:9" x14ac:dyDescent="0.3">
      <c r="G1780" s="26"/>
      <c r="H1780" s="26"/>
      <c r="I1780" s="26"/>
    </row>
    <row r="1781" spans="7:9" x14ac:dyDescent="0.3">
      <c r="G1781" s="26"/>
      <c r="H1781" s="26"/>
      <c r="I1781" s="26"/>
    </row>
    <row r="1782" spans="7:9" x14ac:dyDescent="0.3">
      <c r="G1782" s="26"/>
      <c r="H1782" s="26"/>
      <c r="I1782" s="26"/>
    </row>
    <row r="1783" spans="7:9" x14ac:dyDescent="0.3">
      <c r="G1783" s="26"/>
      <c r="H1783" s="26"/>
      <c r="I1783" s="26"/>
    </row>
    <row r="1784" spans="7:9" x14ac:dyDescent="0.3">
      <c r="G1784" s="26"/>
      <c r="H1784" s="26"/>
      <c r="I1784" s="26"/>
    </row>
    <row r="1785" spans="7:9" x14ac:dyDescent="0.3">
      <c r="G1785" s="26"/>
      <c r="H1785" s="26"/>
      <c r="I1785" s="26"/>
    </row>
    <row r="1786" spans="7:9" x14ac:dyDescent="0.3">
      <c r="G1786" s="26"/>
      <c r="H1786" s="26"/>
      <c r="I1786" s="26"/>
    </row>
    <row r="1787" spans="7:9" x14ac:dyDescent="0.3">
      <c r="G1787" s="26"/>
      <c r="H1787" s="26"/>
      <c r="I1787" s="26"/>
    </row>
    <row r="1788" spans="7:9" x14ac:dyDescent="0.3">
      <c r="G1788" s="26"/>
      <c r="H1788" s="26"/>
      <c r="I1788" s="26"/>
    </row>
    <row r="1789" spans="7:9" x14ac:dyDescent="0.3">
      <c r="G1789" s="26"/>
      <c r="H1789" s="26"/>
      <c r="I1789" s="26"/>
    </row>
    <row r="1790" spans="7:9" x14ac:dyDescent="0.3">
      <c r="G1790" s="26"/>
      <c r="H1790" s="26"/>
      <c r="I1790" s="26"/>
    </row>
    <row r="1791" spans="7:9" x14ac:dyDescent="0.3">
      <c r="G1791" s="26"/>
      <c r="H1791" s="26"/>
      <c r="I1791" s="26"/>
    </row>
    <row r="1792" spans="7:9" x14ac:dyDescent="0.3">
      <c r="G1792" s="26"/>
      <c r="H1792" s="26"/>
      <c r="I1792" s="26"/>
    </row>
    <row r="1793" spans="7:9" x14ac:dyDescent="0.3">
      <c r="G1793" s="26"/>
      <c r="H1793" s="26"/>
      <c r="I1793" s="26"/>
    </row>
    <row r="1794" spans="7:9" x14ac:dyDescent="0.3">
      <c r="G1794" s="26"/>
      <c r="H1794" s="26"/>
      <c r="I1794" s="26"/>
    </row>
    <row r="1795" spans="7:9" x14ac:dyDescent="0.3">
      <c r="G1795" s="26"/>
      <c r="H1795" s="26"/>
      <c r="I1795" s="26"/>
    </row>
    <row r="1796" spans="7:9" x14ac:dyDescent="0.3">
      <c r="G1796" s="26"/>
      <c r="H1796" s="26"/>
      <c r="I1796" s="26"/>
    </row>
    <row r="1797" spans="7:9" x14ac:dyDescent="0.3">
      <c r="G1797" s="26"/>
      <c r="H1797" s="26"/>
      <c r="I1797" s="26"/>
    </row>
    <row r="1798" spans="7:9" x14ac:dyDescent="0.3">
      <c r="G1798" s="26"/>
      <c r="H1798" s="26"/>
      <c r="I1798" s="26"/>
    </row>
    <row r="1799" spans="7:9" x14ac:dyDescent="0.3">
      <c r="G1799" s="26"/>
      <c r="H1799" s="26"/>
      <c r="I1799" s="26"/>
    </row>
    <row r="1800" spans="7:9" x14ac:dyDescent="0.3">
      <c r="G1800" s="26"/>
      <c r="H1800" s="26"/>
      <c r="I1800" s="26"/>
    </row>
    <row r="1801" spans="7:9" x14ac:dyDescent="0.3">
      <c r="G1801" s="26"/>
      <c r="H1801" s="26"/>
      <c r="I1801" s="26"/>
    </row>
    <row r="1802" spans="7:9" x14ac:dyDescent="0.3">
      <c r="G1802" s="26"/>
      <c r="H1802" s="26"/>
      <c r="I1802" s="26"/>
    </row>
    <row r="1803" spans="7:9" x14ac:dyDescent="0.3">
      <c r="G1803" s="26"/>
      <c r="H1803" s="26"/>
      <c r="I1803" s="26"/>
    </row>
    <row r="1804" spans="7:9" x14ac:dyDescent="0.3">
      <c r="G1804" s="26"/>
      <c r="H1804" s="26"/>
      <c r="I1804" s="26"/>
    </row>
    <row r="1805" spans="7:9" x14ac:dyDescent="0.3">
      <c r="G1805" s="26"/>
      <c r="H1805" s="26"/>
      <c r="I1805" s="26"/>
    </row>
    <row r="1806" spans="7:9" x14ac:dyDescent="0.3">
      <c r="G1806" s="26"/>
      <c r="H1806" s="26"/>
      <c r="I1806" s="26"/>
    </row>
    <row r="1807" spans="7:9" x14ac:dyDescent="0.3">
      <c r="G1807" s="26"/>
      <c r="H1807" s="26"/>
      <c r="I1807" s="26"/>
    </row>
    <row r="1808" spans="7:9" x14ac:dyDescent="0.3">
      <c r="G1808" s="26"/>
      <c r="H1808" s="26"/>
      <c r="I1808" s="26"/>
    </row>
    <row r="1809" spans="7:9" x14ac:dyDescent="0.3">
      <c r="G1809" s="26"/>
      <c r="H1809" s="26"/>
      <c r="I1809" s="26"/>
    </row>
    <row r="1810" spans="7:9" x14ac:dyDescent="0.3">
      <c r="G1810" s="26"/>
      <c r="H1810" s="26"/>
      <c r="I1810" s="26"/>
    </row>
    <row r="1811" spans="7:9" x14ac:dyDescent="0.3">
      <c r="G1811" s="26"/>
      <c r="H1811" s="26"/>
      <c r="I1811" s="26"/>
    </row>
    <row r="1812" spans="7:9" x14ac:dyDescent="0.3">
      <c r="G1812" s="26"/>
      <c r="H1812" s="26"/>
      <c r="I1812" s="26"/>
    </row>
    <row r="1813" spans="7:9" x14ac:dyDescent="0.3">
      <c r="G1813" s="26"/>
      <c r="H1813" s="26"/>
      <c r="I1813" s="26"/>
    </row>
    <row r="1814" spans="7:9" x14ac:dyDescent="0.3">
      <c r="G1814" s="26"/>
      <c r="H1814" s="26"/>
      <c r="I1814" s="26"/>
    </row>
    <row r="1815" spans="7:9" x14ac:dyDescent="0.3">
      <c r="G1815" s="26"/>
      <c r="H1815" s="26"/>
      <c r="I1815" s="26"/>
    </row>
    <row r="1816" spans="7:9" x14ac:dyDescent="0.3">
      <c r="G1816" s="26"/>
      <c r="H1816" s="26"/>
      <c r="I1816" s="26"/>
    </row>
    <row r="1817" spans="7:9" x14ac:dyDescent="0.3">
      <c r="G1817" s="26"/>
      <c r="H1817" s="26"/>
      <c r="I1817" s="26"/>
    </row>
    <row r="1818" spans="7:9" x14ac:dyDescent="0.3">
      <c r="G1818" s="26"/>
      <c r="H1818" s="26"/>
      <c r="I1818" s="26"/>
    </row>
    <row r="1819" spans="7:9" x14ac:dyDescent="0.3">
      <c r="G1819" s="26"/>
      <c r="H1819" s="26"/>
      <c r="I1819" s="26"/>
    </row>
    <row r="1820" spans="7:9" x14ac:dyDescent="0.3">
      <c r="G1820" s="26"/>
      <c r="H1820" s="26"/>
      <c r="I1820" s="26"/>
    </row>
    <row r="1821" spans="7:9" x14ac:dyDescent="0.3">
      <c r="G1821" s="26"/>
      <c r="H1821" s="26"/>
      <c r="I1821" s="26"/>
    </row>
    <row r="1822" spans="7:9" x14ac:dyDescent="0.3">
      <c r="G1822" s="26"/>
      <c r="H1822" s="26"/>
      <c r="I1822" s="26"/>
    </row>
    <row r="1823" spans="7:9" x14ac:dyDescent="0.3">
      <c r="G1823" s="26"/>
      <c r="H1823" s="26"/>
      <c r="I1823" s="26"/>
    </row>
    <row r="1824" spans="7:9" x14ac:dyDescent="0.3">
      <c r="G1824" s="26"/>
      <c r="H1824" s="26"/>
      <c r="I1824" s="26"/>
    </row>
    <row r="1825" spans="7:9" x14ac:dyDescent="0.3">
      <c r="G1825" s="26"/>
      <c r="H1825" s="26"/>
      <c r="I1825" s="26"/>
    </row>
    <row r="1826" spans="7:9" x14ac:dyDescent="0.3">
      <c r="G1826" s="26"/>
      <c r="H1826" s="26"/>
      <c r="I1826" s="26"/>
    </row>
    <row r="1827" spans="7:9" x14ac:dyDescent="0.3">
      <c r="G1827" s="26"/>
      <c r="H1827" s="26"/>
      <c r="I1827" s="26"/>
    </row>
    <row r="1828" spans="7:9" x14ac:dyDescent="0.3">
      <c r="G1828" s="26"/>
      <c r="H1828" s="26"/>
      <c r="I1828" s="26"/>
    </row>
    <row r="1829" spans="7:9" x14ac:dyDescent="0.3">
      <c r="G1829" s="26"/>
      <c r="H1829" s="26"/>
      <c r="I1829" s="26"/>
    </row>
    <row r="1830" spans="7:9" x14ac:dyDescent="0.3">
      <c r="G1830" s="26"/>
      <c r="H1830" s="26"/>
      <c r="I1830" s="26"/>
    </row>
    <row r="1831" spans="7:9" x14ac:dyDescent="0.3">
      <c r="G1831" s="26"/>
      <c r="H1831" s="26"/>
      <c r="I1831" s="26"/>
    </row>
    <row r="1832" spans="7:9" x14ac:dyDescent="0.3">
      <c r="G1832" s="26"/>
      <c r="H1832" s="26"/>
      <c r="I1832" s="26"/>
    </row>
    <row r="1833" spans="7:9" x14ac:dyDescent="0.3">
      <c r="G1833" s="26"/>
      <c r="H1833" s="26"/>
      <c r="I1833" s="26"/>
    </row>
    <row r="1834" spans="7:9" x14ac:dyDescent="0.3">
      <c r="G1834" s="26"/>
      <c r="H1834" s="26"/>
      <c r="I1834" s="26"/>
    </row>
    <row r="1835" spans="7:9" x14ac:dyDescent="0.3">
      <c r="G1835" s="26"/>
      <c r="H1835" s="26"/>
      <c r="I1835" s="26"/>
    </row>
    <row r="1836" spans="7:9" x14ac:dyDescent="0.3">
      <c r="G1836" s="26"/>
      <c r="H1836" s="26"/>
      <c r="I1836" s="26"/>
    </row>
    <row r="1837" spans="7:9" x14ac:dyDescent="0.3">
      <c r="G1837" s="26"/>
      <c r="H1837" s="26"/>
      <c r="I1837" s="26"/>
    </row>
    <row r="1838" spans="7:9" x14ac:dyDescent="0.3">
      <c r="G1838" s="26"/>
      <c r="H1838" s="26"/>
      <c r="I1838" s="26"/>
    </row>
    <row r="1839" spans="7:9" x14ac:dyDescent="0.3">
      <c r="G1839" s="26"/>
      <c r="H1839" s="26"/>
      <c r="I1839" s="26"/>
    </row>
    <row r="1840" spans="7:9" x14ac:dyDescent="0.3">
      <c r="G1840" s="26"/>
      <c r="H1840" s="26"/>
      <c r="I1840" s="26"/>
    </row>
    <row r="1841" spans="7:9" x14ac:dyDescent="0.3">
      <c r="G1841" s="26"/>
      <c r="H1841" s="26"/>
      <c r="I1841" s="26"/>
    </row>
    <row r="1842" spans="7:9" x14ac:dyDescent="0.3">
      <c r="G1842" s="26"/>
      <c r="H1842" s="26"/>
      <c r="I1842" s="26"/>
    </row>
    <row r="1843" spans="7:9" x14ac:dyDescent="0.3">
      <c r="G1843" s="26"/>
      <c r="H1843" s="26"/>
      <c r="I1843" s="26"/>
    </row>
    <row r="1844" spans="7:9" x14ac:dyDescent="0.3">
      <c r="G1844" s="26"/>
      <c r="H1844" s="26"/>
      <c r="I1844" s="26"/>
    </row>
    <row r="1845" spans="7:9" x14ac:dyDescent="0.3">
      <c r="G1845" s="26"/>
      <c r="H1845" s="26"/>
      <c r="I1845" s="26"/>
    </row>
    <row r="1846" spans="7:9" x14ac:dyDescent="0.3">
      <c r="G1846" s="26"/>
      <c r="H1846" s="26"/>
      <c r="I1846" s="26"/>
    </row>
    <row r="1847" spans="7:9" x14ac:dyDescent="0.3">
      <c r="G1847" s="26"/>
      <c r="H1847" s="26"/>
      <c r="I1847" s="26"/>
    </row>
    <row r="1848" spans="7:9" x14ac:dyDescent="0.3">
      <c r="G1848" s="26"/>
      <c r="H1848" s="26"/>
      <c r="I1848" s="26"/>
    </row>
    <row r="1849" spans="7:9" x14ac:dyDescent="0.3">
      <c r="G1849" s="26"/>
      <c r="H1849" s="26"/>
      <c r="I1849" s="26"/>
    </row>
    <row r="1850" spans="7:9" x14ac:dyDescent="0.3">
      <c r="G1850" s="26"/>
      <c r="H1850" s="26"/>
      <c r="I1850" s="26"/>
    </row>
    <row r="1851" spans="7:9" x14ac:dyDescent="0.3">
      <c r="G1851" s="26"/>
      <c r="H1851" s="26"/>
      <c r="I1851" s="26"/>
    </row>
    <row r="1852" spans="7:9" x14ac:dyDescent="0.3">
      <c r="G1852" s="26"/>
      <c r="H1852" s="26"/>
      <c r="I1852" s="26"/>
    </row>
    <row r="1853" spans="7:9" x14ac:dyDescent="0.3">
      <c r="G1853" s="26"/>
      <c r="H1853" s="26"/>
      <c r="I1853" s="26"/>
    </row>
    <row r="1854" spans="7:9" x14ac:dyDescent="0.3">
      <c r="G1854" s="26"/>
      <c r="H1854" s="26"/>
      <c r="I1854" s="26"/>
    </row>
    <row r="1855" spans="7:9" x14ac:dyDescent="0.3">
      <c r="G1855" s="26"/>
      <c r="H1855" s="26"/>
      <c r="I1855" s="26"/>
    </row>
    <row r="1856" spans="7:9" x14ac:dyDescent="0.3">
      <c r="G1856" s="26"/>
      <c r="H1856" s="26"/>
      <c r="I1856" s="26"/>
    </row>
    <row r="1857" spans="7:9" x14ac:dyDescent="0.3">
      <c r="G1857" s="26"/>
      <c r="H1857" s="26"/>
      <c r="I1857" s="26"/>
    </row>
    <row r="1858" spans="7:9" x14ac:dyDescent="0.3">
      <c r="G1858" s="26"/>
      <c r="H1858" s="26"/>
      <c r="I1858" s="26"/>
    </row>
    <row r="1859" spans="7:9" x14ac:dyDescent="0.3">
      <c r="G1859" s="26"/>
      <c r="H1859" s="26"/>
      <c r="I1859" s="26"/>
    </row>
    <row r="1860" spans="7:9" x14ac:dyDescent="0.3">
      <c r="G1860" s="26"/>
      <c r="H1860" s="26"/>
      <c r="I1860" s="26"/>
    </row>
    <row r="1861" spans="7:9" x14ac:dyDescent="0.3">
      <c r="G1861" s="26"/>
      <c r="H1861" s="26"/>
      <c r="I1861" s="26"/>
    </row>
    <row r="1862" spans="7:9" x14ac:dyDescent="0.3">
      <c r="G1862" s="26"/>
      <c r="H1862" s="26"/>
      <c r="I1862" s="26"/>
    </row>
    <row r="1863" spans="7:9" x14ac:dyDescent="0.3">
      <c r="G1863" s="26"/>
      <c r="H1863" s="26"/>
      <c r="I1863" s="26"/>
    </row>
    <row r="1864" spans="7:9" x14ac:dyDescent="0.3">
      <c r="G1864" s="26"/>
      <c r="H1864" s="26"/>
      <c r="I1864" s="26"/>
    </row>
    <row r="1865" spans="7:9" x14ac:dyDescent="0.3">
      <c r="G1865" s="26"/>
      <c r="H1865" s="26"/>
      <c r="I1865" s="26"/>
    </row>
    <row r="1866" spans="7:9" x14ac:dyDescent="0.3">
      <c r="G1866" s="26"/>
      <c r="H1866" s="26"/>
      <c r="I1866" s="26"/>
    </row>
    <row r="1867" spans="7:9" x14ac:dyDescent="0.3">
      <c r="G1867" s="26"/>
      <c r="H1867" s="26"/>
      <c r="I1867" s="26"/>
    </row>
    <row r="1868" spans="7:9" x14ac:dyDescent="0.3">
      <c r="G1868" s="26"/>
      <c r="H1868" s="26"/>
      <c r="I1868" s="26"/>
    </row>
    <row r="1869" spans="7:9" x14ac:dyDescent="0.3">
      <c r="G1869" s="26"/>
      <c r="H1869" s="26"/>
      <c r="I1869" s="26"/>
    </row>
    <row r="1870" spans="7:9" x14ac:dyDescent="0.3">
      <c r="G1870" s="26"/>
      <c r="H1870" s="26"/>
      <c r="I1870" s="26"/>
    </row>
    <row r="1871" spans="7:9" x14ac:dyDescent="0.3">
      <c r="G1871" s="26"/>
      <c r="H1871" s="26"/>
      <c r="I1871" s="26"/>
    </row>
    <row r="1872" spans="7:9" x14ac:dyDescent="0.3">
      <c r="G1872" s="26"/>
      <c r="H1872" s="26"/>
      <c r="I1872" s="26"/>
    </row>
    <row r="1873" spans="7:9" x14ac:dyDescent="0.3">
      <c r="G1873" s="26"/>
      <c r="H1873" s="26"/>
      <c r="I1873" s="26"/>
    </row>
    <row r="1874" spans="7:9" x14ac:dyDescent="0.3">
      <c r="G1874" s="26"/>
      <c r="H1874" s="26"/>
      <c r="I1874" s="26"/>
    </row>
    <row r="1875" spans="7:9" x14ac:dyDescent="0.3">
      <c r="G1875" s="26"/>
      <c r="H1875" s="26"/>
      <c r="I1875" s="26"/>
    </row>
    <row r="1876" spans="7:9" x14ac:dyDescent="0.3">
      <c r="G1876" s="26"/>
      <c r="H1876" s="26"/>
      <c r="I1876" s="26"/>
    </row>
    <row r="1877" spans="7:9" x14ac:dyDescent="0.3">
      <c r="G1877" s="26"/>
      <c r="H1877" s="26"/>
      <c r="I1877" s="26"/>
    </row>
    <row r="1878" spans="7:9" x14ac:dyDescent="0.3">
      <c r="G1878" s="26"/>
      <c r="H1878" s="26"/>
      <c r="I1878" s="26"/>
    </row>
    <row r="1879" spans="7:9" x14ac:dyDescent="0.3">
      <c r="G1879" s="26"/>
      <c r="H1879" s="26"/>
      <c r="I1879" s="26"/>
    </row>
    <row r="1880" spans="7:9" x14ac:dyDescent="0.3">
      <c r="G1880" s="26"/>
      <c r="H1880" s="26"/>
      <c r="I1880" s="26"/>
    </row>
    <row r="1881" spans="7:9" x14ac:dyDescent="0.3">
      <c r="G1881" s="26"/>
      <c r="H1881" s="26"/>
      <c r="I1881" s="26"/>
    </row>
    <row r="1882" spans="7:9" x14ac:dyDescent="0.3">
      <c r="G1882" s="26"/>
      <c r="H1882" s="26"/>
      <c r="I1882" s="26"/>
    </row>
    <row r="1883" spans="7:9" x14ac:dyDescent="0.3">
      <c r="G1883" s="26"/>
      <c r="H1883" s="26"/>
      <c r="I1883" s="26"/>
    </row>
    <row r="1884" spans="7:9" x14ac:dyDescent="0.3">
      <c r="G1884" s="26"/>
      <c r="H1884" s="26"/>
      <c r="I1884" s="26"/>
    </row>
    <row r="1885" spans="7:9" x14ac:dyDescent="0.3">
      <c r="G1885" s="26"/>
      <c r="H1885" s="26"/>
      <c r="I1885" s="26"/>
    </row>
    <row r="1886" spans="7:9" x14ac:dyDescent="0.3">
      <c r="G1886" s="26"/>
      <c r="H1886" s="26"/>
      <c r="I1886" s="26"/>
    </row>
    <row r="1887" spans="7:9" x14ac:dyDescent="0.3">
      <c r="G1887" s="26"/>
      <c r="H1887" s="26"/>
      <c r="I1887" s="26"/>
    </row>
    <row r="1888" spans="7:9" x14ac:dyDescent="0.3">
      <c r="G1888" s="26"/>
      <c r="H1888" s="26"/>
      <c r="I1888" s="26"/>
    </row>
    <row r="1889" spans="7:9" x14ac:dyDescent="0.3">
      <c r="G1889" s="26"/>
      <c r="H1889" s="26"/>
      <c r="I1889" s="26"/>
    </row>
    <row r="1890" spans="7:9" x14ac:dyDescent="0.3">
      <c r="G1890" s="26"/>
      <c r="H1890" s="26"/>
      <c r="I1890" s="26"/>
    </row>
    <row r="1891" spans="7:9" x14ac:dyDescent="0.3">
      <c r="G1891" s="26"/>
      <c r="H1891" s="26"/>
      <c r="I1891" s="26"/>
    </row>
    <row r="1892" spans="7:9" x14ac:dyDescent="0.3">
      <c r="G1892" s="26"/>
      <c r="H1892" s="26"/>
      <c r="I1892" s="26"/>
    </row>
    <row r="1893" spans="7:9" x14ac:dyDescent="0.3">
      <c r="G1893" s="26"/>
      <c r="H1893" s="26"/>
      <c r="I1893" s="26"/>
    </row>
    <row r="1894" spans="7:9" x14ac:dyDescent="0.3">
      <c r="G1894" s="26"/>
      <c r="H1894" s="26"/>
      <c r="I1894" s="26"/>
    </row>
    <row r="1895" spans="7:9" x14ac:dyDescent="0.3">
      <c r="G1895" s="26"/>
      <c r="H1895" s="26"/>
      <c r="I1895" s="26"/>
    </row>
    <row r="1896" spans="7:9" x14ac:dyDescent="0.3">
      <c r="G1896" s="26"/>
      <c r="H1896" s="26"/>
      <c r="I1896" s="26"/>
    </row>
    <row r="1897" spans="7:9" x14ac:dyDescent="0.3">
      <c r="G1897" s="26"/>
      <c r="H1897" s="26"/>
      <c r="I1897" s="26"/>
    </row>
    <row r="1898" spans="7:9" x14ac:dyDescent="0.3">
      <c r="G1898" s="26"/>
      <c r="H1898" s="26"/>
      <c r="I1898" s="26"/>
    </row>
    <row r="1899" spans="7:9" x14ac:dyDescent="0.3">
      <c r="G1899" s="26"/>
      <c r="H1899" s="26"/>
      <c r="I1899" s="26"/>
    </row>
    <row r="1900" spans="7:9" x14ac:dyDescent="0.3">
      <c r="G1900" s="26"/>
      <c r="H1900" s="26"/>
      <c r="I1900" s="26"/>
    </row>
    <row r="1901" spans="7:9" x14ac:dyDescent="0.3">
      <c r="G1901" s="26"/>
      <c r="H1901" s="26"/>
      <c r="I1901" s="26"/>
    </row>
    <row r="1902" spans="7:9" x14ac:dyDescent="0.3">
      <c r="G1902" s="26"/>
      <c r="H1902" s="26"/>
      <c r="I1902" s="26"/>
    </row>
    <row r="1903" spans="7:9" x14ac:dyDescent="0.3">
      <c r="G1903" s="26"/>
      <c r="H1903" s="26"/>
      <c r="I1903" s="26"/>
    </row>
    <row r="1904" spans="7:9" x14ac:dyDescent="0.3">
      <c r="G1904" s="26"/>
      <c r="H1904" s="26"/>
      <c r="I1904" s="26"/>
    </row>
    <row r="1905" spans="7:9" x14ac:dyDescent="0.3">
      <c r="G1905" s="26"/>
      <c r="H1905" s="26"/>
      <c r="I1905" s="26"/>
    </row>
    <row r="1906" spans="7:9" x14ac:dyDescent="0.3">
      <c r="G1906" s="26"/>
      <c r="H1906" s="26"/>
      <c r="I1906" s="26"/>
    </row>
    <row r="1907" spans="7:9" x14ac:dyDescent="0.3">
      <c r="G1907" s="26"/>
      <c r="H1907" s="26"/>
      <c r="I1907" s="26"/>
    </row>
    <row r="1908" spans="7:9" x14ac:dyDescent="0.3">
      <c r="G1908" s="26"/>
      <c r="H1908" s="26"/>
      <c r="I1908" s="26"/>
    </row>
    <row r="1909" spans="7:9" x14ac:dyDescent="0.3">
      <c r="G1909" s="26"/>
      <c r="H1909" s="26"/>
      <c r="I1909" s="26"/>
    </row>
    <row r="1910" spans="7:9" x14ac:dyDescent="0.3">
      <c r="G1910" s="26"/>
      <c r="H1910" s="26"/>
      <c r="I1910" s="26"/>
    </row>
    <row r="1911" spans="7:9" x14ac:dyDescent="0.3">
      <c r="G1911" s="26"/>
      <c r="H1911" s="26"/>
      <c r="I1911" s="26"/>
    </row>
    <row r="1912" spans="7:9" x14ac:dyDescent="0.3">
      <c r="G1912" s="26"/>
      <c r="H1912" s="26"/>
      <c r="I1912" s="26"/>
    </row>
    <row r="1913" spans="7:9" x14ac:dyDescent="0.3">
      <c r="G1913" s="26"/>
      <c r="H1913" s="26"/>
      <c r="I1913" s="26"/>
    </row>
    <row r="1914" spans="7:9" x14ac:dyDescent="0.3">
      <c r="G1914" s="26"/>
      <c r="H1914" s="26"/>
      <c r="I1914" s="26"/>
    </row>
    <row r="1915" spans="7:9" x14ac:dyDescent="0.3">
      <c r="G1915" s="26"/>
      <c r="H1915" s="26"/>
      <c r="I1915" s="26"/>
    </row>
    <row r="1916" spans="7:9" x14ac:dyDescent="0.3">
      <c r="G1916" s="26"/>
      <c r="H1916" s="26"/>
      <c r="I1916" s="26"/>
    </row>
    <row r="1917" spans="7:9" x14ac:dyDescent="0.3">
      <c r="G1917" s="26"/>
      <c r="H1917" s="26"/>
      <c r="I1917" s="26"/>
    </row>
    <row r="1918" spans="7:9" x14ac:dyDescent="0.3">
      <c r="G1918" s="26"/>
      <c r="H1918" s="26"/>
      <c r="I1918" s="26"/>
    </row>
    <row r="1919" spans="7:9" x14ac:dyDescent="0.3">
      <c r="G1919" s="26"/>
      <c r="H1919" s="26"/>
      <c r="I1919" s="26"/>
    </row>
    <row r="1920" spans="7:9" x14ac:dyDescent="0.3">
      <c r="G1920" s="26"/>
      <c r="H1920" s="26"/>
      <c r="I1920" s="26"/>
    </row>
    <row r="1921" spans="7:9" x14ac:dyDescent="0.3">
      <c r="G1921" s="26"/>
      <c r="H1921" s="26"/>
      <c r="I1921" s="26"/>
    </row>
    <row r="1922" spans="7:9" x14ac:dyDescent="0.3">
      <c r="G1922" s="26"/>
      <c r="H1922" s="26"/>
      <c r="I1922" s="26"/>
    </row>
    <row r="1923" spans="7:9" x14ac:dyDescent="0.3">
      <c r="G1923" s="26"/>
      <c r="H1923" s="26"/>
      <c r="I1923" s="26"/>
    </row>
    <row r="1924" spans="7:9" x14ac:dyDescent="0.3">
      <c r="G1924" s="26"/>
      <c r="H1924" s="26"/>
      <c r="I1924" s="26"/>
    </row>
    <row r="1925" spans="7:9" x14ac:dyDescent="0.3">
      <c r="G1925" s="26"/>
      <c r="H1925" s="26"/>
      <c r="I1925" s="26"/>
    </row>
    <row r="1926" spans="7:9" x14ac:dyDescent="0.3">
      <c r="G1926" s="26"/>
      <c r="H1926" s="26"/>
      <c r="I1926" s="26"/>
    </row>
    <row r="1927" spans="7:9" x14ac:dyDescent="0.3">
      <c r="G1927" s="26"/>
      <c r="H1927" s="26"/>
      <c r="I1927" s="26"/>
    </row>
    <row r="1928" spans="7:9" x14ac:dyDescent="0.3">
      <c r="G1928" s="26"/>
      <c r="H1928" s="26"/>
      <c r="I1928" s="26"/>
    </row>
    <row r="1929" spans="7:9" x14ac:dyDescent="0.3">
      <c r="G1929" s="26"/>
      <c r="H1929" s="26"/>
      <c r="I1929" s="26"/>
    </row>
    <row r="1930" spans="7:9" x14ac:dyDescent="0.3">
      <c r="G1930" s="26"/>
      <c r="H1930" s="26"/>
      <c r="I1930" s="26"/>
    </row>
    <row r="1931" spans="7:9" x14ac:dyDescent="0.3">
      <c r="G1931" s="26"/>
      <c r="H1931" s="26"/>
      <c r="I1931" s="26"/>
    </row>
    <row r="1932" spans="7:9" x14ac:dyDescent="0.3">
      <c r="G1932" s="26"/>
      <c r="H1932" s="26"/>
      <c r="I1932" s="26"/>
    </row>
    <row r="1933" spans="7:9" x14ac:dyDescent="0.3">
      <c r="G1933" s="26"/>
      <c r="H1933" s="26"/>
      <c r="I1933" s="26"/>
    </row>
    <row r="1934" spans="7:9" x14ac:dyDescent="0.3">
      <c r="G1934" s="26"/>
      <c r="H1934" s="26"/>
      <c r="I1934" s="26"/>
    </row>
    <row r="1935" spans="7:9" x14ac:dyDescent="0.3">
      <c r="G1935" s="26"/>
      <c r="H1935" s="26"/>
      <c r="I1935" s="26"/>
    </row>
    <row r="1936" spans="7:9" x14ac:dyDescent="0.3">
      <c r="G1936" s="26"/>
      <c r="H1936" s="26"/>
      <c r="I1936" s="26"/>
    </row>
    <row r="1937" spans="7:9" x14ac:dyDescent="0.3">
      <c r="G1937" s="26"/>
      <c r="H1937" s="26"/>
      <c r="I1937" s="26"/>
    </row>
    <row r="1938" spans="7:9" x14ac:dyDescent="0.3">
      <c r="G1938" s="26"/>
      <c r="H1938" s="26"/>
      <c r="I1938" s="26"/>
    </row>
    <row r="1939" spans="7:9" x14ac:dyDescent="0.3">
      <c r="G1939" s="26"/>
      <c r="H1939" s="26"/>
      <c r="I1939" s="26"/>
    </row>
    <row r="1940" spans="7:9" x14ac:dyDescent="0.3">
      <c r="G1940" s="26"/>
      <c r="H1940" s="26"/>
      <c r="I1940" s="26"/>
    </row>
    <row r="1941" spans="7:9" x14ac:dyDescent="0.3">
      <c r="G1941" s="26"/>
      <c r="H1941" s="26"/>
      <c r="I1941" s="26"/>
    </row>
    <row r="1942" spans="7:9" x14ac:dyDescent="0.3">
      <c r="G1942" s="26"/>
      <c r="H1942" s="26"/>
      <c r="I1942" s="26"/>
    </row>
    <row r="1943" spans="7:9" x14ac:dyDescent="0.3">
      <c r="G1943" s="26"/>
      <c r="H1943" s="26"/>
      <c r="I1943" s="26"/>
    </row>
    <row r="1944" spans="7:9" x14ac:dyDescent="0.3">
      <c r="G1944" s="26"/>
      <c r="H1944" s="26"/>
      <c r="I1944" s="26"/>
    </row>
    <row r="1945" spans="7:9" x14ac:dyDescent="0.3">
      <c r="G1945" s="26"/>
      <c r="H1945" s="26"/>
      <c r="I1945" s="26"/>
    </row>
    <row r="1946" spans="7:9" x14ac:dyDescent="0.3">
      <c r="G1946" s="26"/>
      <c r="H1946" s="26"/>
      <c r="I1946" s="26"/>
    </row>
    <row r="1947" spans="7:9" x14ac:dyDescent="0.3">
      <c r="G1947" s="26"/>
      <c r="H1947" s="26"/>
      <c r="I1947" s="26"/>
    </row>
    <row r="1948" spans="7:9" x14ac:dyDescent="0.3">
      <c r="G1948" s="26"/>
      <c r="H1948" s="26"/>
      <c r="I1948" s="26"/>
    </row>
    <row r="1949" spans="7:9" x14ac:dyDescent="0.3">
      <c r="G1949" s="26"/>
      <c r="H1949" s="26"/>
      <c r="I1949" s="26"/>
    </row>
    <row r="1950" spans="7:9" x14ac:dyDescent="0.3">
      <c r="G1950" s="26"/>
      <c r="H1950" s="26"/>
      <c r="I1950" s="26"/>
    </row>
    <row r="1951" spans="7:9" x14ac:dyDescent="0.3">
      <c r="G1951" s="26"/>
      <c r="H1951" s="26"/>
      <c r="I1951" s="26"/>
    </row>
    <row r="1952" spans="7:9" x14ac:dyDescent="0.3">
      <c r="G1952" s="26"/>
      <c r="H1952" s="26"/>
      <c r="I1952" s="26"/>
    </row>
    <row r="1953" spans="7:9" x14ac:dyDescent="0.3">
      <c r="G1953" s="26"/>
      <c r="H1953" s="26"/>
      <c r="I1953" s="26"/>
    </row>
    <row r="1954" spans="7:9" x14ac:dyDescent="0.3">
      <c r="G1954" s="26"/>
      <c r="H1954" s="26"/>
      <c r="I1954" s="26"/>
    </row>
    <row r="1955" spans="7:9" x14ac:dyDescent="0.3">
      <c r="G1955" s="26"/>
      <c r="H1955" s="26"/>
      <c r="I1955" s="26"/>
    </row>
    <row r="1956" spans="7:9" x14ac:dyDescent="0.3">
      <c r="G1956" s="26"/>
      <c r="H1956" s="26"/>
      <c r="I1956" s="26"/>
    </row>
    <row r="1957" spans="7:9" x14ac:dyDescent="0.3">
      <c r="G1957" s="26"/>
      <c r="H1957" s="26"/>
      <c r="I1957" s="26"/>
    </row>
    <row r="1958" spans="7:9" x14ac:dyDescent="0.3">
      <c r="G1958" s="26"/>
      <c r="H1958" s="26"/>
      <c r="I1958" s="26"/>
    </row>
    <row r="1959" spans="7:9" x14ac:dyDescent="0.3">
      <c r="G1959" s="26"/>
      <c r="H1959" s="26"/>
      <c r="I1959" s="26"/>
    </row>
    <row r="1960" spans="7:9" x14ac:dyDescent="0.3">
      <c r="G1960" s="26"/>
      <c r="H1960" s="26"/>
      <c r="I1960" s="26"/>
    </row>
    <row r="1961" spans="7:9" x14ac:dyDescent="0.3">
      <c r="G1961" s="26"/>
      <c r="H1961" s="26"/>
      <c r="I1961" s="26"/>
    </row>
    <row r="1962" spans="7:9" x14ac:dyDescent="0.3">
      <c r="G1962" s="26"/>
      <c r="H1962" s="26"/>
      <c r="I1962" s="26"/>
    </row>
    <row r="1963" spans="7:9" x14ac:dyDescent="0.3">
      <c r="G1963" s="26"/>
      <c r="H1963" s="26"/>
      <c r="I1963" s="26"/>
    </row>
    <row r="1964" spans="7:9" x14ac:dyDescent="0.3">
      <c r="G1964" s="26"/>
      <c r="H1964" s="26"/>
      <c r="I1964" s="26"/>
    </row>
    <row r="1965" spans="7:9" x14ac:dyDescent="0.3">
      <c r="G1965" s="26"/>
      <c r="H1965" s="26"/>
      <c r="I1965" s="26"/>
    </row>
    <row r="1966" spans="7:9" x14ac:dyDescent="0.3">
      <c r="G1966" s="26"/>
      <c r="H1966" s="26"/>
      <c r="I1966" s="26"/>
    </row>
    <row r="1967" spans="7:9" x14ac:dyDescent="0.3">
      <c r="G1967" s="26"/>
      <c r="H1967" s="26"/>
      <c r="I1967" s="26"/>
    </row>
    <row r="1968" spans="7:9" x14ac:dyDescent="0.3">
      <c r="G1968" s="26"/>
      <c r="H1968" s="26"/>
      <c r="I1968" s="26"/>
    </row>
    <row r="1969" spans="7:9" x14ac:dyDescent="0.3">
      <c r="G1969" s="26"/>
      <c r="H1969" s="26"/>
      <c r="I1969" s="26"/>
    </row>
    <row r="1970" spans="7:9" x14ac:dyDescent="0.3">
      <c r="G1970" s="26"/>
      <c r="H1970" s="26"/>
      <c r="I1970" s="26"/>
    </row>
    <row r="1971" spans="7:9" x14ac:dyDescent="0.3">
      <c r="G1971" s="26"/>
      <c r="H1971" s="26"/>
      <c r="I1971" s="26"/>
    </row>
    <row r="1972" spans="7:9" x14ac:dyDescent="0.3">
      <c r="G1972" s="26"/>
      <c r="H1972" s="26"/>
      <c r="I1972" s="26"/>
    </row>
    <row r="1973" spans="7:9" x14ac:dyDescent="0.3">
      <c r="G1973" s="26"/>
      <c r="H1973" s="26"/>
      <c r="I1973" s="26"/>
    </row>
    <row r="1974" spans="7:9" x14ac:dyDescent="0.3">
      <c r="G1974" s="26"/>
      <c r="H1974" s="26"/>
      <c r="I1974" s="26"/>
    </row>
    <row r="1975" spans="7:9" x14ac:dyDescent="0.3">
      <c r="G1975" s="26"/>
      <c r="H1975" s="26"/>
      <c r="I1975" s="26"/>
    </row>
    <row r="1976" spans="7:9" x14ac:dyDescent="0.3">
      <c r="G1976" s="26"/>
      <c r="H1976" s="26"/>
      <c r="I1976" s="26"/>
    </row>
    <row r="1977" spans="7:9" x14ac:dyDescent="0.3">
      <c r="G1977" s="26"/>
      <c r="H1977" s="26"/>
      <c r="I1977" s="26"/>
    </row>
    <row r="1978" spans="7:9" x14ac:dyDescent="0.3">
      <c r="G1978" s="26"/>
      <c r="H1978" s="26"/>
      <c r="I1978" s="26"/>
    </row>
    <row r="1979" spans="7:9" x14ac:dyDescent="0.3">
      <c r="G1979" s="26"/>
      <c r="H1979" s="26"/>
      <c r="I1979" s="26"/>
    </row>
    <row r="1980" spans="7:9" x14ac:dyDescent="0.3">
      <c r="G1980" s="26"/>
      <c r="H1980" s="26"/>
      <c r="I1980" s="26"/>
    </row>
    <row r="1981" spans="7:9" x14ac:dyDescent="0.3">
      <c r="G1981" s="26"/>
      <c r="H1981" s="26"/>
      <c r="I1981" s="26"/>
    </row>
    <row r="1982" spans="7:9" x14ac:dyDescent="0.3">
      <c r="G1982" s="26"/>
      <c r="H1982" s="26"/>
      <c r="I1982" s="26"/>
    </row>
    <row r="1983" spans="7:9" x14ac:dyDescent="0.3">
      <c r="G1983" s="26"/>
      <c r="H1983" s="26"/>
      <c r="I1983" s="26"/>
    </row>
    <row r="1984" spans="7:9" x14ac:dyDescent="0.3">
      <c r="G1984" s="26"/>
      <c r="H1984" s="26"/>
      <c r="I1984" s="26"/>
    </row>
    <row r="1985" spans="7:9" x14ac:dyDescent="0.3">
      <c r="G1985" s="26"/>
      <c r="H1985" s="26"/>
      <c r="I1985" s="26"/>
    </row>
    <row r="1986" spans="7:9" x14ac:dyDescent="0.3">
      <c r="G1986" s="26"/>
      <c r="H1986" s="26"/>
      <c r="I1986" s="26"/>
    </row>
    <row r="1987" spans="7:9" x14ac:dyDescent="0.3">
      <c r="G1987" s="26"/>
      <c r="H1987" s="26"/>
      <c r="I1987" s="26"/>
    </row>
    <row r="1988" spans="7:9" x14ac:dyDescent="0.3">
      <c r="G1988" s="26"/>
      <c r="H1988" s="26"/>
      <c r="I1988" s="26"/>
    </row>
    <row r="1989" spans="7:9" x14ac:dyDescent="0.3">
      <c r="G1989" s="26"/>
      <c r="H1989" s="26"/>
      <c r="I1989" s="26"/>
    </row>
    <row r="1990" spans="7:9" x14ac:dyDescent="0.3">
      <c r="G1990" s="26"/>
      <c r="H1990" s="26"/>
      <c r="I1990" s="26"/>
    </row>
    <row r="1991" spans="7:9" x14ac:dyDescent="0.3">
      <c r="G1991" s="26"/>
      <c r="H1991" s="26"/>
      <c r="I1991" s="26"/>
    </row>
    <row r="1992" spans="7:9" x14ac:dyDescent="0.3">
      <c r="G1992" s="26"/>
      <c r="H1992" s="26"/>
      <c r="I1992" s="26"/>
    </row>
    <row r="1993" spans="7:9" x14ac:dyDescent="0.3">
      <c r="G1993" s="26"/>
      <c r="H1993" s="26"/>
      <c r="I1993" s="26"/>
    </row>
    <row r="1994" spans="7:9" x14ac:dyDescent="0.3">
      <c r="G1994" s="26"/>
      <c r="H1994" s="26"/>
      <c r="I1994" s="26"/>
    </row>
    <row r="1995" spans="7:9" x14ac:dyDescent="0.3">
      <c r="G1995" s="26"/>
      <c r="H1995" s="26"/>
      <c r="I1995" s="26"/>
    </row>
    <row r="1996" spans="7:9" x14ac:dyDescent="0.3">
      <c r="G1996" s="26"/>
      <c r="H1996" s="26"/>
      <c r="I1996" s="26"/>
    </row>
    <row r="1997" spans="7:9" x14ac:dyDescent="0.3">
      <c r="G1997" s="26"/>
      <c r="H1997" s="26"/>
      <c r="I1997" s="26"/>
    </row>
    <row r="1998" spans="7:9" x14ac:dyDescent="0.3">
      <c r="G1998" s="26"/>
      <c r="H1998" s="26"/>
      <c r="I1998" s="26"/>
    </row>
    <row r="1999" spans="7:9" x14ac:dyDescent="0.3">
      <c r="G1999" s="26"/>
      <c r="H1999" s="26"/>
      <c r="I1999" s="26"/>
    </row>
    <row r="2000" spans="7:9" x14ac:dyDescent="0.3">
      <c r="G2000" s="26"/>
      <c r="H2000" s="26"/>
      <c r="I2000" s="26"/>
    </row>
    <row r="2001" spans="7:9" x14ac:dyDescent="0.3">
      <c r="G2001" s="26"/>
      <c r="H2001" s="26"/>
      <c r="I2001" s="26"/>
    </row>
    <row r="2002" spans="7:9" x14ac:dyDescent="0.3">
      <c r="G2002" s="26"/>
      <c r="H2002" s="26"/>
      <c r="I2002" s="26"/>
    </row>
    <row r="2003" spans="7:9" x14ac:dyDescent="0.3">
      <c r="G2003" s="26"/>
      <c r="H2003" s="26"/>
      <c r="I2003" s="26"/>
    </row>
    <row r="2004" spans="7:9" x14ac:dyDescent="0.3">
      <c r="G2004" s="26"/>
      <c r="H2004" s="26"/>
      <c r="I2004" s="26"/>
    </row>
    <row r="2005" spans="7:9" x14ac:dyDescent="0.3">
      <c r="G2005" s="26"/>
      <c r="H2005" s="26"/>
      <c r="I2005" s="26"/>
    </row>
    <row r="2006" spans="7:9" x14ac:dyDescent="0.3">
      <c r="G2006" s="26"/>
      <c r="H2006" s="26"/>
      <c r="I2006" s="26"/>
    </row>
    <row r="2007" spans="7:9" x14ac:dyDescent="0.3">
      <c r="G2007" s="26"/>
      <c r="H2007" s="26"/>
      <c r="I2007" s="26"/>
    </row>
    <row r="2008" spans="7:9" x14ac:dyDescent="0.3">
      <c r="G2008" s="26"/>
      <c r="H2008" s="26"/>
      <c r="I2008" s="26"/>
    </row>
    <row r="2009" spans="7:9" x14ac:dyDescent="0.3">
      <c r="G2009" s="26"/>
      <c r="H2009" s="26"/>
      <c r="I2009" s="26"/>
    </row>
    <row r="2010" spans="7:9" x14ac:dyDescent="0.3">
      <c r="G2010" s="26"/>
      <c r="H2010" s="26"/>
      <c r="I2010" s="26"/>
    </row>
    <row r="2011" spans="7:9" x14ac:dyDescent="0.3">
      <c r="G2011" s="26"/>
      <c r="H2011" s="26"/>
      <c r="I2011" s="26"/>
    </row>
    <row r="2012" spans="7:9" x14ac:dyDescent="0.3">
      <c r="G2012" s="26"/>
      <c r="H2012" s="26"/>
      <c r="I2012" s="26"/>
    </row>
    <row r="2013" spans="7:9" x14ac:dyDescent="0.3">
      <c r="G2013" s="26"/>
      <c r="H2013" s="26"/>
      <c r="I2013" s="26"/>
    </row>
    <row r="2014" spans="7:9" x14ac:dyDescent="0.3">
      <c r="G2014" s="26"/>
      <c r="H2014" s="26"/>
      <c r="I2014" s="26"/>
    </row>
    <row r="2015" spans="7:9" x14ac:dyDescent="0.3">
      <c r="G2015" s="26"/>
      <c r="H2015" s="26"/>
      <c r="I2015" s="26"/>
    </row>
    <row r="2016" spans="7:9" x14ac:dyDescent="0.3">
      <c r="G2016" s="26"/>
      <c r="H2016" s="26"/>
      <c r="I2016" s="26"/>
    </row>
    <row r="2017" spans="7:9" x14ac:dyDescent="0.3">
      <c r="G2017" s="26"/>
      <c r="H2017" s="26"/>
      <c r="I2017" s="26"/>
    </row>
    <row r="2018" spans="7:9" x14ac:dyDescent="0.3">
      <c r="G2018" s="26"/>
      <c r="H2018" s="26"/>
      <c r="I2018" s="26"/>
    </row>
    <row r="2019" spans="7:9" x14ac:dyDescent="0.3">
      <c r="G2019" s="26"/>
      <c r="H2019" s="26"/>
      <c r="I2019" s="26"/>
    </row>
    <row r="2020" spans="7:9" x14ac:dyDescent="0.3">
      <c r="G2020" s="26"/>
      <c r="H2020" s="26"/>
      <c r="I2020" s="26"/>
    </row>
    <row r="2021" spans="7:9" x14ac:dyDescent="0.3">
      <c r="G2021" s="26"/>
      <c r="H2021" s="26"/>
      <c r="I2021" s="26"/>
    </row>
    <row r="2022" spans="7:9" x14ac:dyDescent="0.3">
      <c r="G2022" s="26"/>
      <c r="H2022" s="26"/>
      <c r="I2022" s="26"/>
    </row>
    <row r="2023" spans="7:9" x14ac:dyDescent="0.3">
      <c r="G2023" s="26"/>
      <c r="H2023" s="26"/>
      <c r="I2023" s="26"/>
    </row>
    <row r="2024" spans="7:9" x14ac:dyDescent="0.3">
      <c r="G2024" s="26"/>
      <c r="H2024" s="26"/>
      <c r="I2024" s="26"/>
    </row>
    <row r="2025" spans="7:9" x14ac:dyDescent="0.3">
      <c r="G2025" s="26"/>
      <c r="H2025" s="26"/>
      <c r="I2025" s="26"/>
    </row>
    <row r="2026" spans="7:9" x14ac:dyDescent="0.3">
      <c r="G2026" s="26"/>
      <c r="H2026" s="26"/>
      <c r="I2026" s="26"/>
    </row>
    <row r="2027" spans="7:9" x14ac:dyDescent="0.3">
      <c r="G2027" s="26"/>
      <c r="H2027" s="26"/>
      <c r="I2027" s="26"/>
    </row>
    <row r="2028" spans="7:9" x14ac:dyDescent="0.3">
      <c r="G2028" s="26"/>
      <c r="H2028" s="26"/>
      <c r="I2028" s="26"/>
    </row>
    <row r="2029" spans="7:9" x14ac:dyDescent="0.3">
      <c r="G2029" s="26"/>
      <c r="H2029" s="26"/>
      <c r="I2029" s="26"/>
    </row>
    <row r="2030" spans="7:9" x14ac:dyDescent="0.3">
      <c r="G2030" s="26"/>
      <c r="H2030" s="26"/>
      <c r="I2030" s="26"/>
    </row>
    <row r="2031" spans="7:9" x14ac:dyDescent="0.3">
      <c r="G2031" s="26"/>
      <c r="H2031" s="26"/>
      <c r="I2031" s="26"/>
    </row>
    <row r="2032" spans="7:9" x14ac:dyDescent="0.3">
      <c r="G2032" s="26"/>
      <c r="H2032" s="26"/>
      <c r="I2032" s="26"/>
    </row>
    <row r="2033" spans="7:9" x14ac:dyDescent="0.3">
      <c r="G2033" s="26"/>
      <c r="H2033" s="26"/>
      <c r="I2033" s="26"/>
    </row>
    <row r="2034" spans="7:9" x14ac:dyDescent="0.3">
      <c r="G2034" s="26"/>
      <c r="H2034" s="26"/>
      <c r="I2034" s="26"/>
    </row>
    <row r="2035" spans="7:9" x14ac:dyDescent="0.3">
      <c r="G2035" s="26"/>
      <c r="H2035" s="26"/>
      <c r="I2035" s="26"/>
    </row>
    <row r="2036" spans="7:9" x14ac:dyDescent="0.3">
      <c r="G2036" s="26"/>
      <c r="H2036" s="26"/>
      <c r="I2036" s="26"/>
    </row>
    <row r="2037" spans="7:9" x14ac:dyDescent="0.3">
      <c r="G2037" s="26"/>
      <c r="H2037" s="26"/>
      <c r="I2037" s="26"/>
    </row>
    <row r="2038" spans="7:9" x14ac:dyDescent="0.3">
      <c r="G2038" s="26"/>
      <c r="H2038" s="26"/>
      <c r="I2038" s="26"/>
    </row>
    <row r="2039" spans="7:9" x14ac:dyDescent="0.3">
      <c r="G2039" s="26"/>
      <c r="H2039" s="26"/>
      <c r="I2039" s="26"/>
    </row>
    <row r="2040" spans="7:9" x14ac:dyDescent="0.3">
      <c r="G2040" s="26"/>
      <c r="H2040" s="26"/>
      <c r="I2040" s="26"/>
    </row>
    <row r="2041" spans="7:9" x14ac:dyDescent="0.3">
      <c r="G2041" s="26"/>
      <c r="H2041" s="26"/>
      <c r="I2041" s="26"/>
    </row>
    <row r="2042" spans="7:9" x14ac:dyDescent="0.3">
      <c r="G2042" s="26"/>
      <c r="H2042" s="26"/>
      <c r="I2042" s="26"/>
    </row>
    <row r="2043" spans="7:9" x14ac:dyDescent="0.3">
      <c r="G2043" s="26"/>
      <c r="H2043" s="26"/>
      <c r="I2043" s="26"/>
    </row>
    <row r="2044" spans="7:9" x14ac:dyDescent="0.3">
      <c r="G2044" s="26"/>
      <c r="H2044" s="26"/>
      <c r="I2044" s="26"/>
    </row>
    <row r="2045" spans="7:9" x14ac:dyDescent="0.3">
      <c r="G2045" s="26"/>
      <c r="H2045" s="26"/>
      <c r="I2045" s="26"/>
    </row>
    <row r="2046" spans="7:9" x14ac:dyDescent="0.3">
      <c r="G2046" s="26"/>
      <c r="H2046" s="26"/>
      <c r="I2046" s="26"/>
    </row>
    <row r="2047" spans="7:9" x14ac:dyDescent="0.3">
      <c r="G2047" s="26"/>
      <c r="H2047" s="26"/>
      <c r="I2047" s="26"/>
    </row>
    <row r="2048" spans="7:9" x14ac:dyDescent="0.3">
      <c r="G2048" s="26"/>
      <c r="H2048" s="26"/>
      <c r="I2048" s="26"/>
    </row>
    <row r="2049" spans="7:9" x14ac:dyDescent="0.3">
      <c r="G2049" s="26"/>
      <c r="H2049" s="26"/>
      <c r="I2049" s="26"/>
    </row>
    <row r="2050" spans="7:9" x14ac:dyDescent="0.3">
      <c r="G2050" s="26"/>
      <c r="H2050" s="26"/>
      <c r="I2050" s="26"/>
    </row>
    <row r="2051" spans="7:9" x14ac:dyDescent="0.3">
      <c r="G2051" s="26"/>
      <c r="H2051" s="26"/>
      <c r="I2051" s="26"/>
    </row>
    <row r="2052" spans="7:9" x14ac:dyDescent="0.3">
      <c r="G2052" s="26"/>
      <c r="H2052" s="26"/>
      <c r="I2052" s="26"/>
    </row>
    <row r="2053" spans="7:9" x14ac:dyDescent="0.3">
      <c r="G2053" s="26"/>
      <c r="H2053" s="26"/>
      <c r="I2053" s="26"/>
    </row>
    <row r="2054" spans="7:9" x14ac:dyDescent="0.3">
      <c r="G2054" s="26"/>
      <c r="H2054" s="26"/>
      <c r="I2054" s="26"/>
    </row>
    <row r="2055" spans="7:9" x14ac:dyDescent="0.3">
      <c r="G2055" s="26"/>
      <c r="H2055" s="26"/>
      <c r="I2055" s="26"/>
    </row>
    <row r="2056" spans="7:9" x14ac:dyDescent="0.3">
      <c r="G2056" s="26"/>
      <c r="H2056" s="26"/>
      <c r="I2056" s="26"/>
    </row>
    <row r="2057" spans="7:9" x14ac:dyDescent="0.3">
      <c r="G2057" s="26"/>
      <c r="H2057" s="26"/>
      <c r="I2057" s="26"/>
    </row>
    <row r="2058" spans="7:9" x14ac:dyDescent="0.3">
      <c r="G2058" s="26"/>
      <c r="H2058" s="26"/>
      <c r="I2058" s="26"/>
    </row>
    <row r="2059" spans="7:9" x14ac:dyDescent="0.3">
      <c r="G2059" s="26"/>
      <c r="H2059" s="26"/>
      <c r="I2059" s="26"/>
    </row>
    <row r="2060" spans="7:9" x14ac:dyDescent="0.3">
      <c r="G2060" s="26"/>
      <c r="H2060" s="26"/>
      <c r="I2060" s="26"/>
    </row>
    <row r="2061" spans="7:9" x14ac:dyDescent="0.3">
      <c r="G2061" s="26"/>
      <c r="H2061" s="26"/>
      <c r="I2061" s="26"/>
    </row>
    <row r="2062" spans="7:9" x14ac:dyDescent="0.3">
      <c r="G2062" s="26"/>
      <c r="H2062" s="26"/>
      <c r="I2062" s="26"/>
    </row>
    <row r="2063" spans="7:9" x14ac:dyDescent="0.3">
      <c r="G2063" s="26"/>
      <c r="H2063" s="26"/>
      <c r="I2063" s="26"/>
    </row>
    <row r="2064" spans="7:9" x14ac:dyDescent="0.3">
      <c r="G2064" s="26"/>
      <c r="H2064" s="26"/>
      <c r="I2064" s="26"/>
    </row>
    <row r="2065" spans="7:9" x14ac:dyDescent="0.3">
      <c r="G2065" s="26"/>
      <c r="H2065" s="26"/>
      <c r="I2065" s="26"/>
    </row>
    <row r="2066" spans="7:9" x14ac:dyDescent="0.3">
      <c r="G2066" s="26"/>
      <c r="H2066" s="26"/>
      <c r="I2066" s="26"/>
    </row>
    <row r="2067" spans="7:9" x14ac:dyDescent="0.3">
      <c r="G2067" s="26"/>
      <c r="H2067" s="26"/>
      <c r="I2067" s="26"/>
    </row>
    <row r="2068" spans="7:9" x14ac:dyDescent="0.3">
      <c r="G2068" s="26"/>
      <c r="H2068" s="26"/>
      <c r="I2068" s="26"/>
    </row>
    <row r="2069" spans="7:9" x14ac:dyDescent="0.3">
      <c r="G2069" s="26"/>
      <c r="H2069" s="26"/>
      <c r="I2069" s="26"/>
    </row>
    <row r="2070" spans="7:9" x14ac:dyDescent="0.3">
      <c r="G2070" s="26"/>
      <c r="H2070" s="26"/>
      <c r="I2070" s="26"/>
    </row>
    <row r="2071" spans="7:9" x14ac:dyDescent="0.3">
      <c r="G2071" s="26"/>
      <c r="H2071" s="26"/>
      <c r="I2071" s="26"/>
    </row>
    <row r="2072" spans="7:9" x14ac:dyDescent="0.3">
      <c r="G2072" s="26"/>
      <c r="H2072" s="26"/>
      <c r="I2072" s="26"/>
    </row>
    <row r="2073" spans="7:9" x14ac:dyDescent="0.3">
      <c r="G2073" s="26"/>
      <c r="H2073" s="26"/>
      <c r="I2073" s="26"/>
    </row>
    <row r="2074" spans="7:9" x14ac:dyDescent="0.3">
      <c r="G2074" s="26"/>
      <c r="H2074" s="26"/>
      <c r="I2074" s="26"/>
    </row>
    <row r="2075" spans="7:9" x14ac:dyDescent="0.3">
      <c r="G2075" s="26"/>
      <c r="H2075" s="26"/>
      <c r="I2075" s="26"/>
    </row>
    <row r="2076" spans="7:9" x14ac:dyDescent="0.3">
      <c r="G2076" s="26"/>
      <c r="H2076" s="26"/>
      <c r="I2076" s="26"/>
    </row>
    <row r="2077" spans="7:9" x14ac:dyDescent="0.3">
      <c r="G2077" s="26"/>
      <c r="H2077" s="26"/>
      <c r="I2077" s="26"/>
    </row>
    <row r="2078" spans="7:9" x14ac:dyDescent="0.3">
      <c r="G2078" s="26"/>
      <c r="H2078" s="26"/>
      <c r="I2078" s="26"/>
    </row>
    <row r="2079" spans="7:9" x14ac:dyDescent="0.3">
      <c r="G2079" s="26"/>
      <c r="H2079" s="26"/>
      <c r="I2079" s="26"/>
    </row>
    <row r="2080" spans="7:9" x14ac:dyDescent="0.3">
      <c r="G2080" s="26"/>
      <c r="H2080" s="26"/>
      <c r="I2080" s="26"/>
    </row>
    <row r="2081" spans="7:9" x14ac:dyDescent="0.3">
      <c r="G2081" s="26"/>
      <c r="H2081" s="26"/>
      <c r="I2081" s="26"/>
    </row>
    <row r="2082" spans="7:9" x14ac:dyDescent="0.3">
      <c r="G2082" s="26"/>
      <c r="H2082" s="26"/>
      <c r="I2082" s="26"/>
    </row>
    <row r="2083" spans="7:9" x14ac:dyDescent="0.3">
      <c r="G2083" s="26"/>
      <c r="H2083" s="26"/>
      <c r="I2083" s="26"/>
    </row>
    <row r="2084" spans="7:9" x14ac:dyDescent="0.3">
      <c r="G2084" s="26"/>
      <c r="H2084" s="26"/>
      <c r="I2084" s="26"/>
    </row>
    <row r="2085" spans="7:9" x14ac:dyDescent="0.3">
      <c r="G2085" s="26"/>
      <c r="H2085" s="26"/>
      <c r="I2085" s="26"/>
    </row>
    <row r="2086" spans="7:9" x14ac:dyDescent="0.3">
      <c r="G2086" s="26"/>
      <c r="H2086" s="26"/>
      <c r="I2086" s="26"/>
    </row>
    <row r="2087" spans="7:9" x14ac:dyDescent="0.3">
      <c r="G2087" s="26"/>
      <c r="H2087" s="26"/>
      <c r="I2087" s="26"/>
    </row>
    <row r="2088" spans="7:9" x14ac:dyDescent="0.3">
      <c r="G2088" s="26"/>
      <c r="H2088" s="26"/>
      <c r="I2088" s="26"/>
    </row>
    <row r="2089" spans="7:9" x14ac:dyDescent="0.3">
      <c r="G2089" s="26"/>
      <c r="H2089" s="26"/>
      <c r="I2089" s="26"/>
    </row>
    <row r="2090" spans="7:9" x14ac:dyDescent="0.3">
      <c r="G2090" s="26"/>
      <c r="H2090" s="26"/>
      <c r="I2090" s="26"/>
    </row>
    <row r="2091" spans="7:9" x14ac:dyDescent="0.3">
      <c r="G2091" s="26"/>
      <c r="H2091" s="26"/>
      <c r="I2091" s="26"/>
    </row>
    <row r="2092" spans="7:9" x14ac:dyDescent="0.3">
      <c r="G2092" s="26"/>
      <c r="H2092" s="26"/>
      <c r="I2092" s="26"/>
    </row>
    <row r="2093" spans="7:9" x14ac:dyDescent="0.3">
      <c r="G2093" s="26"/>
      <c r="H2093" s="26"/>
      <c r="I2093" s="26"/>
    </row>
    <row r="2094" spans="7:9" x14ac:dyDescent="0.3">
      <c r="G2094" s="26"/>
      <c r="H2094" s="26"/>
      <c r="I2094" s="26"/>
    </row>
    <row r="2095" spans="7:9" x14ac:dyDescent="0.3">
      <c r="G2095" s="26"/>
      <c r="H2095" s="26"/>
      <c r="I2095" s="26"/>
    </row>
    <row r="2096" spans="7:9" x14ac:dyDescent="0.3">
      <c r="G2096" s="26"/>
      <c r="H2096" s="26"/>
      <c r="I2096" s="26"/>
    </row>
    <row r="2097" spans="7:9" x14ac:dyDescent="0.3">
      <c r="G2097" s="26"/>
      <c r="H2097" s="26"/>
      <c r="I2097" s="26"/>
    </row>
    <row r="2098" spans="7:9" x14ac:dyDescent="0.3">
      <c r="G2098" s="26"/>
      <c r="H2098" s="26"/>
      <c r="I2098" s="26"/>
    </row>
    <row r="2099" spans="7:9" x14ac:dyDescent="0.3">
      <c r="G2099" s="26"/>
      <c r="H2099" s="26"/>
      <c r="I2099" s="26"/>
    </row>
    <row r="2100" spans="7:9" x14ac:dyDescent="0.3">
      <c r="G2100" s="26"/>
      <c r="H2100" s="26"/>
      <c r="I2100" s="26"/>
    </row>
    <row r="2101" spans="7:9" x14ac:dyDescent="0.3">
      <c r="G2101" s="26"/>
      <c r="H2101" s="26"/>
      <c r="I2101" s="26"/>
    </row>
    <row r="2102" spans="7:9" x14ac:dyDescent="0.3">
      <c r="G2102" s="26"/>
      <c r="H2102" s="26"/>
      <c r="I2102" s="26"/>
    </row>
    <row r="2103" spans="7:9" x14ac:dyDescent="0.3">
      <c r="G2103" s="26"/>
      <c r="H2103" s="26"/>
      <c r="I2103" s="26"/>
    </row>
    <row r="2104" spans="7:9" x14ac:dyDescent="0.3">
      <c r="G2104" s="26"/>
      <c r="H2104" s="26"/>
      <c r="I2104" s="26"/>
    </row>
    <row r="2105" spans="7:9" x14ac:dyDescent="0.3">
      <c r="G2105" s="26"/>
      <c r="H2105" s="26"/>
      <c r="I2105" s="26"/>
    </row>
    <row r="2106" spans="7:9" x14ac:dyDescent="0.3">
      <c r="G2106" s="26"/>
      <c r="H2106" s="26"/>
      <c r="I2106" s="26"/>
    </row>
    <row r="2107" spans="7:9" x14ac:dyDescent="0.3">
      <c r="G2107" s="26"/>
      <c r="H2107" s="26"/>
      <c r="I2107" s="26"/>
    </row>
    <row r="2108" spans="7:9" x14ac:dyDescent="0.3">
      <c r="G2108" s="26"/>
      <c r="H2108" s="26"/>
      <c r="I2108" s="26"/>
    </row>
    <row r="2109" spans="7:9" x14ac:dyDescent="0.3">
      <c r="G2109" s="26"/>
      <c r="H2109" s="26"/>
      <c r="I2109" s="26"/>
    </row>
    <row r="2110" spans="7:9" x14ac:dyDescent="0.3">
      <c r="G2110" s="26"/>
      <c r="H2110" s="26"/>
      <c r="I2110" s="26"/>
    </row>
    <row r="2111" spans="7:9" x14ac:dyDescent="0.3">
      <c r="G2111" s="26"/>
      <c r="H2111" s="26"/>
      <c r="I2111" s="26"/>
    </row>
    <row r="2112" spans="7:9" x14ac:dyDescent="0.3">
      <c r="G2112" s="26"/>
      <c r="H2112" s="26"/>
      <c r="I2112" s="26"/>
    </row>
    <row r="2113" spans="7:9" x14ac:dyDescent="0.3">
      <c r="G2113" s="26"/>
      <c r="H2113" s="26"/>
      <c r="I2113" s="26"/>
    </row>
    <row r="2114" spans="7:9" x14ac:dyDescent="0.3">
      <c r="G2114" s="26"/>
      <c r="H2114" s="26"/>
      <c r="I2114" s="26"/>
    </row>
    <row r="2115" spans="7:9" x14ac:dyDescent="0.3">
      <c r="G2115" s="26"/>
      <c r="H2115" s="26"/>
      <c r="I2115" s="26"/>
    </row>
    <row r="2116" spans="7:9" x14ac:dyDescent="0.3">
      <c r="G2116" s="26"/>
      <c r="H2116" s="26"/>
      <c r="I2116" s="26"/>
    </row>
    <row r="2117" spans="7:9" x14ac:dyDescent="0.3">
      <c r="G2117" s="26"/>
      <c r="H2117" s="26"/>
      <c r="I2117" s="26"/>
    </row>
    <row r="2118" spans="7:9" x14ac:dyDescent="0.3">
      <c r="G2118" s="26"/>
      <c r="H2118" s="26"/>
      <c r="I2118" s="26"/>
    </row>
    <row r="2119" spans="7:9" x14ac:dyDescent="0.3">
      <c r="G2119" s="26"/>
      <c r="H2119" s="26"/>
      <c r="I2119" s="26"/>
    </row>
    <row r="2120" spans="7:9" x14ac:dyDescent="0.3">
      <c r="G2120" s="26"/>
      <c r="H2120" s="26"/>
      <c r="I2120" s="26"/>
    </row>
    <row r="2121" spans="7:9" x14ac:dyDescent="0.3">
      <c r="G2121" s="26"/>
      <c r="H2121" s="26"/>
      <c r="I2121" s="26"/>
    </row>
    <row r="2122" spans="7:9" x14ac:dyDescent="0.3">
      <c r="G2122" s="26"/>
      <c r="H2122" s="26"/>
      <c r="I2122" s="26"/>
    </row>
    <row r="2123" spans="7:9" x14ac:dyDescent="0.3">
      <c r="G2123" s="26"/>
      <c r="H2123" s="26"/>
      <c r="I2123" s="26"/>
    </row>
    <row r="2124" spans="7:9" x14ac:dyDescent="0.3">
      <c r="G2124" s="26"/>
      <c r="H2124" s="26"/>
      <c r="I2124" s="26"/>
    </row>
    <row r="2125" spans="7:9" x14ac:dyDescent="0.3">
      <c r="G2125" s="26"/>
      <c r="H2125" s="26"/>
      <c r="I2125" s="26"/>
    </row>
    <row r="2126" spans="7:9" x14ac:dyDescent="0.3">
      <c r="G2126" s="26"/>
      <c r="H2126" s="26"/>
      <c r="I2126" s="26"/>
    </row>
    <row r="2127" spans="7:9" x14ac:dyDescent="0.3">
      <c r="G2127" s="26"/>
      <c r="H2127" s="26"/>
      <c r="I2127" s="26"/>
    </row>
    <row r="2128" spans="7:9" x14ac:dyDescent="0.3">
      <c r="G2128" s="26"/>
      <c r="H2128" s="26"/>
      <c r="I2128" s="26"/>
    </row>
    <row r="2129" spans="7:9" x14ac:dyDescent="0.3">
      <c r="G2129" s="26"/>
      <c r="H2129" s="26"/>
      <c r="I2129" s="26"/>
    </row>
    <row r="2130" spans="7:9" x14ac:dyDescent="0.3">
      <c r="G2130" s="26"/>
      <c r="H2130" s="26"/>
      <c r="I2130" s="26"/>
    </row>
    <row r="2131" spans="7:9" x14ac:dyDescent="0.3">
      <c r="G2131" s="26"/>
      <c r="H2131" s="26"/>
      <c r="I2131" s="26"/>
    </row>
    <row r="2132" spans="7:9" x14ac:dyDescent="0.3">
      <c r="G2132" s="26"/>
      <c r="H2132" s="26"/>
      <c r="I2132" s="26"/>
    </row>
    <row r="2133" spans="7:9" x14ac:dyDescent="0.3">
      <c r="G2133" s="26"/>
      <c r="H2133" s="26"/>
      <c r="I2133" s="26"/>
    </row>
    <row r="2134" spans="7:9" x14ac:dyDescent="0.3">
      <c r="G2134" s="26"/>
      <c r="H2134" s="26"/>
      <c r="I2134" s="26"/>
    </row>
    <row r="2135" spans="7:9" x14ac:dyDescent="0.3">
      <c r="G2135" s="26"/>
      <c r="H2135" s="26"/>
      <c r="I2135" s="26"/>
    </row>
    <row r="2136" spans="7:9" x14ac:dyDescent="0.3">
      <c r="G2136" s="26"/>
      <c r="H2136" s="26"/>
      <c r="I2136" s="26"/>
    </row>
    <row r="2137" spans="7:9" x14ac:dyDescent="0.3">
      <c r="G2137" s="26"/>
      <c r="H2137" s="26"/>
      <c r="I2137" s="26"/>
    </row>
    <row r="2138" spans="7:9" x14ac:dyDescent="0.3">
      <c r="G2138" s="26"/>
      <c r="H2138" s="26"/>
      <c r="I2138" s="26"/>
    </row>
    <row r="2139" spans="7:9" x14ac:dyDescent="0.3">
      <c r="G2139" s="26"/>
      <c r="H2139" s="26"/>
      <c r="I2139" s="26"/>
    </row>
    <row r="2140" spans="7:9" x14ac:dyDescent="0.3">
      <c r="G2140" s="26"/>
      <c r="H2140" s="26"/>
      <c r="I2140" s="26"/>
    </row>
    <row r="2141" spans="7:9" x14ac:dyDescent="0.3">
      <c r="G2141" s="26"/>
      <c r="H2141" s="26"/>
      <c r="I2141" s="26"/>
    </row>
    <row r="2142" spans="7:9" x14ac:dyDescent="0.3">
      <c r="G2142" s="26"/>
      <c r="H2142" s="26"/>
      <c r="I2142" s="26"/>
    </row>
    <row r="2143" spans="7:9" x14ac:dyDescent="0.3">
      <c r="G2143" s="26"/>
      <c r="H2143" s="26"/>
      <c r="I2143" s="26"/>
    </row>
    <row r="2144" spans="7:9" x14ac:dyDescent="0.3">
      <c r="G2144" s="26"/>
      <c r="H2144" s="26"/>
      <c r="I2144" s="26"/>
    </row>
    <row r="2145" spans="7:9" x14ac:dyDescent="0.3">
      <c r="G2145" s="26"/>
      <c r="H2145" s="26"/>
      <c r="I2145" s="26"/>
    </row>
    <row r="2146" spans="7:9" x14ac:dyDescent="0.3">
      <c r="G2146" s="26"/>
      <c r="H2146" s="26"/>
      <c r="I2146" s="26"/>
    </row>
    <row r="2147" spans="7:9" x14ac:dyDescent="0.3">
      <c r="G2147" s="26"/>
      <c r="H2147" s="26"/>
      <c r="I2147" s="26"/>
    </row>
    <row r="2148" spans="7:9" x14ac:dyDescent="0.3">
      <c r="G2148" s="26"/>
      <c r="H2148" s="26"/>
      <c r="I2148" s="26"/>
    </row>
    <row r="2149" spans="7:9" x14ac:dyDescent="0.3">
      <c r="G2149" s="26"/>
      <c r="H2149" s="26"/>
      <c r="I2149" s="26"/>
    </row>
    <row r="2150" spans="7:9" x14ac:dyDescent="0.3">
      <c r="G2150" s="26"/>
      <c r="H2150" s="26"/>
      <c r="I2150" s="26"/>
    </row>
    <row r="2151" spans="7:9" x14ac:dyDescent="0.3">
      <c r="G2151" s="26"/>
      <c r="H2151" s="26"/>
      <c r="I2151" s="26"/>
    </row>
    <row r="2152" spans="7:9" x14ac:dyDescent="0.3">
      <c r="G2152" s="26"/>
      <c r="H2152" s="26"/>
      <c r="I2152" s="26"/>
    </row>
    <row r="2153" spans="7:9" x14ac:dyDescent="0.3">
      <c r="G2153" s="26"/>
      <c r="H2153" s="26"/>
      <c r="I2153" s="26"/>
    </row>
    <row r="2154" spans="7:9" x14ac:dyDescent="0.3">
      <c r="G2154" s="26"/>
      <c r="H2154" s="26"/>
      <c r="I2154" s="26"/>
    </row>
    <row r="2155" spans="7:9" x14ac:dyDescent="0.3">
      <c r="G2155" s="26"/>
      <c r="H2155" s="26"/>
      <c r="I2155" s="26"/>
    </row>
    <row r="2156" spans="7:9" x14ac:dyDescent="0.3">
      <c r="G2156" s="26"/>
      <c r="H2156" s="26"/>
      <c r="I2156" s="26"/>
    </row>
    <row r="2157" spans="7:9" x14ac:dyDescent="0.3">
      <c r="G2157" s="26"/>
      <c r="H2157" s="26"/>
      <c r="I2157" s="26"/>
    </row>
    <row r="2158" spans="7:9" x14ac:dyDescent="0.3">
      <c r="G2158" s="26"/>
      <c r="H2158" s="26"/>
      <c r="I2158" s="26"/>
    </row>
    <row r="2159" spans="7:9" x14ac:dyDescent="0.3">
      <c r="G2159" s="26"/>
      <c r="H2159" s="26"/>
      <c r="I2159" s="26"/>
    </row>
    <row r="2160" spans="7:9" x14ac:dyDescent="0.3">
      <c r="G2160" s="26"/>
      <c r="H2160" s="26"/>
      <c r="I2160" s="26"/>
    </row>
    <row r="2161" spans="7:9" x14ac:dyDescent="0.3">
      <c r="G2161" s="26"/>
      <c r="H2161" s="26"/>
      <c r="I2161" s="26"/>
    </row>
    <row r="2162" spans="7:9" x14ac:dyDescent="0.3">
      <c r="G2162" s="26"/>
      <c r="H2162" s="26"/>
      <c r="I2162" s="26"/>
    </row>
    <row r="2163" spans="7:9" x14ac:dyDescent="0.3">
      <c r="G2163" s="26"/>
      <c r="H2163" s="26"/>
      <c r="I2163" s="26"/>
    </row>
    <row r="2164" spans="7:9" x14ac:dyDescent="0.3">
      <c r="G2164" s="26"/>
      <c r="H2164" s="26"/>
      <c r="I2164" s="26"/>
    </row>
    <row r="2165" spans="7:9" x14ac:dyDescent="0.3">
      <c r="G2165" s="26"/>
      <c r="H2165" s="26"/>
      <c r="I2165" s="26"/>
    </row>
    <row r="2166" spans="7:9" x14ac:dyDescent="0.3">
      <c r="G2166" s="26"/>
      <c r="H2166" s="26"/>
      <c r="I2166" s="26"/>
    </row>
    <row r="2167" spans="7:9" x14ac:dyDescent="0.3">
      <c r="G2167" s="26"/>
      <c r="H2167" s="26"/>
      <c r="I2167" s="26"/>
    </row>
    <row r="2168" spans="7:9" x14ac:dyDescent="0.3">
      <c r="G2168" s="26"/>
      <c r="H2168" s="26"/>
      <c r="I2168" s="26"/>
    </row>
    <row r="2169" spans="7:9" x14ac:dyDescent="0.3">
      <c r="G2169" s="26"/>
      <c r="H2169" s="26"/>
      <c r="I2169" s="26"/>
    </row>
    <row r="2170" spans="7:9" x14ac:dyDescent="0.3">
      <c r="G2170" s="26"/>
      <c r="H2170" s="26"/>
      <c r="I2170" s="26"/>
    </row>
    <row r="2171" spans="7:9" x14ac:dyDescent="0.3">
      <c r="G2171" s="26"/>
      <c r="H2171" s="26"/>
      <c r="I2171" s="26"/>
    </row>
    <row r="2172" spans="7:9" x14ac:dyDescent="0.3">
      <c r="G2172" s="26"/>
      <c r="H2172" s="26"/>
      <c r="I2172" s="26"/>
    </row>
    <row r="2173" spans="7:9" x14ac:dyDescent="0.3">
      <c r="G2173" s="26"/>
      <c r="H2173" s="26"/>
      <c r="I2173" s="26"/>
    </row>
    <row r="2174" spans="7:9" x14ac:dyDescent="0.3">
      <c r="G2174" s="26"/>
      <c r="H2174" s="26"/>
      <c r="I2174" s="26"/>
    </row>
    <row r="2175" spans="7:9" x14ac:dyDescent="0.3">
      <c r="G2175" s="26"/>
      <c r="H2175" s="26"/>
      <c r="I2175" s="26"/>
    </row>
    <row r="2176" spans="7:9" x14ac:dyDescent="0.3">
      <c r="G2176" s="26"/>
      <c r="H2176" s="26"/>
      <c r="I2176" s="26"/>
    </row>
    <row r="2177" spans="7:9" x14ac:dyDescent="0.3">
      <c r="G2177" s="26"/>
      <c r="H2177" s="26"/>
      <c r="I2177" s="26"/>
    </row>
    <row r="2178" spans="7:9" x14ac:dyDescent="0.3">
      <c r="G2178" s="26"/>
      <c r="H2178" s="26"/>
      <c r="I2178" s="26"/>
    </row>
    <row r="2179" spans="7:9" x14ac:dyDescent="0.3">
      <c r="G2179" s="26"/>
      <c r="H2179" s="26"/>
      <c r="I2179" s="26"/>
    </row>
    <row r="2180" spans="7:9" x14ac:dyDescent="0.3">
      <c r="G2180" s="26"/>
      <c r="H2180" s="26"/>
      <c r="I2180" s="26"/>
    </row>
    <row r="2181" spans="7:9" x14ac:dyDescent="0.3">
      <c r="G2181" s="26"/>
      <c r="H2181" s="26"/>
      <c r="I2181" s="26"/>
    </row>
    <row r="2182" spans="7:9" x14ac:dyDescent="0.3">
      <c r="G2182" s="26"/>
      <c r="H2182" s="26"/>
      <c r="I2182" s="26"/>
    </row>
    <row r="2183" spans="7:9" x14ac:dyDescent="0.3">
      <c r="G2183" s="26"/>
      <c r="H2183" s="26"/>
      <c r="I2183" s="26"/>
    </row>
    <row r="2184" spans="7:9" x14ac:dyDescent="0.3">
      <c r="G2184" s="26"/>
      <c r="H2184" s="26"/>
      <c r="I2184" s="26"/>
    </row>
    <row r="2185" spans="7:9" x14ac:dyDescent="0.3">
      <c r="G2185" s="26"/>
      <c r="H2185" s="26"/>
      <c r="I2185" s="26"/>
    </row>
    <row r="2186" spans="7:9" x14ac:dyDescent="0.3">
      <c r="G2186" s="26"/>
      <c r="H2186" s="26"/>
      <c r="I2186" s="26"/>
    </row>
    <row r="2187" spans="7:9" x14ac:dyDescent="0.3">
      <c r="G2187" s="26"/>
      <c r="H2187" s="26"/>
      <c r="I2187" s="26"/>
    </row>
    <row r="2188" spans="7:9" x14ac:dyDescent="0.3">
      <c r="G2188" s="26"/>
      <c r="H2188" s="26"/>
      <c r="I2188" s="26"/>
    </row>
    <row r="2189" spans="7:9" x14ac:dyDescent="0.3">
      <c r="G2189" s="26"/>
      <c r="H2189" s="26"/>
      <c r="I2189" s="26"/>
    </row>
    <row r="2190" spans="7:9" x14ac:dyDescent="0.3">
      <c r="G2190" s="26"/>
      <c r="H2190" s="26"/>
      <c r="I2190" s="26"/>
    </row>
    <row r="2191" spans="7:9" x14ac:dyDescent="0.3">
      <c r="G2191" s="26"/>
      <c r="H2191" s="26"/>
      <c r="I2191" s="26"/>
    </row>
    <row r="2192" spans="7:9" x14ac:dyDescent="0.3">
      <c r="G2192" s="26"/>
      <c r="H2192" s="26"/>
      <c r="I2192" s="26"/>
    </row>
    <row r="2193" spans="7:9" x14ac:dyDescent="0.3">
      <c r="G2193" s="26"/>
      <c r="H2193" s="26"/>
      <c r="I2193" s="26"/>
    </row>
    <row r="2194" spans="7:9" x14ac:dyDescent="0.3">
      <c r="G2194" s="26"/>
      <c r="H2194" s="26"/>
      <c r="I2194" s="26"/>
    </row>
    <row r="2195" spans="7:9" x14ac:dyDescent="0.3">
      <c r="G2195" s="26"/>
      <c r="H2195" s="26"/>
      <c r="I2195" s="26"/>
    </row>
    <row r="2196" spans="7:9" x14ac:dyDescent="0.3">
      <c r="G2196" s="26"/>
      <c r="H2196" s="26"/>
      <c r="I2196" s="26"/>
    </row>
    <row r="2197" spans="7:9" x14ac:dyDescent="0.3">
      <c r="G2197" s="26"/>
      <c r="H2197" s="26"/>
      <c r="I2197" s="26"/>
    </row>
    <row r="2198" spans="7:9" x14ac:dyDescent="0.3">
      <c r="G2198" s="26"/>
      <c r="H2198" s="26"/>
      <c r="I2198" s="26"/>
    </row>
    <row r="2199" spans="7:9" x14ac:dyDescent="0.3">
      <c r="G2199" s="26"/>
      <c r="H2199" s="26"/>
      <c r="I2199" s="26"/>
    </row>
    <row r="2200" spans="7:9" x14ac:dyDescent="0.3">
      <c r="G2200" s="26"/>
      <c r="H2200" s="26"/>
      <c r="I2200" s="26"/>
    </row>
    <row r="2201" spans="7:9" x14ac:dyDescent="0.3">
      <c r="G2201" s="26"/>
      <c r="H2201" s="26"/>
      <c r="I2201" s="26"/>
    </row>
    <row r="2202" spans="7:9" x14ac:dyDescent="0.3">
      <c r="G2202" s="26"/>
      <c r="H2202" s="26"/>
      <c r="I2202" s="26"/>
    </row>
    <row r="2203" spans="7:9" x14ac:dyDescent="0.3">
      <c r="G2203" s="26"/>
      <c r="H2203" s="26"/>
      <c r="I2203" s="26"/>
    </row>
    <row r="2204" spans="7:9" x14ac:dyDescent="0.3">
      <c r="G2204" s="26"/>
      <c r="H2204" s="26"/>
      <c r="I2204" s="26"/>
    </row>
    <row r="2205" spans="7:9" x14ac:dyDescent="0.3">
      <c r="G2205" s="26"/>
      <c r="H2205" s="26"/>
      <c r="I2205" s="26"/>
    </row>
    <row r="2206" spans="7:9" x14ac:dyDescent="0.3">
      <c r="G2206" s="26"/>
      <c r="H2206" s="26"/>
      <c r="I2206" s="26"/>
    </row>
    <row r="2207" spans="7:9" x14ac:dyDescent="0.3">
      <c r="G2207" s="26"/>
      <c r="H2207" s="26"/>
      <c r="I2207" s="26"/>
    </row>
    <row r="2208" spans="7:9" x14ac:dyDescent="0.3">
      <c r="G2208" s="26"/>
      <c r="H2208" s="26"/>
      <c r="I2208" s="26"/>
    </row>
    <row r="2209" spans="7:9" x14ac:dyDescent="0.3">
      <c r="G2209" s="26"/>
      <c r="H2209" s="26"/>
      <c r="I2209" s="26"/>
    </row>
    <row r="2210" spans="7:9" x14ac:dyDescent="0.3">
      <c r="G2210" s="26"/>
      <c r="H2210" s="26"/>
      <c r="I2210" s="26"/>
    </row>
    <row r="2211" spans="7:9" x14ac:dyDescent="0.3">
      <c r="G2211" s="26"/>
      <c r="H2211" s="26"/>
      <c r="I2211" s="26"/>
    </row>
    <row r="2212" spans="7:9" x14ac:dyDescent="0.3">
      <c r="G2212" s="26"/>
      <c r="H2212" s="26"/>
      <c r="I2212" s="26"/>
    </row>
    <row r="2213" spans="7:9" x14ac:dyDescent="0.3">
      <c r="G2213" s="26"/>
      <c r="H2213" s="26"/>
      <c r="I2213" s="26"/>
    </row>
    <row r="2214" spans="7:9" x14ac:dyDescent="0.3">
      <c r="G2214" s="26"/>
      <c r="H2214" s="26"/>
      <c r="I2214" s="26"/>
    </row>
    <row r="2215" spans="7:9" x14ac:dyDescent="0.3">
      <c r="G2215" s="26"/>
      <c r="H2215" s="26"/>
      <c r="I2215" s="26"/>
    </row>
    <row r="2216" spans="7:9" x14ac:dyDescent="0.3">
      <c r="G2216" s="26"/>
      <c r="H2216" s="26"/>
      <c r="I2216" s="26"/>
    </row>
    <row r="2217" spans="7:9" x14ac:dyDescent="0.3">
      <c r="G2217" s="26"/>
      <c r="H2217" s="26"/>
      <c r="I2217" s="26"/>
    </row>
    <row r="2218" spans="7:9" x14ac:dyDescent="0.3">
      <c r="G2218" s="26"/>
      <c r="H2218" s="26"/>
      <c r="I2218" s="26"/>
    </row>
    <row r="2219" spans="7:9" x14ac:dyDescent="0.3">
      <c r="G2219" s="26"/>
      <c r="H2219" s="26"/>
      <c r="I2219" s="26"/>
    </row>
    <row r="2220" spans="7:9" x14ac:dyDescent="0.3">
      <c r="G2220" s="26"/>
      <c r="H2220" s="26"/>
      <c r="I2220" s="26"/>
    </row>
    <row r="2221" spans="7:9" x14ac:dyDescent="0.3">
      <c r="G2221" s="26"/>
      <c r="H2221" s="26"/>
      <c r="I2221" s="26"/>
    </row>
    <row r="2222" spans="7:9" x14ac:dyDescent="0.3">
      <c r="G2222" s="26"/>
      <c r="H2222" s="26"/>
      <c r="I2222" s="26"/>
    </row>
    <row r="2223" spans="7:9" x14ac:dyDescent="0.3">
      <c r="G2223" s="26"/>
      <c r="H2223" s="26"/>
      <c r="I2223" s="26"/>
    </row>
    <row r="2224" spans="7:9" x14ac:dyDescent="0.3">
      <c r="G2224" s="26"/>
      <c r="H2224" s="26"/>
      <c r="I2224" s="26"/>
    </row>
    <row r="2225" spans="7:9" x14ac:dyDescent="0.3">
      <c r="G2225" s="26"/>
      <c r="H2225" s="26"/>
      <c r="I2225" s="26"/>
    </row>
    <row r="2226" spans="7:9" x14ac:dyDescent="0.3">
      <c r="G2226" s="26"/>
      <c r="H2226" s="26"/>
      <c r="I2226" s="26"/>
    </row>
    <row r="2227" spans="7:9" x14ac:dyDescent="0.3">
      <c r="G2227" s="26"/>
      <c r="H2227" s="26"/>
      <c r="I2227" s="26"/>
    </row>
    <row r="2228" spans="7:9" x14ac:dyDescent="0.3">
      <c r="G2228" s="26"/>
      <c r="H2228" s="26"/>
      <c r="I2228" s="26"/>
    </row>
    <row r="2229" spans="7:9" x14ac:dyDescent="0.3">
      <c r="G2229" s="26"/>
      <c r="H2229" s="26"/>
      <c r="I2229" s="26"/>
    </row>
    <row r="2230" spans="7:9" x14ac:dyDescent="0.3">
      <c r="G2230" s="26"/>
      <c r="H2230" s="26"/>
      <c r="I2230" s="26"/>
    </row>
    <row r="2231" spans="7:9" x14ac:dyDescent="0.3">
      <c r="G2231" s="26"/>
      <c r="H2231" s="26"/>
      <c r="I2231" s="26"/>
    </row>
    <row r="2232" spans="7:9" x14ac:dyDescent="0.3">
      <c r="G2232" s="26"/>
      <c r="H2232" s="26"/>
      <c r="I2232" s="26"/>
    </row>
    <row r="2233" spans="7:9" x14ac:dyDescent="0.3">
      <c r="G2233" s="26"/>
      <c r="H2233" s="26"/>
      <c r="I2233" s="26"/>
    </row>
    <row r="2234" spans="7:9" x14ac:dyDescent="0.3">
      <c r="G2234" s="26"/>
      <c r="H2234" s="26"/>
      <c r="I2234" s="26"/>
    </row>
    <row r="2235" spans="7:9" x14ac:dyDescent="0.3">
      <c r="G2235" s="26"/>
      <c r="H2235" s="26"/>
      <c r="I2235" s="26"/>
    </row>
    <row r="2236" spans="7:9" x14ac:dyDescent="0.3">
      <c r="G2236" s="26"/>
      <c r="H2236" s="26"/>
      <c r="I2236" s="26"/>
    </row>
    <row r="2237" spans="7:9" x14ac:dyDescent="0.3">
      <c r="G2237" s="26"/>
      <c r="H2237" s="26"/>
      <c r="I2237" s="26"/>
    </row>
    <row r="2238" spans="7:9" x14ac:dyDescent="0.3">
      <c r="G2238" s="26"/>
      <c r="H2238" s="26"/>
      <c r="I2238" s="26"/>
    </row>
    <row r="2239" spans="7:9" x14ac:dyDescent="0.3">
      <c r="G2239" s="26"/>
      <c r="H2239" s="26"/>
      <c r="I2239" s="26"/>
    </row>
    <row r="2240" spans="7:9" x14ac:dyDescent="0.3">
      <c r="G2240" s="26"/>
      <c r="H2240" s="26"/>
      <c r="I2240" s="26"/>
    </row>
    <row r="2241" spans="7:9" x14ac:dyDescent="0.3">
      <c r="G2241" s="26"/>
      <c r="H2241" s="26"/>
      <c r="I2241" s="26"/>
    </row>
    <row r="2242" spans="7:9" x14ac:dyDescent="0.3">
      <c r="G2242" s="26"/>
      <c r="H2242" s="26"/>
      <c r="I2242" s="26"/>
    </row>
    <row r="2243" spans="7:9" x14ac:dyDescent="0.3">
      <c r="G2243" s="26"/>
      <c r="H2243" s="26"/>
      <c r="I2243" s="26"/>
    </row>
    <row r="2244" spans="7:9" x14ac:dyDescent="0.3">
      <c r="G2244" s="26"/>
      <c r="H2244" s="26"/>
      <c r="I2244" s="26"/>
    </row>
    <row r="2245" spans="7:9" x14ac:dyDescent="0.3">
      <c r="G2245" s="26"/>
      <c r="H2245" s="26"/>
      <c r="I2245" s="26"/>
    </row>
    <row r="2246" spans="7:9" x14ac:dyDescent="0.3">
      <c r="G2246" s="26"/>
      <c r="H2246" s="26"/>
      <c r="I2246" s="26"/>
    </row>
    <row r="2247" spans="7:9" x14ac:dyDescent="0.3">
      <c r="G2247" s="26"/>
      <c r="H2247" s="26"/>
      <c r="I2247" s="26"/>
    </row>
    <row r="2248" spans="7:9" x14ac:dyDescent="0.3">
      <c r="G2248" s="26"/>
      <c r="H2248" s="26"/>
      <c r="I2248" s="26"/>
    </row>
    <row r="2249" spans="7:9" x14ac:dyDescent="0.3">
      <c r="G2249" s="26"/>
      <c r="H2249" s="26"/>
      <c r="I2249" s="26"/>
    </row>
    <row r="2250" spans="7:9" x14ac:dyDescent="0.3">
      <c r="G2250" s="26"/>
      <c r="H2250" s="26"/>
      <c r="I2250" s="26"/>
    </row>
    <row r="2251" spans="7:9" x14ac:dyDescent="0.3">
      <c r="G2251" s="26"/>
      <c r="H2251" s="26"/>
      <c r="I2251" s="26"/>
    </row>
    <row r="2252" spans="7:9" x14ac:dyDescent="0.3">
      <c r="G2252" s="26"/>
      <c r="H2252" s="26"/>
      <c r="I2252" s="26"/>
    </row>
    <row r="2253" spans="7:9" x14ac:dyDescent="0.3">
      <c r="G2253" s="26"/>
      <c r="H2253" s="26"/>
      <c r="I2253" s="26"/>
    </row>
    <row r="2254" spans="7:9" x14ac:dyDescent="0.3">
      <c r="G2254" s="26"/>
      <c r="H2254" s="26"/>
      <c r="I2254" s="26"/>
    </row>
    <row r="2255" spans="7:9" x14ac:dyDescent="0.3">
      <c r="G2255" s="26"/>
      <c r="H2255" s="26"/>
      <c r="I2255" s="26"/>
    </row>
    <row r="2256" spans="7:9" x14ac:dyDescent="0.3">
      <c r="G2256" s="26"/>
      <c r="H2256" s="26"/>
      <c r="I2256" s="26"/>
    </row>
    <row r="2257" spans="7:9" x14ac:dyDescent="0.3">
      <c r="G2257" s="26"/>
      <c r="H2257" s="26"/>
      <c r="I2257" s="26"/>
    </row>
    <row r="2258" spans="7:9" x14ac:dyDescent="0.3">
      <c r="G2258" s="26"/>
      <c r="H2258" s="26"/>
      <c r="I2258" s="26"/>
    </row>
    <row r="2259" spans="7:9" x14ac:dyDescent="0.3">
      <c r="G2259" s="26"/>
      <c r="H2259" s="26"/>
      <c r="I2259" s="26"/>
    </row>
    <row r="2260" spans="7:9" x14ac:dyDescent="0.3">
      <c r="G2260" s="26"/>
      <c r="H2260" s="26"/>
      <c r="I2260" s="26"/>
    </row>
    <row r="2261" spans="7:9" x14ac:dyDescent="0.3">
      <c r="G2261" s="26"/>
      <c r="H2261" s="26"/>
      <c r="I2261" s="26"/>
    </row>
    <row r="2262" spans="7:9" x14ac:dyDescent="0.3">
      <c r="G2262" s="26"/>
      <c r="H2262" s="26"/>
      <c r="I2262" s="26"/>
    </row>
    <row r="2263" spans="7:9" x14ac:dyDescent="0.3">
      <c r="G2263" s="26"/>
      <c r="H2263" s="26"/>
      <c r="I2263" s="26"/>
    </row>
    <row r="2264" spans="7:9" x14ac:dyDescent="0.3">
      <c r="G2264" s="26"/>
      <c r="H2264" s="26"/>
      <c r="I2264" s="26"/>
    </row>
    <row r="2265" spans="7:9" x14ac:dyDescent="0.3">
      <c r="G2265" s="26"/>
      <c r="H2265" s="26"/>
      <c r="I2265" s="26"/>
    </row>
    <row r="2266" spans="7:9" x14ac:dyDescent="0.3">
      <c r="G2266" s="26"/>
      <c r="H2266" s="26"/>
      <c r="I2266" s="26"/>
    </row>
    <row r="2267" spans="7:9" x14ac:dyDescent="0.3">
      <c r="G2267" s="26"/>
      <c r="H2267" s="26"/>
      <c r="I2267" s="26"/>
    </row>
    <row r="2268" spans="7:9" x14ac:dyDescent="0.3">
      <c r="G2268" s="26"/>
      <c r="H2268" s="26"/>
      <c r="I2268" s="26"/>
    </row>
    <row r="2269" spans="7:9" x14ac:dyDescent="0.3">
      <c r="G2269" s="26"/>
      <c r="H2269" s="26"/>
      <c r="I2269" s="26"/>
    </row>
    <row r="2270" spans="7:9" x14ac:dyDescent="0.3">
      <c r="G2270" s="26"/>
      <c r="H2270" s="26"/>
      <c r="I2270" s="26"/>
    </row>
    <row r="2271" spans="7:9" x14ac:dyDescent="0.3">
      <c r="G2271" s="26"/>
      <c r="H2271" s="26"/>
      <c r="I2271" s="26"/>
    </row>
    <row r="2272" spans="7:9" x14ac:dyDescent="0.3">
      <c r="G2272" s="26"/>
      <c r="H2272" s="26"/>
      <c r="I2272" s="26"/>
    </row>
    <row r="2273" spans="7:9" x14ac:dyDescent="0.3">
      <c r="G2273" s="26"/>
      <c r="H2273" s="26"/>
      <c r="I2273" s="26"/>
    </row>
    <row r="2274" spans="7:9" x14ac:dyDescent="0.3">
      <c r="G2274" s="26"/>
      <c r="H2274" s="26"/>
      <c r="I2274" s="26"/>
    </row>
    <row r="2275" spans="7:9" x14ac:dyDescent="0.3">
      <c r="G2275" s="26"/>
      <c r="H2275" s="26"/>
      <c r="I2275" s="26"/>
    </row>
    <row r="2276" spans="7:9" x14ac:dyDescent="0.3">
      <c r="G2276" s="26"/>
      <c r="H2276" s="26"/>
      <c r="I2276" s="26"/>
    </row>
    <row r="2277" spans="7:9" x14ac:dyDescent="0.3">
      <c r="G2277" s="26"/>
      <c r="H2277" s="26"/>
      <c r="I2277" s="26"/>
    </row>
    <row r="2278" spans="7:9" x14ac:dyDescent="0.3">
      <c r="G2278" s="26"/>
      <c r="H2278" s="26"/>
      <c r="I2278" s="26"/>
    </row>
    <row r="2279" spans="7:9" x14ac:dyDescent="0.3">
      <c r="G2279" s="26"/>
      <c r="H2279" s="26"/>
      <c r="I2279" s="26"/>
    </row>
    <row r="2280" spans="7:9" x14ac:dyDescent="0.3">
      <c r="G2280" s="26"/>
      <c r="H2280" s="26"/>
      <c r="I2280" s="26"/>
    </row>
    <row r="2281" spans="7:9" x14ac:dyDescent="0.3">
      <c r="G2281" s="26"/>
      <c r="H2281" s="26"/>
      <c r="I2281" s="26"/>
    </row>
    <row r="2282" spans="7:9" x14ac:dyDescent="0.3">
      <c r="G2282" s="26"/>
      <c r="H2282" s="26"/>
      <c r="I2282" s="26"/>
    </row>
    <row r="2283" spans="7:9" x14ac:dyDescent="0.3">
      <c r="G2283" s="26"/>
      <c r="H2283" s="26"/>
      <c r="I2283" s="26"/>
    </row>
    <row r="2284" spans="7:9" x14ac:dyDescent="0.3">
      <c r="G2284" s="26"/>
      <c r="H2284" s="26"/>
      <c r="I2284" s="26"/>
    </row>
    <row r="2285" spans="7:9" x14ac:dyDescent="0.3">
      <c r="G2285" s="26"/>
      <c r="H2285" s="26"/>
      <c r="I2285" s="26"/>
    </row>
    <row r="2286" spans="7:9" x14ac:dyDescent="0.3">
      <c r="G2286" s="26"/>
      <c r="H2286" s="26"/>
      <c r="I2286" s="26"/>
    </row>
    <row r="2287" spans="7:9" x14ac:dyDescent="0.3">
      <c r="G2287" s="26"/>
      <c r="H2287" s="26"/>
      <c r="I2287" s="26"/>
    </row>
    <row r="2288" spans="7:9" x14ac:dyDescent="0.3">
      <c r="G2288" s="26"/>
      <c r="H2288" s="26"/>
      <c r="I2288" s="26"/>
    </row>
    <row r="2289" spans="7:9" x14ac:dyDescent="0.3">
      <c r="G2289" s="26"/>
      <c r="H2289" s="26"/>
      <c r="I2289" s="26"/>
    </row>
    <row r="2290" spans="7:9" x14ac:dyDescent="0.3">
      <c r="G2290" s="26"/>
      <c r="H2290" s="26"/>
      <c r="I2290" s="26"/>
    </row>
    <row r="2291" spans="7:9" x14ac:dyDescent="0.3">
      <c r="G2291" s="26"/>
      <c r="H2291" s="26"/>
      <c r="I2291" s="26"/>
    </row>
    <row r="2292" spans="7:9" x14ac:dyDescent="0.3">
      <c r="G2292" s="26"/>
      <c r="H2292" s="26"/>
      <c r="I2292" s="26"/>
    </row>
    <row r="2293" spans="7:9" x14ac:dyDescent="0.3">
      <c r="G2293" s="26"/>
      <c r="H2293" s="26"/>
      <c r="I2293" s="26"/>
    </row>
    <row r="2294" spans="7:9" x14ac:dyDescent="0.3">
      <c r="G2294" s="26"/>
      <c r="H2294" s="26"/>
      <c r="I2294" s="26"/>
    </row>
    <row r="2295" spans="7:9" x14ac:dyDescent="0.3">
      <c r="G2295" s="26"/>
      <c r="H2295" s="26"/>
      <c r="I2295" s="26"/>
    </row>
    <row r="2296" spans="7:9" x14ac:dyDescent="0.3">
      <c r="G2296" s="26"/>
      <c r="H2296" s="26"/>
      <c r="I2296" s="26"/>
    </row>
    <row r="2297" spans="7:9" x14ac:dyDescent="0.3">
      <c r="G2297" s="26"/>
      <c r="H2297" s="26"/>
      <c r="I2297" s="26"/>
    </row>
    <row r="2298" spans="7:9" x14ac:dyDescent="0.3">
      <c r="G2298" s="26"/>
      <c r="H2298" s="26"/>
      <c r="I2298" s="26"/>
    </row>
    <row r="2299" spans="7:9" x14ac:dyDescent="0.3">
      <c r="G2299" s="26"/>
      <c r="H2299" s="26"/>
      <c r="I2299" s="26"/>
    </row>
    <row r="2300" spans="7:9" x14ac:dyDescent="0.3">
      <c r="G2300" s="26"/>
      <c r="H2300" s="26"/>
      <c r="I2300" s="26"/>
    </row>
    <row r="2301" spans="7:9" x14ac:dyDescent="0.3">
      <c r="G2301" s="26"/>
      <c r="H2301" s="26"/>
      <c r="I2301" s="26"/>
    </row>
    <row r="2302" spans="7:9" x14ac:dyDescent="0.3">
      <c r="G2302" s="26"/>
      <c r="H2302" s="26"/>
      <c r="I2302" s="26"/>
    </row>
    <row r="2303" spans="7:9" x14ac:dyDescent="0.3">
      <c r="G2303" s="26"/>
      <c r="H2303" s="26"/>
      <c r="I2303" s="26"/>
    </row>
    <row r="2304" spans="7:9" x14ac:dyDescent="0.3">
      <c r="G2304" s="26"/>
      <c r="H2304" s="26"/>
      <c r="I2304" s="26"/>
    </row>
    <row r="2305" spans="7:9" x14ac:dyDescent="0.3">
      <c r="G2305" s="26"/>
      <c r="H2305" s="26"/>
      <c r="I2305" s="26"/>
    </row>
    <row r="2306" spans="7:9" x14ac:dyDescent="0.3">
      <c r="G2306" s="26"/>
      <c r="H2306" s="26"/>
      <c r="I2306" s="26"/>
    </row>
    <row r="2307" spans="7:9" x14ac:dyDescent="0.3">
      <c r="G2307" s="26"/>
      <c r="H2307" s="26"/>
      <c r="I2307" s="26"/>
    </row>
    <row r="2308" spans="7:9" x14ac:dyDescent="0.3">
      <c r="G2308" s="26"/>
      <c r="H2308" s="26"/>
      <c r="I2308" s="26"/>
    </row>
    <row r="2309" spans="7:9" x14ac:dyDescent="0.3">
      <c r="G2309" s="26"/>
      <c r="H2309" s="26"/>
      <c r="I2309" s="26"/>
    </row>
    <row r="2310" spans="7:9" x14ac:dyDescent="0.3">
      <c r="G2310" s="26"/>
      <c r="H2310" s="26"/>
      <c r="I2310" s="26"/>
    </row>
    <row r="2311" spans="7:9" x14ac:dyDescent="0.3">
      <c r="G2311" s="26"/>
      <c r="H2311" s="26"/>
      <c r="I2311" s="26"/>
    </row>
    <row r="2312" spans="7:9" x14ac:dyDescent="0.3">
      <c r="G2312" s="26"/>
      <c r="H2312" s="26"/>
      <c r="I2312" s="26"/>
    </row>
    <row r="2313" spans="7:9" x14ac:dyDescent="0.3">
      <c r="G2313" s="26"/>
      <c r="H2313" s="26"/>
      <c r="I2313" s="26"/>
    </row>
    <row r="2314" spans="7:9" x14ac:dyDescent="0.3">
      <c r="G2314" s="26"/>
      <c r="H2314" s="26"/>
      <c r="I2314" s="26"/>
    </row>
    <row r="2315" spans="7:9" x14ac:dyDescent="0.3">
      <c r="G2315" s="26"/>
      <c r="H2315" s="26"/>
      <c r="I2315" s="26"/>
    </row>
    <row r="2316" spans="7:9" x14ac:dyDescent="0.3">
      <c r="G2316" s="26"/>
      <c r="H2316" s="26"/>
      <c r="I2316" s="26"/>
    </row>
    <row r="2317" spans="7:9" x14ac:dyDescent="0.3">
      <c r="G2317" s="26"/>
      <c r="H2317" s="26"/>
      <c r="I2317" s="26"/>
    </row>
    <row r="2318" spans="7:9" x14ac:dyDescent="0.3">
      <c r="G2318" s="26"/>
      <c r="H2318" s="26"/>
      <c r="I2318" s="26"/>
    </row>
    <row r="2319" spans="7:9" x14ac:dyDescent="0.3">
      <c r="G2319" s="26"/>
      <c r="H2319" s="26"/>
      <c r="I2319" s="26"/>
    </row>
    <row r="2320" spans="7:9" x14ac:dyDescent="0.3">
      <c r="G2320" s="26"/>
      <c r="H2320" s="26"/>
      <c r="I2320" s="26"/>
    </row>
    <row r="2321" spans="7:9" x14ac:dyDescent="0.3">
      <c r="G2321" s="26"/>
      <c r="H2321" s="26"/>
      <c r="I2321" s="26"/>
    </row>
    <row r="2322" spans="7:9" x14ac:dyDescent="0.3">
      <c r="G2322" s="26"/>
      <c r="H2322" s="26"/>
      <c r="I2322" s="26"/>
    </row>
    <row r="2323" spans="7:9" x14ac:dyDescent="0.3">
      <c r="G2323" s="26"/>
      <c r="H2323" s="26"/>
      <c r="I2323" s="26"/>
    </row>
    <row r="2324" spans="7:9" x14ac:dyDescent="0.3">
      <c r="G2324" s="26"/>
      <c r="H2324" s="26"/>
      <c r="I2324" s="26"/>
    </row>
    <row r="2325" spans="7:9" x14ac:dyDescent="0.3">
      <c r="G2325" s="26"/>
      <c r="H2325" s="26"/>
      <c r="I2325" s="26"/>
    </row>
    <row r="2326" spans="7:9" x14ac:dyDescent="0.3">
      <c r="G2326" s="26"/>
      <c r="H2326" s="26"/>
      <c r="I2326" s="26"/>
    </row>
    <row r="2327" spans="7:9" x14ac:dyDescent="0.3">
      <c r="G2327" s="26"/>
      <c r="H2327" s="26"/>
      <c r="I2327" s="26"/>
    </row>
    <row r="2328" spans="7:9" x14ac:dyDescent="0.3">
      <c r="G2328" s="26"/>
      <c r="H2328" s="26"/>
      <c r="I2328" s="26"/>
    </row>
    <row r="2329" spans="7:9" x14ac:dyDescent="0.3">
      <c r="G2329" s="26"/>
      <c r="H2329" s="26"/>
      <c r="I2329" s="26"/>
    </row>
    <row r="2330" spans="7:9" x14ac:dyDescent="0.3">
      <c r="G2330" s="26"/>
      <c r="H2330" s="26"/>
      <c r="I2330" s="26"/>
    </row>
    <row r="2331" spans="7:9" x14ac:dyDescent="0.3">
      <c r="G2331" s="26"/>
      <c r="H2331" s="26"/>
      <c r="I2331" s="26"/>
    </row>
    <row r="2332" spans="7:9" x14ac:dyDescent="0.3">
      <c r="G2332" s="26"/>
      <c r="H2332" s="26"/>
      <c r="I2332" s="26"/>
    </row>
    <row r="2333" spans="7:9" x14ac:dyDescent="0.3">
      <c r="G2333" s="26"/>
      <c r="H2333" s="26"/>
      <c r="I2333" s="26"/>
    </row>
    <row r="2334" spans="7:9" x14ac:dyDescent="0.3">
      <c r="G2334" s="26"/>
      <c r="H2334" s="26"/>
      <c r="I2334" s="26"/>
    </row>
    <row r="2335" spans="7:9" x14ac:dyDescent="0.3">
      <c r="G2335" s="26"/>
      <c r="H2335" s="26"/>
      <c r="I2335" s="26"/>
    </row>
    <row r="2336" spans="7:9" x14ac:dyDescent="0.3">
      <c r="G2336" s="26"/>
      <c r="H2336" s="26"/>
      <c r="I2336" s="26"/>
    </row>
    <row r="2337" spans="7:9" x14ac:dyDescent="0.3">
      <c r="G2337" s="26"/>
      <c r="H2337" s="26"/>
      <c r="I2337" s="26"/>
    </row>
    <row r="2338" spans="7:9" x14ac:dyDescent="0.3">
      <c r="G2338" s="26"/>
      <c r="H2338" s="26"/>
      <c r="I2338" s="26"/>
    </row>
    <row r="2339" spans="7:9" x14ac:dyDescent="0.3">
      <c r="G2339" s="26"/>
      <c r="H2339" s="26"/>
      <c r="I2339" s="26"/>
    </row>
    <row r="2340" spans="7:9" x14ac:dyDescent="0.3">
      <c r="G2340" s="26"/>
      <c r="H2340" s="26"/>
      <c r="I2340" s="26"/>
    </row>
    <row r="2341" spans="7:9" x14ac:dyDescent="0.3">
      <c r="G2341" s="26"/>
      <c r="H2341" s="26"/>
      <c r="I2341" s="26"/>
    </row>
    <row r="2342" spans="7:9" x14ac:dyDescent="0.3">
      <c r="G2342" s="26"/>
      <c r="H2342" s="26"/>
      <c r="I2342" s="26"/>
    </row>
    <row r="2343" spans="7:9" x14ac:dyDescent="0.3">
      <c r="G2343" s="26"/>
      <c r="H2343" s="26"/>
      <c r="I2343" s="26"/>
    </row>
    <row r="2344" spans="7:9" x14ac:dyDescent="0.3">
      <c r="G2344" s="26"/>
      <c r="H2344" s="26"/>
      <c r="I2344" s="26"/>
    </row>
    <row r="2345" spans="7:9" x14ac:dyDescent="0.3">
      <c r="G2345" s="26"/>
      <c r="H2345" s="26"/>
      <c r="I2345" s="26"/>
    </row>
    <row r="2346" spans="7:9" x14ac:dyDescent="0.3">
      <c r="G2346" s="26"/>
      <c r="H2346" s="26"/>
      <c r="I2346" s="26"/>
    </row>
    <row r="2347" spans="7:9" x14ac:dyDescent="0.3">
      <c r="G2347" s="26"/>
      <c r="H2347" s="26"/>
      <c r="I2347" s="26"/>
    </row>
    <row r="2348" spans="7:9" x14ac:dyDescent="0.3">
      <c r="G2348" s="26"/>
      <c r="H2348" s="26"/>
      <c r="I2348" s="26"/>
    </row>
    <row r="2349" spans="7:9" x14ac:dyDescent="0.3">
      <c r="G2349" s="26"/>
      <c r="H2349" s="26"/>
      <c r="I2349" s="26"/>
    </row>
    <row r="2350" spans="7:9" x14ac:dyDescent="0.3">
      <c r="G2350" s="26"/>
      <c r="H2350" s="26"/>
      <c r="I2350" s="26"/>
    </row>
    <row r="2351" spans="7:9" x14ac:dyDescent="0.3">
      <c r="G2351" s="26"/>
      <c r="H2351" s="26"/>
      <c r="I2351" s="26"/>
    </row>
    <row r="2352" spans="7:9" x14ac:dyDescent="0.3">
      <c r="G2352" s="26"/>
      <c r="H2352" s="26"/>
      <c r="I2352" s="26"/>
    </row>
    <row r="2353" spans="7:9" x14ac:dyDescent="0.3">
      <c r="G2353" s="26"/>
      <c r="H2353" s="26"/>
      <c r="I2353" s="26"/>
    </row>
    <row r="2354" spans="7:9" x14ac:dyDescent="0.3">
      <c r="G2354" s="26"/>
      <c r="H2354" s="26"/>
      <c r="I2354" s="26"/>
    </row>
    <row r="2355" spans="7:9" x14ac:dyDescent="0.3">
      <c r="G2355" s="26"/>
      <c r="H2355" s="26"/>
      <c r="I2355" s="26"/>
    </row>
    <row r="2356" spans="7:9" x14ac:dyDescent="0.3">
      <c r="G2356" s="26"/>
      <c r="H2356" s="26"/>
      <c r="I2356" s="26"/>
    </row>
    <row r="2357" spans="7:9" x14ac:dyDescent="0.3">
      <c r="G2357" s="26"/>
      <c r="H2357" s="26"/>
      <c r="I2357" s="26"/>
    </row>
    <row r="2358" spans="7:9" x14ac:dyDescent="0.3">
      <c r="G2358" s="26"/>
      <c r="H2358" s="26"/>
      <c r="I2358" s="26"/>
    </row>
    <row r="2359" spans="7:9" x14ac:dyDescent="0.3">
      <c r="G2359" s="26"/>
      <c r="H2359" s="26"/>
      <c r="I2359" s="26"/>
    </row>
    <row r="2360" spans="7:9" x14ac:dyDescent="0.3">
      <c r="G2360" s="26"/>
      <c r="H2360" s="26"/>
      <c r="I2360" s="26"/>
    </row>
    <row r="2361" spans="7:9" x14ac:dyDescent="0.3">
      <c r="G2361" s="26"/>
      <c r="H2361" s="26"/>
      <c r="I2361" s="26"/>
    </row>
    <row r="2362" spans="7:9" x14ac:dyDescent="0.3">
      <c r="G2362" s="26"/>
      <c r="H2362" s="26"/>
      <c r="I2362" s="26"/>
    </row>
    <row r="2363" spans="7:9" x14ac:dyDescent="0.3">
      <c r="G2363" s="26"/>
      <c r="H2363" s="26"/>
      <c r="I2363" s="26"/>
    </row>
    <row r="2364" spans="7:9" x14ac:dyDescent="0.3">
      <c r="G2364" s="26"/>
      <c r="H2364" s="26"/>
      <c r="I2364" s="26"/>
    </row>
    <row r="2365" spans="7:9" x14ac:dyDescent="0.3">
      <c r="G2365" s="26"/>
      <c r="H2365" s="26"/>
      <c r="I2365" s="26"/>
    </row>
    <row r="2366" spans="7:9" x14ac:dyDescent="0.3">
      <c r="G2366" s="26"/>
      <c r="H2366" s="26"/>
      <c r="I2366" s="26"/>
    </row>
    <row r="2367" spans="7:9" x14ac:dyDescent="0.3">
      <c r="G2367" s="26"/>
      <c r="H2367" s="26"/>
      <c r="I2367" s="26"/>
    </row>
    <row r="2368" spans="7:9" x14ac:dyDescent="0.3">
      <c r="G2368" s="26"/>
      <c r="H2368" s="26"/>
      <c r="I2368" s="26"/>
    </row>
    <row r="2369" spans="7:9" x14ac:dyDescent="0.3">
      <c r="G2369" s="26"/>
      <c r="H2369" s="26"/>
      <c r="I2369" s="26"/>
    </row>
    <row r="2370" spans="7:9" x14ac:dyDescent="0.3">
      <c r="G2370" s="26"/>
      <c r="H2370" s="26"/>
      <c r="I2370" s="26"/>
    </row>
    <row r="2371" spans="7:9" x14ac:dyDescent="0.3">
      <c r="G2371" s="26"/>
      <c r="H2371" s="26"/>
      <c r="I2371" s="26"/>
    </row>
    <row r="2372" spans="7:9" x14ac:dyDescent="0.3">
      <c r="G2372" s="26"/>
      <c r="H2372" s="26"/>
      <c r="I2372" s="26"/>
    </row>
    <row r="2373" spans="7:9" x14ac:dyDescent="0.3">
      <c r="G2373" s="26"/>
      <c r="H2373" s="26"/>
      <c r="I2373" s="26"/>
    </row>
    <row r="2374" spans="7:9" x14ac:dyDescent="0.3">
      <c r="G2374" s="26"/>
      <c r="H2374" s="26"/>
      <c r="I2374" s="26"/>
    </row>
    <row r="2375" spans="7:9" x14ac:dyDescent="0.3">
      <c r="G2375" s="26"/>
      <c r="H2375" s="26"/>
      <c r="I2375" s="26"/>
    </row>
    <row r="2376" spans="7:9" x14ac:dyDescent="0.3">
      <c r="G2376" s="26"/>
      <c r="H2376" s="26"/>
      <c r="I2376" s="26"/>
    </row>
    <row r="2377" spans="7:9" x14ac:dyDescent="0.3">
      <c r="G2377" s="26"/>
      <c r="H2377" s="26"/>
      <c r="I2377" s="26"/>
    </row>
    <row r="2378" spans="7:9" x14ac:dyDescent="0.3">
      <c r="G2378" s="26"/>
      <c r="H2378" s="26"/>
      <c r="I2378" s="26"/>
    </row>
    <row r="2379" spans="7:9" x14ac:dyDescent="0.3">
      <c r="G2379" s="26"/>
      <c r="H2379" s="26"/>
      <c r="I2379" s="26"/>
    </row>
    <row r="2380" spans="7:9" x14ac:dyDescent="0.3">
      <c r="G2380" s="26"/>
      <c r="H2380" s="26"/>
      <c r="I2380" s="26"/>
    </row>
    <row r="2381" spans="7:9" x14ac:dyDescent="0.3">
      <c r="G2381" s="26"/>
      <c r="H2381" s="26"/>
      <c r="I2381" s="26"/>
    </row>
    <row r="2382" spans="7:9" x14ac:dyDescent="0.3">
      <c r="G2382" s="26"/>
      <c r="H2382" s="26"/>
      <c r="I2382" s="26"/>
    </row>
    <row r="2383" spans="7:9" x14ac:dyDescent="0.3">
      <c r="G2383" s="26"/>
      <c r="H2383" s="26"/>
      <c r="I2383" s="26"/>
    </row>
    <row r="2384" spans="7:9" x14ac:dyDescent="0.3">
      <c r="G2384" s="26"/>
      <c r="H2384" s="26"/>
      <c r="I2384" s="26"/>
    </row>
    <row r="2385" spans="7:9" x14ac:dyDescent="0.3">
      <c r="G2385" s="26"/>
      <c r="H2385" s="26"/>
      <c r="I2385" s="26"/>
    </row>
    <row r="2386" spans="7:9" x14ac:dyDescent="0.3">
      <c r="G2386" s="26"/>
      <c r="H2386" s="26"/>
      <c r="I2386" s="26"/>
    </row>
    <row r="2387" spans="7:9" x14ac:dyDescent="0.3">
      <c r="G2387" s="26"/>
      <c r="H2387" s="26"/>
      <c r="I2387" s="26"/>
    </row>
    <row r="2388" spans="7:9" x14ac:dyDescent="0.3">
      <c r="G2388" s="26"/>
      <c r="H2388" s="26"/>
      <c r="I2388" s="26"/>
    </row>
    <row r="2389" spans="7:9" x14ac:dyDescent="0.3">
      <c r="G2389" s="26"/>
      <c r="H2389" s="26"/>
      <c r="I2389" s="26"/>
    </row>
    <row r="2390" spans="7:9" x14ac:dyDescent="0.3">
      <c r="G2390" s="26"/>
      <c r="H2390" s="26"/>
      <c r="I2390" s="26"/>
    </row>
    <row r="2391" spans="7:9" x14ac:dyDescent="0.3">
      <c r="G2391" s="26"/>
      <c r="H2391" s="26"/>
      <c r="I2391" s="26"/>
    </row>
    <row r="2392" spans="7:9" x14ac:dyDescent="0.3">
      <c r="G2392" s="26"/>
      <c r="H2392" s="26"/>
      <c r="I2392" s="26"/>
    </row>
    <row r="2393" spans="7:9" x14ac:dyDescent="0.3">
      <c r="G2393" s="26"/>
      <c r="H2393" s="26"/>
      <c r="I2393" s="26"/>
    </row>
    <row r="2394" spans="7:9" x14ac:dyDescent="0.3">
      <c r="G2394" s="26"/>
      <c r="H2394" s="26"/>
      <c r="I2394" s="26"/>
    </row>
    <row r="2395" spans="7:9" x14ac:dyDescent="0.3">
      <c r="G2395" s="26"/>
      <c r="H2395" s="26"/>
      <c r="I2395" s="26"/>
    </row>
    <row r="2396" spans="7:9" x14ac:dyDescent="0.3">
      <c r="G2396" s="26"/>
      <c r="H2396" s="26"/>
      <c r="I2396" s="26"/>
    </row>
    <row r="2397" spans="7:9" x14ac:dyDescent="0.3">
      <c r="G2397" s="26"/>
      <c r="H2397" s="26"/>
      <c r="I2397" s="26"/>
    </row>
    <row r="2398" spans="7:9" x14ac:dyDescent="0.3">
      <c r="G2398" s="26"/>
      <c r="H2398" s="26"/>
      <c r="I2398" s="26"/>
    </row>
    <row r="2399" spans="7:9" x14ac:dyDescent="0.3">
      <c r="G2399" s="26"/>
      <c r="H2399" s="26"/>
      <c r="I2399" s="26"/>
    </row>
    <row r="2400" spans="7:9" x14ac:dyDescent="0.3">
      <c r="G2400" s="26"/>
      <c r="H2400" s="26"/>
      <c r="I2400" s="26"/>
    </row>
    <row r="2401" spans="7:9" x14ac:dyDescent="0.3">
      <c r="G2401" s="26"/>
      <c r="H2401" s="26"/>
      <c r="I2401" s="26"/>
    </row>
    <row r="2402" spans="7:9" x14ac:dyDescent="0.3">
      <c r="G2402" s="26"/>
      <c r="H2402" s="26"/>
      <c r="I2402" s="26"/>
    </row>
    <row r="2403" spans="7:9" x14ac:dyDescent="0.3">
      <c r="G2403" s="26"/>
      <c r="H2403" s="26"/>
      <c r="I2403" s="26"/>
    </row>
    <row r="2404" spans="7:9" x14ac:dyDescent="0.3">
      <c r="G2404" s="26"/>
      <c r="H2404" s="26"/>
      <c r="I2404" s="26"/>
    </row>
    <row r="2405" spans="7:9" x14ac:dyDescent="0.3">
      <c r="G2405" s="26"/>
      <c r="H2405" s="26"/>
      <c r="I2405" s="26"/>
    </row>
    <row r="2406" spans="7:9" x14ac:dyDescent="0.3">
      <c r="G2406" s="26"/>
      <c r="H2406" s="26"/>
      <c r="I2406" s="26"/>
    </row>
    <row r="2407" spans="7:9" x14ac:dyDescent="0.3">
      <c r="G2407" s="26"/>
      <c r="H2407" s="26"/>
      <c r="I2407" s="26"/>
    </row>
    <row r="2408" spans="7:9" x14ac:dyDescent="0.3">
      <c r="G2408" s="26"/>
      <c r="H2408" s="26"/>
      <c r="I2408" s="26"/>
    </row>
    <row r="2409" spans="7:9" x14ac:dyDescent="0.3">
      <c r="G2409" s="26"/>
      <c r="H2409" s="26"/>
      <c r="I2409" s="26"/>
    </row>
    <row r="2410" spans="7:9" x14ac:dyDescent="0.3">
      <c r="G2410" s="26"/>
      <c r="H2410" s="26"/>
      <c r="I2410" s="26"/>
    </row>
    <row r="2411" spans="7:9" x14ac:dyDescent="0.3">
      <c r="G2411" s="26"/>
      <c r="H2411" s="26"/>
      <c r="I2411" s="26"/>
    </row>
    <row r="2412" spans="7:9" x14ac:dyDescent="0.3">
      <c r="G2412" s="26"/>
      <c r="H2412" s="26"/>
      <c r="I2412" s="26"/>
    </row>
    <row r="2413" spans="7:9" x14ac:dyDescent="0.3">
      <c r="G2413" s="26"/>
      <c r="H2413" s="26"/>
      <c r="I2413" s="26"/>
    </row>
    <row r="2414" spans="7:9" x14ac:dyDescent="0.3">
      <c r="G2414" s="26"/>
      <c r="H2414" s="26"/>
      <c r="I2414" s="26"/>
    </row>
    <row r="2415" spans="7:9" x14ac:dyDescent="0.3">
      <c r="G2415" s="26"/>
      <c r="H2415" s="26"/>
      <c r="I2415" s="26"/>
    </row>
    <row r="2416" spans="7:9" x14ac:dyDescent="0.3">
      <c r="G2416" s="26"/>
      <c r="H2416" s="26"/>
      <c r="I2416" s="26"/>
    </row>
    <row r="2417" spans="7:9" x14ac:dyDescent="0.3">
      <c r="G2417" s="26"/>
      <c r="H2417" s="26"/>
      <c r="I2417" s="26"/>
    </row>
    <row r="2418" spans="7:9" x14ac:dyDescent="0.3">
      <c r="G2418" s="26"/>
      <c r="H2418" s="26"/>
      <c r="I2418" s="26"/>
    </row>
    <row r="2419" spans="7:9" x14ac:dyDescent="0.3">
      <c r="G2419" s="26"/>
      <c r="H2419" s="26"/>
      <c r="I2419" s="26"/>
    </row>
    <row r="2420" spans="7:9" x14ac:dyDescent="0.3">
      <c r="G2420" s="26"/>
      <c r="H2420" s="26"/>
      <c r="I2420" s="26"/>
    </row>
    <row r="2421" spans="7:9" x14ac:dyDescent="0.3">
      <c r="G2421" s="26"/>
      <c r="H2421" s="26"/>
      <c r="I2421" s="26"/>
    </row>
    <row r="2422" spans="7:9" x14ac:dyDescent="0.3">
      <c r="G2422" s="26"/>
      <c r="H2422" s="26"/>
      <c r="I2422" s="26"/>
    </row>
    <row r="2423" spans="7:9" x14ac:dyDescent="0.3">
      <c r="G2423" s="26"/>
      <c r="H2423" s="26"/>
      <c r="I2423" s="26"/>
    </row>
    <row r="2424" spans="7:9" x14ac:dyDescent="0.3">
      <c r="G2424" s="26"/>
      <c r="H2424" s="26"/>
      <c r="I2424" s="26"/>
    </row>
    <row r="2425" spans="7:9" x14ac:dyDescent="0.3">
      <c r="G2425" s="26"/>
      <c r="H2425" s="26"/>
      <c r="I2425" s="26"/>
    </row>
    <row r="2426" spans="7:9" x14ac:dyDescent="0.3">
      <c r="G2426" s="26"/>
      <c r="H2426" s="26"/>
      <c r="I2426" s="26"/>
    </row>
    <row r="2427" spans="7:9" x14ac:dyDescent="0.3">
      <c r="G2427" s="26"/>
      <c r="H2427" s="26"/>
      <c r="I2427" s="26"/>
    </row>
    <row r="2428" spans="7:9" x14ac:dyDescent="0.3">
      <c r="G2428" s="26"/>
      <c r="H2428" s="26"/>
      <c r="I2428" s="26"/>
    </row>
    <row r="2429" spans="7:9" x14ac:dyDescent="0.3">
      <c r="G2429" s="26"/>
      <c r="H2429" s="26"/>
      <c r="I2429" s="26"/>
    </row>
    <row r="2430" spans="7:9" x14ac:dyDescent="0.3">
      <c r="G2430" s="26"/>
      <c r="H2430" s="26"/>
      <c r="I2430" s="26"/>
    </row>
    <row r="2431" spans="7:9" x14ac:dyDescent="0.3">
      <c r="G2431" s="26"/>
      <c r="H2431" s="26"/>
      <c r="I2431" s="26"/>
    </row>
    <row r="2432" spans="7:9" x14ac:dyDescent="0.3">
      <c r="G2432" s="26"/>
      <c r="H2432" s="26"/>
      <c r="I2432" s="26"/>
    </row>
    <row r="2433" spans="7:9" x14ac:dyDescent="0.3">
      <c r="G2433" s="26"/>
      <c r="H2433" s="26"/>
      <c r="I2433" s="26"/>
    </row>
    <row r="2434" spans="7:9" x14ac:dyDescent="0.3">
      <c r="G2434" s="26"/>
      <c r="H2434" s="26"/>
      <c r="I2434" s="26"/>
    </row>
    <row r="2435" spans="7:9" x14ac:dyDescent="0.3">
      <c r="G2435" s="26"/>
      <c r="H2435" s="26"/>
      <c r="I2435" s="26"/>
    </row>
    <row r="2436" spans="7:9" x14ac:dyDescent="0.3">
      <c r="G2436" s="26"/>
      <c r="H2436" s="26"/>
      <c r="I2436" s="26"/>
    </row>
    <row r="2437" spans="7:9" x14ac:dyDescent="0.3">
      <c r="G2437" s="26"/>
      <c r="H2437" s="26"/>
      <c r="I2437" s="26"/>
    </row>
    <row r="2438" spans="7:9" x14ac:dyDescent="0.3">
      <c r="G2438" s="26"/>
      <c r="H2438" s="26"/>
      <c r="I2438" s="26"/>
    </row>
    <row r="2439" spans="7:9" x14ac:dyDescent="0.3">
      <c r="G2439" s="26"/>
      <c r="H2439" s="26"/>
      <c r="I2439" s="26"/>
    </row>
    <row r="2440" spans="7:9" x14ac:dyDescent="0.3">
      <c r="G2440" s="26"/>
      <c r="H2440" s="26"/>
      <c r="I2440" s="26"/>
    </row>
    <row r="2441" spans="7:9" x14ac:dyDescent="0.3">
      <c r="G2441" s="26"/>
      <c r="H2441" s="26"/>
      <c r="I2441" s="26"/>
    </row>
    <row r="2442" spans="7:9" x14ac:dyDescent="0.3">
      <c r="G2442" s="26"/>
      <c r="H2442" s="26"/>
      <c r="I2442" s="26"/>
    </row>
    <row r="2443" spans="7:9" x14ac:dyDescent="0.3">
      <c r="G2443" s="26"/>
      <c r="H2443" s="26"/>
      <c r="I2443" s="26"/>
    </row>
    <row r="2444" spans="7:9" x14ac:dyDescent="0.3">
      <c r="G2444" s="26"/>
      <c r="H2444" s="26"/>
      <c r="I2444" s="26"/>
    </row>
    <row r="2445" spans="7:9" x14ac:dyDescent="0.3">
      <c r="G2445" s="26"/>
      <c r="H2445" s="26"/>
      <c r="I2445" s="26"/>
    </row>
    <row r="2446" spans="7:9" x14ac:dyDescent="0.3">
      <c r="G2446" s="26"/>
      <c r="H2446" s="26"/>
      <c r="I2446" s="26"/>
    </row>
    <row r="2447" spans="7:9" x14ac:dyDescent="0.3">
      <c r="G2447" s="26"/>
      <c r="H2447" s="26"/>
      <c r="I2447" s="26"/>
    </row>
    <row r="2448" spans="7:9" x14ac:dyDescent="0.3">
      <c r="G2448" s="26"/>
      <c r="H2448" s="26"/>
      <c r="I2448" s="26"/>
    </row>
    <row r="2449" spans="7:9" x14ac:dyDescent="0.3">
      <c r="G2449" s="26"/>
      <c r="H2449" s="26"/>
      <c r="I2449" s="26"/>
    </row>
    <row r="2450" spans="7:9" x14ac:dyDescent="0.3">
      <c r="G2450" s="26"/>
      <c r="H2450" s="26"/>
      <c r="I2450" s="26"/>
    </row>
    <row r="2451" spans="7:9" x14ac:dyDescent="0.3">
      <c r="G2451" s="26"/>
      <c r="H2451" s="26"/>
      <c r="I2451" s="26"/>
    </row>
    <row r="2452" spans="7:9" x14ac:dyDescent="0.3">
      <c r="G2452" s="26"/>
      <c r="H2452" s="26"/>
      <c r="I2452" s="26"/>
    </row>
    <row r="2453" spans="7:9" x14ac:dyDescent="0.3">
      <c r="G2453" s="26"/>
      <c r="H2453" s="26"/>
      <c r="I2453" s="26"/>
    </row>
    <row r="2454" spans="7:9" x14ac:dyDescent="0.3">
      <c r="G2454" s="26"/>
      <c r="H2454" s="26"/>
      <c r="I2454" s="26"/>
    </row>
    <row r="2455" spans="7:9" x14ac:dyDescent="0.3">
      <c r="G2455" s="26"/>
      <c r="H2455" s="26"/>
      <c r="I2455" s="26"/>
    </row>
    <row r="2456" spans="7:9" x14ac:dyDescent="0.3">
      <c r="G2456" s="26"/>
      <c r="H2456" s="26"/>
      <c r="I2456" s="26"/>
    </row>
    <row r="2457" spans="7:9" x14ac:dyDescent="0.3">
      <c r="G2457" s="26"/>
      <c r="H2457" s="26"/>
      <c r="I2457" s="26"/>
    </row>
    <row r="2458" spans="7:9" x14ac:dyDescent="0.3">
      <c r="G2458" s="26"/>
      <c r="H2458" s="26"/>
      <c r="I2458" s="26"/>
    </row>
    <row r="2459" spans="7:9" x14ac:dyDescent="0.3">
      <c r="G2459" s="26"/>
      <c r="H2459" s="26"/>
      <c r="I2459" s="26"/>
    </row>
    <row r="2460" spans="7:9" x14ac:dyDescent="0.3">
      <c r="G2460" s="26"/>
      <c r="H2460" s="26"/>
      <c r="I2460" s="26"/>
    </row>
    <row r="2461" spans="7:9" x14ac:dyDescent="0.3">
      <c r="G2461" s="26"/>
      <c r="H2461" s="26"/>
      <c r="I2461" s="26"/>
    </row>
    <row r="2462" spans="7:9" x14ac:dyDescent="0.3">
      <c r="G2462" s="26"/>
      <c r="H2462" s="26"/>
      <c r="I2462" s="26"/>
    </row>
    <row r="2463" spans="7:9" x14ac:dyDescent="0.3">
      <c r="G2463" s="26"/>
      <c r="H2463" s="26"/>
      <c r="I2463" s="26"/>
    </row>
    <row r="2464" spans="7:9" x14ac:dyDescent="0.3">
      <c r="G2464" s="26"/>
      <c r="H2464" s="26"/>
      <c r="I2464" s="26"/>
    </row>
    <row r="2465" spans="7:9" x14ac:dyDescent="0.3">
      <c r="G2465" s="26"/>
      <c r="H2465" s="26"/>
      <c r="I2465" s="26"/>
    </row>
    <row r="2466" spans="7:9" x14ac:dyDescent="0.3">
      <c r="G2466" s="26"/>
      <c r="H2466" s="26"/>
      <c r="I2466" s="26"/>
    </row>
    <row r="2467" spans="7:9" x14ac:dyDescent="0.3">
      <c r="G2467" s="26"/>
      <c r="H2467" s="26"/>
      <c r="I2467" s="26"/>
    </row>
    <row r="2468" spans="7:9" x14ac:dyDescent="0.3">
      <c r="G2468" s="26"/>
      <c r="H2468" s="26"/>
      <c r="I2468" s="26"/>
    </row>
    <row r="2469" spans="7:9" x14ac:dyDescent="0.3">
      <c r="G2469" s="26"/>
      <c r="H2469" s="26"/>
      <c r="I2469" s="26"/>
    </row>
    <row r="2470" spans="7:9" x14ac:dyDescent="0.3">
      <c r="G2470" s="26"/>
      <c r="H2470" s="26"/>
      <c r="I2470" s="26"/>
    </row>
    <row r="2471" spans="7:9" x14ac:dyDescent="0.3">
      <c r="G2471" s="26"/>
      <c r="H2471" s="26"/>
      <c r="I2471" s="26"/>
    </row>
    <row r="2472" spans="7:9" x14ac:dyDescent="0.3">
      <c r="G2472" s="26"/>
      <c r="H2472" s="26"/>
      <c r="I2472" s="26"/>
    </row>
    <row r="2473" spans="7:9" x14ac:dyDescent="0.3">
      <c r="G2473" s="26"/>
      <c r="H2473" s="26"/>
      <c r="I2473" s="26"/>
    </row>
    <row r="2474" spans="7:9" x14ac:dyDescent="0.3">
      <c r="G2474" s="26"/>
      <c r="H2474" s="26"/>
      <c r="I2474" s="26"/>
    </row>
    <row r="2475" spans="7:9" x14ac:dyDescent="0.3">
      <c r="G2475" s="26"/>
      <c r="H2475" s="26"/>
      <c r="I2475" s="26"/>
    </row>
    <row r="2476" spans="7:9" x14ac:dyDescent="0.3">
      <c r="G2476" s="26"/>
      <c r="H2476" s="26"/>
      <c r="I2476" s="26"/>
    </row>
    <row r="2477" spans="7:9" x14ac:dyDescent="0.3">
      <c r="G2477" s="26"/>
      <c r="H2477" s="26"/>
      <c r="I2477" s="26"/>
    </row>
    <row r="2478" spans="7:9" x14ac:dyDescent="0.3">
      <c r="G2478" s="26"/>
      <c r="H2478" s="26"/>
      <c r="I2478" s="26"/>
    </row>
    <row r="2479" spans="7:9" x14ac:dyDescent="0.3">
      <c r="G2479" s="26"/>
      <c r="H2479" s="26"/>
      <c r="I2479" s="26"/>
    </row>
    <row r="2480" spans="7:9" x14ac:dyDescent="0.3">
      <c r="G2480" s="26"/>
      <c r="H2480" s="26"/>
      <c r="I2480" s="26"/>
    </row>
    <row r="2481" spans="7:9" x14ac:dyDescent="0.3">
      <c r="G2481" s="26"/>
      <c r="H2481" s="26"/>
      <c r="I2481" s="26"/>
    </row>
    <row r="2482" spans="7:9" x14ac:dyDescent="0.3">
      <c r="G2482" s="26"/>
      <c r="H2482" s="26"/>
      <c r="I2482" s="26"/>
    </row>
    <row r="2483" spans="7:9" x14ac:dyDescent="0.3">
      <c r="G2483" s="26"/>
      <c r="H2483" s="26"/>
      <c r="I2483" s="26"/>
    </row>
    <row r="2484" spans="7:9" x14ac:dyDescent="0.3">
      <c r="G2484" s="26"/>
      <c r="H2484" s="26"/>
      <c r="I2484" s="26"/>
    </row>
    <row r="2485" spans="7:9" x14ac:dyDescent="0.3">
      <c r="G2485" s="26"/>
      <c r="H2485" s="26"/>
      <c r="I2485" s="26"/>
    </row>
    <row r="2486" spans="7:9" x14ac:dyDescent="0.3">
      <c r="G2486" s="26"/>
      <c r="H2486" s="26"/>
      <c r="I2486" s="26"/>
    </row>
    <row r="2487" spans="7:9" x14ac:dyDescent="0.3">
      <c r="G2487" s="26"/>
      <c r="H2487" s="26"/>
      <c r="I2487" s="26"/>
    </row>
    <row r="2488" spans="7:9" x14ac:dyDescent="0.3">
      <c r="G2488" s="26"/>
      <c r="H2488" s="26"/>
      <c r="I2488" s="26"/>
    </row>
    <row r="2489" spans="7:9" x14ac:dyDescent="0.3">
      <c r="G2489" s="26"/>
      <c r="H2489" s="26"/>
      <c r="I2489" s="26"/>
    </row>
    <row r="2490" spans="7:9" x14ac:dyDescent="0.3">
      <c r="G2490" s="26"/>
      <c r="H2490" s="26"/>
      <c r="I2490" s="26"/>
    </row>
    <row r="2491" spans="7:9" x14ac:dyDescent="0.3">
      <c r="G2491" s="26"/>
      <c r="H2491" s="26"/>
      <c r="I2491" s="26"/>
    </row>
    <row r="2492" spans="7:9" x14ac:dyDescent="0.3">
      <c r="G2492" s="26"/>
      <c r="H2492" s="26"/>
      <c r="I2492" s="26"/>
    </row>
    <row r="2493" spans="7:9" x14ac:dyDescent="0.3">
      <c r="G2493" s="26"/>
      <c r="H2493" s="26"/>
      <c r="I2493" s="26"/>
    </row>
    <row r="2494" spans="7:9" x14ac:dyDescent="0.3">
      <c r="G2494" s="26"/>
      <c r="H2494" s="26"/>
      <c r="I2494" s="26"/>
    </row>
    <row r="2495" spans="7:9" x14ac:dyDescent="0.3">
      <c r="G2495" s="26"/>
      <c r="H2495" s="26"/>
      <c r="I2495" s="26"/>
    </row>
    <row r="2496" spans="7:9" x14ac:dyDescent="0.3">
      <c r="G2496" s="26"/>
      <c r="H2496" s="26"/>
      <c r="I2496" s="26"/>
    </row>
    <row r="2497" spans="7:9" x14ac:dyDescent="0.3">
      <c r="G2497" s="26"/>
      <c r="H2497" s="26"/>
      <c r="I2497" s="26"/>
    </row>
    <row r="2498" spans="7:9" x14ac:dyDescent="0.3">
      <c r="G2498" s="26"/>
      <c r="H2498" s="26"/>
      <c r="I2498" s="26"/>
    </row>
    <row r="2499" spans="7:9" x14ac:dyDescent="0.3">
      <c r="G2499" s="26"/>
      <c r="H2499" s="26"/>
      <c r="I2499" s="26"/>
    </row>
    <row r="2500" spans="7:9" x14ac:dyDescent="0.3">
      <c r="G2500" s="26"/>
      <c r="H2500" s="26"/>
      <c r="I2500" s="26"/>
    </row>
    <row r="2501" spans="7:9" x14ac:dyDescent="0.3">
      <c r="G2501" s="26"/>
      <c r="H2501" s="26"/>
      <c r="I2501" s="26"/>
    </row>
    <row r="2502" spans="7:9" x14ac:dyDescent="0.3">
      <c r="G2502" s="26"/>
      <c r="H2502" s="26"/>
      <c r="I2502" s="26"/>
    </row>
    <row r="2503" spans="7:9" x14ac:dyDescent="0.3">
      <c r="G2503" s="26"/>
      <c r="H2503" s="26"/>
      <c r="I2503" s="26"/>
    </row>
    <row r="2504" spans="7:9" x14ac:dyDescent="0.3">
      <c r="G2504" s="26"/>
      <c r="H2504" s="26"/>
      <c r="I2504" s="26"/>
    </row>
    <row r="2505" spans="7:9" x14ac:dyDescent="0.3">
      <c r="G2505" s="26"/>
      <c r="H2505" s="26"/>
      <c r="I2505" s="26"/>
    </row>
    <row r="2506" spans="7:9" x14ac:dyDescent="0.3">
      <c r="G2506" s="26"/>
      <c r="H2506" s="26"/>
      <c r="I2506" s="26"/>
    </row>
    <row r="2507" spans="7:9" x14ac:dyDescent="0.3">
      <c r="G2507" s="26"/>
      <c r="H2507" s="26"/>
      <c r="I2507" s="26"/>
    </row>
    <row r="2508" spans="7:9" x14ac:dyDescent="0.3">
      <c r="G2508" s="26"/>
      <c r="H2508" s="26"/>
      <c r="I2508" s="26"/>
    </row>
    <row r="2509" spans="7:9" x14ac:dyDescent="0.3">
      <c r="G2509" s="26"/>
      <c r="H2509" s="26"/>
      <c r="I2509" s="26"/>
    </row>
    <row r="2510" spans="7:9" x14ac:dyDescent="0.3">
      <c r="G2510" s="26"/>
      <c r="H2510" s="26"/>
      <c r="I2510" s="26"/>
    </row>
    <row r="2511" spans="7:9" x14ac:dyDescent="0.3">
      <c r="G2511" s="26"/>
      <c r="H2511" s="26"/>
      <c r="I2511" s="26"/>
    </row>
    <row r="2512" spans="7:9" x14ac:dyDescent="0.3">
      <c r="G2512" s="26"/>
      <c r="H2512" s="26"/>
      <c r="I2512" s="26"/>
    </row>
    <row r="2513" spans="7:9" x14ac:dyDescent="0.3">
      <c r="G2513" s="26"/>
      <c r="H2513" s="26"/>
      <c r="I2513" s="26"/>
    </row>
    <row r="2514" spans="7:9" x14ac:dyDescent="0.3">
      <c r="G2514" s="26"/>
      <c r="H2514" s="26"/>
      <c r="I2514" s="26"/>
    </row>
    <row r="2515" spans="7:9" x14ac:dyDescent="0.3">
      <c r="G2515" s="26"/>
      <c r="H2515" s="26"/>
      <c r="I2515" s="26"/>
    </row>
    <row r="2516" spans="7:9" x14ac:dyDescent="0.3">
      <c r="G2516" s="26"/>
      <c r="H2516" s="26"/>
      <c r="I2516" s="26"/>
    </row>
    <row r="2517" spans="7:9" x14ac:dyDescent="0.3">
      <c r="G2517" s="26"/>
      <c r="H2517" s="26"/>
      <c r="I2517" s="26"/>
    </row>
    <row r="2518" spans="7:9" x14ac:dyDescent="0.3">
      <c r="G2518" s="26"/>
      <c r="H2518" s="26"/>
      <c r="I2518" s="26"/>
    </row>
    <row r="2519" spans="7:9" x14ac:dyDescent="0.3">
      <c r="G2519" s="26"/>
      <c r="H2519" s="26"/>
      <c r="I2519" s="26"/>
    </row>
    <row r="2520" spans="7:9" x14ac:dyDescent="0.3">
      <c r="G2520" s="26"/>
      <c r="H2520" s="26"/>
      <c r="I2520" s="26"/>
    </row>
    <row r="2521" spans="7:9" x14ac:dyDescent="0.3">
      <c r="G2521" s="26"/>
      <c r="H2521" s="26"/>
      <c r="I2521" s="26"/>
    </row>
    <row r="2522" spans="7:9" x14ac:dyDescent="0.3">
      <c r="G2522" s="26"/>
      <c r="H2522" s="26"/>
      <c r="I2522" s="26"/>
    </row>
    <row r="2523" spans="7:9" x14ac:dyDescent="0.3">
      <c r="G2523" s="26"/>
      <c r="H2523" s="26"/>
      <c r="I2523" s="26"/>
    </row>
    <row r="2524" spans="7:9" x14ac:dyDescent="0.3">
      <c r="G2524" s="26"/>
      <c r="H2524" s="26"/>
      <c r="I2524" s="26"/>
    </row>
    <row r="2525" spans="7:9" x14ac:dyDescent="0.3">
      <c r="G2525" s="26"/>
      <c r="H2525" s="26"/>
      <c r="I2525" s="26"/>
    </row>
    <row r="2526" spans="7:9" x14ac:dyDescent="0.3">
      <c r="G2526" s="26"/>
      <c r="H2526" s="26"/>
      <c r="I2526" s="26"/>
    </row>
    <row r="2527" spans="7:9" x14ac:dyDescent="0.3">
      <c r="G2527" s="26"/>
      <c r="H2527" s="26"/>
      <c r="I2527" s="26"/>
    </row>
    <row r="2528" spans="7:9" x14ac:dyDescent="0.3">
      <c r="G2528" s="26"/>
      <c r="H2528" s="26"/>
      <c r="I2528" s="26"/>
    </row>
    <row r="2529" spans="7:9" x14ac:dyDescent="0.3">
      <c r="G2529" s="26"/>
      <c r="H2529" s="26"/>
      <c r="I2529" s="26"/>
    </row>
    <row r="2530" spans="7:9" x14ac:dyDescent="0.3">
      <c r="G2530" s="26"/>
      <c r="H2530" s="26"/>
      <c r="I2530" s="26"/>
    </row>
    <row r="2531" spans="7:9" x14ac:dyDescent="0.3">
      <c r="G2531" s="26"/>
      <c r="H2531" s="26"/>
      <c r="I2531" s="26"/>
    </row>
    <row r="2532" spans="7:9" x14ac:dyDescent="0.3">
      <c r="G2532" s="26"/>
      <c r="H2532" s="26"/>
      <c r="I2532" s="26"/>
    </row>
    <row r="2533" spans="7:9" x14ac:dyDescent="0.3">
      <c r="G2533" s="26"/>
      <c r="H2533" s="26"/>
      <c r="I2533" s="26"/>
    </row>
    <row r="2534" spans="7:9" x14ac:dyDescent="0.3">
      <c r="G2534" s="26"/>
      <c r="H2534" s="26"/>
      <c r="I2534" s="26"/>
    </row>
    <row r="2535" spans="7:9" x14ac:dyDescent="0.3">
      <c r="G2535" s="26"/>
      <c r="H2535" s="26"/>
      <c r="I2535" s="26"/>
    </row>
    <row r="2536" spans="7:9" x14ac:dyDescent="0.3">
      <c r="G2536" s="26"/>
      <c r="H2536" s="26"/>
      <c r="I2536" s="26"/>
    </row>
    <row r="2537" spans="7:9" x14ac:dyDescent="0.3">
      <c r="G2537" s="26"/>
      <c r="H2537" s="26"/>
      <c r="I2537" s="26"/>
    </row>
    <row r="2538" spans="7:9" x14ac:dyDescent="0.3">
      <c r="G2538" s="26"/>
      <c r="H2538" s="26"/>
      <c r="I2538" s="26"/>
    </row>
    <row r="2539" spans="7:9" x14ac:dyDescent="0.3">
      <c r="G2539" s="26"/>
      <c r="H2539" s="26"/>
      <c r="I2539" s="26"/>
    </row>
    <row r="2540" spans="7:9" x14ac:dyDescent="0.3">
      <c r="G2540" s="26"/>
      <c r="H2540" s="26"/>
      <c r="I2540" s="26"/>
    </row>
    <row r="2541" spans="7:9" x14ac:dyDescent="0.3">
      <c r="G2541" s="26"/>
      <c r="H2541" s="26"/>
      <c r="I2541" s="26"/>
    </row>
    <row r="2542" spans="7:9" x14ac:dyDescent="0.3">
      <c r="G2542" s="26"/>
      <c r="H2542" s="26"/>
      <c r="I2542" s="26"/>
    </row>
    <row r="2543" spans="7:9" x14ac:dyDescent="0.3">
      <c r="G2543" s="26"/>
      <c r="H2543" s="26"/>
      <c r="I2543" s="26"/>
    </row>
    <row r="2544" spans="7:9" x14ac:dyDescent="0.3">
      <c r="G2544" s="26"/>
      <c r="H2544" s="26"/>
      <c r="I2544" s="26"/>
    </row>
    <row r="2545" spans="7:9" x14ac:dyDescent="0.3">
      <c r="G2545" s="26"/>
      <c r="H2545" s="26"/>
      <c r="I2545" s="26"/>
    </row>
    <row r="2546" spans="7:9" x14ac:dyDescent="0.3">
      <c r="G2546" s="26"/>
      <c r="H2546" s="26"/>
      <c r="I2546" s="26"/>
    </row>
    <row r="2547" spans="7:9" x14ac:dyDescent="0.3">
      <c r="G2547" s="26"/>
      <c r="H2547" s="26"/>
      <c r="I2547" s="26"/>
    </row>
    <row r="2548" spans="7:9" x14ac:dyDescent="0.3">
      <c r="G2548" s="26"/>
      <c r="H2548" s="26"/>
      <c r="I2548" s="26"/>
    </row>
    <row r="2549" spans="7:9" x14ac:dyDescent="0.3">
      <c r="G2549" s="26"/>
      <c r="H2549" s="26"/>
      <c r="I2549" s="26"/>
    </row>
    <row r="2550" spans="7:9" x14ac:dyDescent="0.3">
      <c r="G2550" s="26"/>
      <c r="H2550" s="26"/>
      <c r="I2550" s="26"/>
    </row>
    <row r="2551" spans="7:9" x14ac:dyDescent="0.3">
      <c r="G2551" s="26"/>
      <c r="H2551" s="26"/>
      <c r="I2551" s="26"/>
    </row>
    <row r="2552" spans="7:9" x14ac:dyDescent="0.3">
      <c r="G2552" s="26"/>
      <c r="H2552" s="26"/>
      <c r="I2552" s="26"/>
    </row>
    <row r="2553" spans="7:9" x14ac:dyDescent="0.3">
      <c r="G2553" s="26"/>
      <c r="H2553" s="26"/>
      <c r="I2553" s="26"/>
    </row>
    <row r="2554" spans="7:9" x14ac:dyDescent="0.3">
      <c r="G2554" s="26"/>
      <c r="H2554" s="26"/>
      <c r="I2554" s="26"/>
    </row>
    <row r="2555" spans="7:9" x14ac:dyDescent="0.3">
      <c r="G2555" s="26"/>
      <c r="H2555" s="26"/>
      <c r="I2555" s="26"/>
    </row>
    <row r="2556" spans="7:9" x14ac:dyDescent="0.3">
      <c r="G2556" s="26"/>
      <c r="H2556" s="26"/>
      <c r="I2556" s="26"/>
    </row>
    <row r="2557" spans="7:9" x14ac:dyDescent="0.3">
      <c r="G2557" s="26"/>
      <c r="H2557" s="26"/>
      <c r="I2557" s="26"/>
    </row>
    <row r="2558" spans="7:9" x14ac:dyDescent="0.3">
      <c r="G2558" s="26"/>
      <c r="H2558" s="26"/>
      <c r="I2558" s="26"/>
    </row>
    <row r="2559" spans="7:9" x14ac:dyDescent="0.3">
      <c r="G2559" s="26"/>
      <c r="H2559" s="26"/>
      <c r="I2559" s="26"/>
    </row>
    <row r="2560" spans="7:9" x14ac:dyDescent="0.3">
      <c r="G2560" s="26"/>
      <c r="H2560" s="26"/>
      <c r="I2560" s="26"/>
    </row>
    <row r="2561" spans="7:9" x14ac:dyDescent="0.3">
      <c r="G2561" s="26"/>
      <c r="H2561" s="26"/>
      <c r="I2561" s="26"/>
    </row>
    <row r="2562" spans="7:9" x14ac:dyDescent="0.3">
      <c r="G2562" s="26"/>
      <c r="H2562" s="26"/>
      <c r="I2562" s="26"/>
    </row>
    <row r="2563" spans="7:9" x14ac:dyDescent="0.3">
      <c r="G2563" s="26"/>
      <c r="H2563" s="26"/>
      <c r="I2563" s="26"/>
    </row>
    <row r="2564" spans="7:9" x14ac:dyDescent="0.3">
      <c r="G2564" s="26"/>
      <c r="H2564" s="26"/>
      <c r="I2564" s="26"/>
    </row>
    <row r="2565" spans="7:9" x14ac:dyDescent="0.3">
      <c r="G2565" s="26"/>
      <c r="H2565" s="26"/>
      <c r="I2565" s="26"/>
    </row>
    <row r="2566" spans="7:9" x14ac:dyDescent="0.3">
      <c r="G2566" s="26"/>
      <c r="H2566" s="26"/>
      <c r="I2566" s="26"/>
    </row>
    <row r="2567" spans="7:9" x14ac:dyDescent="0.3">
      <c r="G2567" s="26"/>
      <c r="H2567" s="26"/>
      <c r="I2567" s="26"/>
    </row>
    <row r="2568" spans="7:9" x14ac:dyDescent="0.3">
      <c r="G2568" s="26"/>
      <c r="H2568" s="26"/>
      <c r="I2568" s="26"/>
    </row>
    <row r="2569" spans="7:9" x14ac:dyDescent="0.3">
      <c r="G2569" s="26"/>
      <c r="H2569" s="26"/>
      <c r="I2569" s="26"/>
    </row>
    <row r="2570" spans="7:9" x14ac:dyDescent="0.3">
      <c r="G2570" s="26"/>
      <c r="H2570" s="26"/>
      <c r="I2570" s="26"/>
    </row>
    <row r="2571" spans="7:9" x14ac:dyDescent="0.3">
      <c r="G2571" s="26"/>
      <c r="H2571" s="26"/>
      <c r="I2571" s="26"/>
    </row>
    <row r="2572" spans="7:9" x14ac:dyDescent="0.3">
      <c r="G2572" s="26"/>
      <c r="H2572" s="26"/>
      <c r="I2572" s="26"/>
    </row>
    <row r="2573" spans="7:9" x14ac:dyDescent="0.3">
      <c r="G2573" s="26"/>
      <c r="H2573" s="26"/>
      <c r="I2573" s="26"/>
    </row>
    <row r="2574" spans="7:9" x14ac:dyDescent="0.3">
      <c r="G2574" s="26"/>
      <c r="H2574" s="26"/>
      <c r="I2574" s="26"/>
    </row>
    <row r="2575" spans="7:9" x14ac:dyDescent="0.3">
      <c r="G2575" s="26"/>
      <c r="H2575" s="26"/>
      <c r="I2575" s="26"/>
    </row>
    <row r="2576" spans="7:9" x14ac:dyDescent="0.3">
      <c r="G2576" s="26"/>
      <c r="H2576" s="26"/>
      <c r="I2576" s="26"/>
    </row>
    <row r="2577" spans="7:9" x14ac:dyDescent="0.3">
      <c r="G2577" s="26"/>
      <c r="H2577" s="26"/>
      <c r="I2577" s="26"/>
    </row>
    <row r="2578" spans="7:9" x14ac:dyDescent="0.3">
      <c r="G2578" s="26"/>
      <c r="H2578" s="26"/>
      <c r="I2578" s="26"/>
    </row>
    <row r="2579" spans="7:9" x14ac:dyDescent="0.3">
      <c r="G2579" s="26"/>
      <c r="H2579" s="26"/>
      <c r="I2579" s="26"/>
    </row>
    <row r="2580" spans="7:9" x14ac:dyDescent="0.3">
      <c r="G2580" s="26"/>
      <c r="H2580" s="26"/>
      <c r="I2580" s="26"/>
    </row>
    <row r="2581" spans="7:9" x14ac:dyDescent="0.3">
      <c r="G2581" s="26"/>
      <c r="H2581" s="26"/>
      <c r="I2581" s="26"/>
    </row>
    <row r="2582" spans="7:9" x14ac:dyDescent="0.3">
      <c r="G2582" s="26"/>
      <c r="H2582" s="26"/>
      <c r="I2582" s="26"/>
    </row>
    <row r="2583" spans="7:9" x14ac:dyDescent="0.3">
      <c r="G2583" s="26"/>
      <c r="H2583" s="26"/>
      <c r="I2583" s="26"/>
    </row>
    <row r="2584" spans="7:9" x14ac:dyDescent="0.3">
      <c r="G2584" s="26"/>
      <c r="H2584" s="26"/>
      <c r="I2584" s="26"/>
    </row>
    <row r="2585" spans="7:9" x14ac:dyDescent="0.3">
      <c r="G2585" s="26"/>
      <c r="H2585" s="26"/>
      <c r="I2585" s="26"/>
    </row>
    <row r="2586" spans="7:9" x14ac:dyDescent="0.3">
      <c r="G2586" s="26"/>
      <c r="H2586" s="26"/>
      <c r="I2586" s="26"/>
    </row>
    <row r="2587" spans="7:9" x14ac:dyDescent="0.3">
      <c r="G2587" s="26"/>
      <c r="H2587" s="26"/>
      <c r="I2587" s="26"/>
    </row>
    <row r="2588" spans="7:9" x14ac:dyDescent="0.3">
      <c r="G2588" s="26"/>
      <c r="H2588" s="26"/>
      <c r="I2588" s="26"/>
    </row>
    <row r="2589" spans="7:9" x14ac:dyDescent="0.3">
      <c r="G2589" s="26"/>
      <c r="H2589" s="26"/>
      <c r="I2589" s="26"/>
    </row>
    <row r="2590" spans="7:9" x14ac:dyDescent="0.3">
      <c r="G2590" s="26"/>
      <c r="H2590" s="26"/>
      <c r="I2590" s="26"/>
    </row>
    <row r="2591" spans="7:9" x14ac:dyDescent="0.3">
      <c r="G2591" s="26"/>
      <c r="H2591" s="26"/>
      <c r="I2591" s="26"/>
    </row>
    <row r="2592" spans="7:9" x14ac:dyDescent="0.3">
      <c r="G2592" s="26"/>
      <c r="H2592" s="26"/>
      <c r="I2592" s="26"/>
    </row>
    <row r="2593" spans="7:9" x14ac:dyDescent="0.3">
      <c r="G2593" s="26"/>
      <c r="H2593" s="26"/>
      <c r="I2593" s="26"/>
    </row>
    <row r="2594" spans="7:9" x14ac:dyDescent="0.3">
      <c r="G2594" s="26"/>
      <c r="H2594" s="26"/>
      <c r="I2594" s="26"/>
    </row>
    <row r="2595" spans="7:9" x14ac:dyDescent="0.3">
      <c r="G2595" s="26"/>
      <c r="H2595" s="26"/>
      <c r="I2595" s="26"/>
    </row>
    <row r="2596" spans="7:9" x14ac:dyDescent="0.3">
      <c r="G2596" s="26"/>
      <c r="H2596" s="26"/>
      <c r="I2596" s="26"/>
    </row>
    <row r="2597" spans="7:9" x14ac:dyDescent="0.3">
      <c r="G2597" s="26"/>
      <c r="H2597" s="26"/>
      <c r="I2597" s="26"/>
    </row>
    <row r="2598" spans="7:9" x14ac:dyDescent="0.3">
      <c r="G2598" s="26"/>
      <c r="H2598" s="26"/>
      <c r="I2598" s="26"/>
    </row>
    <row r="2599" spans="7:9" x14ac:dyDescent="0.3">
      <c r="G2599" s="26"/>
      <c r="H2599" s="26"/>
      <c r="I2599" s="26"/>
    </row>
    <row r="2600" spans="7:9" x14ac:dyDescent="0.3">
      <c r="G2600" s="26"/>
      <c r="H2600" s="26"/>
      <c r="I2600" s="26"/>
    </row>
    <row r="2601" spans="7:9" x14ac:dyDescent="0.3">
      <c r="G2601" s="26"/>
      <c r="H2601" s="26"/>
      <c r="I2601" s="26"/>
    </row>
    <row r="2602" spans="7:9" x14ac:dyDescent="0.3">
      <c r="G2602" s="26"/>
      <c r="H2602" s="26"/>
      <c r="I2602" s="26"/>
    </row>
    <row r="2603" spans="7:9" x14ac:dyDescent="0.3">
      <c r="G2603" s="26"/>
      <c r="H2603" s="26"/>
      <c r="I2603" s="26"/>
    </row>
    <row r="2604" spans="7:9" x14ac:dyDescent="0.3">
      <c r="G2604" s="26"/>
      <c r="H2604" s="26"/>
      <c r="I2604" s="26"/>
    </row>
    <row r="2605" spans="7:9" x14ac:dyDescent="0.3">
      <c r="G2605" s="26"/>
      <c r="H2605" s="26"/>
      <c r="I2605" s="26"/>
    </row>
    <row r="2606" spans="7:9" x14ac:dyDescent="0.3">
      <c r="G2606" s="26"/>
      <c r="H2606" s="26"/>
      <c r="I2606" s="26"/>
    </row>
    <row r="2607" spans="7:9" x14ac:dyDescent="0.3">
      <c r="G2607" s="26"/>
      <c r="H2607" s="26"/>
      <c r="I2607" s="26"/>
    </row>
    <row r="2608" spans="7:9" x14ac:dyDescent="0.3">
      <c r="G2608" s="26"/>
      <c r="H2608" s="26"/>
      <c r="I2608" s="26"/>
    </row>
    <row r="2609" spans="7:9" x14ac:dyDescent="0.3">
      <c r="G2609" s="26"/>
      <c r="H2609" s="26"/>
      <c r="I2609" s="26"/>
    </row>
    <row r="2610" spans="7:9" x14ac:dyDescent="0.3">
      <c r="G2610" s="26"/>
      <c r="H2610" s="26"/>
      <c r="I2610" s="26"/>
    </row>
    <row r="2611" spans="7:9" x14ac:dyDescent="0.3">
      <c r="G2611" s="26"/>
      <c r="H2611" s="26"/>
      <c r="I2611" s="26"/>
    </row>
    <row r="2612" spans="7:9" x14ac:dyDescent="0.3">
      <c r="G2612" s="26"/>
      <c r="H2612" s="26"/>
      <c r="I2612" s="26"/>
    </row>
    <row r="2613" spans="7:9" x14ac:dyDescent="0.3">
      <c r="G2613" s="26"/>
      <c r="H2613" s="26"/>
      <c r="I2613" s="26"/>
    </row>
    <row r="2614" spans="7:9" x14ac:dyDescent="0.3">
      <c r="G2614" s="26"/>
      <c r="H2614" s="26"/>
      <c r="I2614" s="26"/>
    </row>
    <row r="2615" spans="7:9" x14ac:dyDescent="0.3">
      <c r="G2615" s="26"/>
      <c r="H2615" s="26"/>
      <c r="I2615" s="26"/>
    </row>
    <row r="2616" spans="7:9" x14ac:dyDescent="0.3">
      <c r="G2616" s="26"/>
      <c r="H2616" s="26"/>
      <c r="I2616" s="26"/>
    </row>
    <row r="2617" spans="7:9" x14ac:dyDescent="0.3">
      <c r="G2617" s="26"/>
      <c r="H2617" s="26"/>
      <c r="I2617" s="26"/>
    </row>
    <row r="2618" spans="7:9" x14ac:dyDescent="0.3">
      <c r="G2618" s="26"/>
      <c r="H2618" s="26"/>
      <c r="I2618" s="26"/>
    </row>
    <row r="2619" spans="7:9" x14ac:dyDescent="0.3">
      <c r="G2619" s="26"/>
      <c r="H2619" s="26"/>
      <c r="I2619" s="26"/>
    </row>
    <row r="2620" spans="7:9" x14ac:dyDescent="0.3">
      <c r="G2620" s="26"/>
      <c r="H2620" s="26"/>
      <c r="I2620" s="26"/>
    </row>
    <row r="2621" spans="7:9" x14ac:dyDescent="0.3">
      <c r="G2621" s="26"/>
      <c r="H2621" s="26"/>
      <c r="I2621" s="26"/>
    </row>
    <row r="2622" spans="7:9" x14ac:dyDescent="0.3">
      <c r="G2622" s="26"/>
      <c r="H2622" s="26"/>
      <c r="I2622" s="26"/>
    </row>
    <row r="2623" spans="7:9" x14ac:dyDescent="0.3">
      <c r="G2623" s="26"/>
      <c r="H2623" s="26"/>
      <c r="I2623" s="26"/>
    </row>
    <row r="2624" spans="7:9" x14ac:dyDescent="0.3">
      <c r="G2624" s="26"/>
      <c r="H2624" s="26"/>
      <c r="I2624" s="26"/>
    </row>
    <row r="2625" spans="7:9" x14ac:dyDescent="0.3">
      <c r="G2625" s="26"/>
      <c r="H2625" s="26"/>
      <c r="I2625" s="26"/>
    </row>
    <row r="2626" spans="7:9" x14ac:dyDescent="0.3">
      <c r="G2626" s="26"/>
      <c r="H2626" s="26"/>
      <c r="I2626" s="26"/>
    </row>
    <row r="2627" spans="7:9" x14ac:dyDescent="0.3">
      <c r="G2627" s="26"/>
      <c r="H2627" s="26"/>
      <c r="I2627" s="26"/>
    </row>
    <row r="2628" spans="7:9" x14ac:dyDescent="0.3">
      <c r="G2628" s="26"/>
      <c r="H2628" s="26"/>
      <c r="I2628" s="26"/>
    </row>
    <row r="2629" spans="7:9" x14ac:dyDescent="0.3">
      <c r="G2629" s="26"/>
      <c r="H2629" s="26"/>
      <c r="I2629" s="26"/>
    </row>
    <row r="2630" spans="7:9" x14ac:dyDescent="0.3">
      <c r="G2630" s="26"/>
      <c r="H2630" s="26"/>
      <c r="I2630" s="26"/>
    </row>
    <row r="2631" spans="7:9" x14ac:dyDescent="0.3">
      <c r="G2631" s="26"/>
      <c r="H2631" s="26"/>
      <c r="I2631" s="26"/>
    </row>
    <row r="2632" spans="7:9" x14ac:dyDescent="0.3">
      <c r="G2632" s="26"/>
      <c r="H2632" s="26"/>
      <c r="I2632" s="26"/>
    </row>
    <row r="2633" spans="7:9" x14ac:dyDescent="0.3">
      <c r="G2633" s="26"/>
      <c r="H2633" s="26"/>
      <c r="I2633" s="26"/>
    </row>
    <row r="2634" spans="7:9" x14ac:dyDescent="0.3">
      <c r="G2634" s="26"/>
      <c r="H2634" s="26"/>
      <c r="I2634" s="26"/>
    </row>
    <row r="2635" spans="7:9" x14ac:dyDescent="0.3">
      <c r="G2635" s="26"/>
      <c r="H2635" s="26"/>
      <c r="I2635" s="26"/>
    </row>
    <row r="2636" spans="7:9" x14ac:dyDescent="0.3">
      <c r="G2636" s="26"/>
      <c r="H2636" s="26"/>
      <c r="I2636" s="26"/>
    </row>
    <row r="2637" spans="7:9" x14ac:dyDescent="0.3">
      <c r="G2637" s="26"/>
      <c r="H2637" s="26"/>
      <c r="I2637" s="26"/>
    </row>
    <row r="2638" spans="7:9" x14ac:dyDescent="0.3">
      <c r="G2638" s="26"/>
      <c r="H2638" s="26"/>
      <c r="I2638" s="26"/>
    </row>
    <row r="2639" spans="7:9" x14ac:dyDescent="0.3">
      <c r="G2639" s="26"/>
      <c r="H2639" s="26"/>
      <c r="I2639" s="26"/>
    </row>
    <row r="2640" spans="7:9" x14ac:dyDescent="0.3">
      <c r="G2640" s="26"/>
      <c r="H2640" s="26"/>
      <c r="I2640" s="26"/>
    </row>
    <row r="2641" spans="7:9" x14ac:dyDescent="0.3">
      <c r="G2641" s="26"/>
      <c r="H2641" s="26"/>
      <c r="I2641" s="26"/>
    </row>
    <row r="2642" spans="7:9" x14ac:dyDescent="0.3">
      <c r="G2642" s="26"/>
      <c r="H2642" s="26"/>
      <c r="I2642" s="26"/>
    </row>
    <row r="2643" spans="7:9" x14ac:dyDescent="0.3">
      <c r="G2643" s="26"/>
      <c r="H2643" s="26"/>
      <c r="I2643" s="26"/>
    </row>
    <row r="2644" spans="7:9" x14ac:dyDescent="0.3">
      <c r="G2644" s="26"/>
      <c r="H2644" s="26"/>
      <c r="I2644" s="26"/>
    </row>
    <row r="2645" spans="7:9" x14ac:dyDescent="0.3">
      <c r="G2645" s="26"/>
      <c r="H2645" s="26"/>
      <c r="I2645" s="26"/>
    </row>
    <row r="2646" spans="7:9" x14ac:dyDescent="0.3">
      <c r="G2646" s="26"/>
      <c r="H2646" s="26"/>
      <c r="I2646" s="26"/>
    </row>
    <row r="2647" spans="7:9" x14ac:dyDescent="0.3">
      <c r="G2647" s="26"/>
      <c r="H2647" s="26"/>
      <c r="I2647" s="26"/>
    </row>
    <row r="2648" spans="7:9" x14ac:dyDescent="0.3">
      <c r="G2648" s="26"/>
      <c r="H2648" s="26"/>
      <c r="I2648" s="26"/>
    </row>
    <row r="2649" spans="7:9" x14ac:dyDescent="0.3">
      <c r="G2649" s="26"/>
      <c r="H2649" s="26"/>
      <c r="I2649" s="26"/>
    </row>
    <row r="2650" spans="7:9" x14ac:dyDescent="0.3">
      <c r="G2650" s="26"/>
      <c r="H2650" s="26"/>
      <c r="I2650" s="26"/>
    </row>
    <row r="2651" spans="7:9" x14ac:dyDescent="0.3">
      <c r="G2651" s="26"/>
      <c r="H2651" s="26"/>
      <c r="I2651" s="26"/>
    </row>
    <row r="2652" spans="7:9" x14ac:dyDescent="0.3">
      <c r="G2652" s="26"/>
      <c r="H2652" s="26"/>
      <c r="I2652" s="26"/>
    </row>
    <row r="2653" spans="7:9" x14ac:dyDescent="0.3">
      <c r="G2653" s="26"/>
      <c r="H2653" s="26"/>
      <c r="I2653" s="26"/>
    </row>
    <row r="2654" spans="7:9" x14ac:dyDescent="0.3">
      <c r="G2654" s="26"/>
      <c r="H2654" s="26"/>
      <c r="I2654" s="26"/>
    </row>
    <row r="2655" spans="7:9" x14ac:dyDescent="0.3">
      <c r="G2655" s="26"/>
      <c r="H2655" s="26"/>
      <c r="I2655" s="26"/>
    </row>
    <row r="2656" spans="7:9" x14ac:dyDescent="0.3">
      <c r="G2656" s="26"/>
      <c r="H2656" s="26"/>
      <c r="I2656" s="26"/>
    </row>
    <row r="2657" spans="7:9" x14ac:dyDescent="0.3">
      <c r="G2657" s="26"/>
      <c r="H2657" s="26"/>
      <c r="I2657" s="26"/>
    </row>
    <row r="2658" spans="7:9" x14ac:dyDescent="0.3">
      <c r="G2658" s="26"/>
      <c r="H2658" s="26"/>
      <c r="I2658" s="26"/>
    </row>
    <row r="2659" spans="7:9" x14ac:dyDescent="0.3">
      <c r="G2659" s="26"/>
      <c r="H2659" s="26"/>
      <c r="I2659" s="26"/>
    </row>
    <row r="2660" spans="7:9" x14ac:dyDescent="0.3">
      <c r="G2660" s="26"/>
      <c r="H2660" s="26"/>
      <c r="I2660" s="26"/>
    </row>
    <row r="2661" spans="7:9" x14ac:dyDescent="0.3">
      <c r="G2661" s="26"/>
      <c r="H2661" s="26"/>
      <c r="I2661" s="26"/>
    </row>
    <row r="2662" spans="7:9" x14ac:dyDescent="0.3">
      <c r="G2662" s="26"/>
      <c r="H2662" s="26"/>
      <c r="I2662" s="26"/>
    </row>
    <row r="2663" spans="7:9" x14ac:dyDescent="0.3">
      <c r="G2663" s="26"/>
      <c r="H2663" s="26"/>
      <c r="I2663" s="26"/>
    </row>
    <row r="2664" spans="7:9" x14ac:dyDescent="0.3">
      <c r="G2664" s="26"/>
      <c r="H2664" s="26"/>
      <c r="I2664" s="26"/>
    </row>
    <row r="2665" spans="7:9" x14ac:dyDescent="0.3">
      <c r="G2665" s="26"/>
      <c r="H2665" s="26"/>
      <c r="I2665" s="26"/>
    </row>
    <row r="2666" spans="7:9" x14ac:dyDescent="0.3">
      <c r="G2666" s="26"/>
      <c r="H2666" s="26"/>
      <c r="I2666" s="26"/>
    </row>
    <row r="2667" spans="7:9" x14ac:dyDescent="0.3">
      <c r="G2667" s="26"/>
      <c r="H2667" s="26"/>
      <c r="I2667" s="26"/>
    </row>
    <row r="2668" spans="7:9" x14ac:dyDescent="0.3">
      <c r="G2668" s="26"/>
      <c r="H2668" s="26"/>
      <c r="I2668" s="26"/>
    </row>
    <row r="2669" spans="7:9" x14ac:dyDescent="0.3">
      <c r="G2669" s="26"/>
      <c r="H2669" s="26"/>
      <c r="I2669" s="26"/>
    </row>
    <row r="2670" spans="7:9" x14ac:dyDescent="0.3">
      <c r="G2670" s="26"/>
      <c r="H2670" s="26"/>
      <c r="I2670" s="26"/>
    </row>
    <row r="2671" spans="7:9" x14ac:dyDescent="0.3">
      <c r="G2671" s="26"/>
      <c r="H2671" s="26"/>
      <c r="I2671" s="26"/>
    </row>
    <row r="2672" spans="7:9" x14ac:dyDescent="0.3">
      <c r="G2672" s="26"/>
      <c r="H2672" s="26"/>
      <c r="I2672" s="26"/>
    </row>
    <row r="2673" spans="7:9" x14ac:dyDescent="0.3">
      <c r="G2673" s="26"/>
      <c r="H2673" s="26"/>
      <c r="I2673" s="26"/>
    </row>
    <row r="2674" spans="7:9" x14ac:dyDescent="0.3">
      <c r="G2674" s="26"/>
      <c r="H2674" s="26"/>
      <c r="I2674" s="26"/>
    </row>
    <row r="2675" spans="7:9" x14ac:dyDescent="0.3">
      <c r="G2675" s="26"/>
      <c r="H2675" s="26"/>
      <c r="I2675" s="26"/>
    </row>
    <row r="2676" spans="7:9" x14ac:dyDescent="0.3">
      <c r="G2676" s="26"/>
      <c r="H2676" s="26"/>
      <c r="I2676" s="26"/>
    </row>
    <row r="2677" spans="7:9" x14ac:dyDescent="0.3">
      <c r="G2677" s="26"/>
      <c r="H2677" s="26"/>
      <c r="I2677" s="26"/>
    </row>
    <row r="2678" spans="7:9" x14ac:dyDescent="0.3">
      <c r="G2678" s="26"/>
      <c r="H2678" s="26"/>
      <c r="I2678" s="26"/>
    </row>
    <row r="2679" spans="7:9" x14ac:dyDescent="0.3">
      <c r="G2679" s="26"/>
      <c r="H2679" s="26"/>
      <c r="I2679" s="26"/>
    </row>
    <row r="2680" spans="7:9" x14ac:dyDescent="0.3">
      <c r="G2680" s="26"/>
      <c r="H2680" s="26"/>
      <c r="I2680" s="26"/>
    </row>
    <row r="2681" spans="7:9" x14ac:dyDescent="0.3">
      <c r="G2681" s="26"/>
      <c r="H2681" s="26"/>
      <c r="I2681" s="26"/>
    </row>
    <row r="2682" spans="7:9" x14ac:dyDescent="0.3">
      <c r="G2682" s="26"/>
      <c r="H2682" s="26"/>
      <c r="I2682" s="26"/>
    </row>
    <row r="2683" spans="7:9" x14ac:dyDescent="0.3">
      <c r="G2683" s="26"/>
      <c r="H2683" s="26"/>
      <c r="I2683" s="26"/>
    </row>
    <row r="2684" spans="7:9" x14ac:dyDescent="0.3">
      <c r="G2684" s="26"/>
      <c r="H2684" s="26"/>
      <c r="I2684" s="26"/>
    </row>
    <row r="2685" spans="7:9" x14ac:dyDescent="0.3">
      <c r="G2685" s="26"/>
      <c r="H2685" s="26"/>
      <c r="I2685" s="26"/>
    </row>
    <row r="2686" spans="7:9" x14ac:dyDescent="0.3">
      <c r="G2686" s="26"/>
      <c r="H2686" s="26"/>
      <c r="I2686" s="26"/>
    </row>
    <row r="2687" spans="7:9" x14ac:dyDescent="0.3">
      <c r="G2687" s="26"/>
      <c r="H2687" s="26"/>
      <c r="I2687" s="26"/>
    </row>
    <row r="2688" spans="7:9" x14ac:dyDescent="0.3">
      <c r="G2688" s="26"/>
      <c r="H2688" s="26"/>
      <c r="I2688" s="26"/>
    </row>
    <row r="2689" spans="7:9" x14ac:dyDescent="0.3">
      <c r="G2689" s="26"/>
      <c r="H2689" s="26"/>
      <c r="I2689" s="26"/>
    </row>
    <row r="2690" spans="7:9" x14ac:dyDescent="0.3">
      <c r="G2690" s="26"/>
      <c r="H2690" s="26"/>
      <c r="I2690" s="26"/>
    </row>
    <row r="2691" spans="7:9" x14ac:dyDescent="0.3">
      <c r="G2691" s="26"/>
      <c r="H2691" s="26"/>
      <c r="I2691" s="26"/>
    </row>
    <row r="2692" spans="7:9" x14ac:dyDescent="0.3">
      <c r="G2692" s="26"/>
      <c r="H2692" s="26"/>
      <c r="I2692" s="26"/>
    </row>
    <row r="2693" spans="7:9" x14ac:dyDescent="0.3">
      <c r="G2693" s="26"/>
      <c r="H2693" s="26"/>
      <c r="I2693" s="26"/>
    </row>
    <row r="2694" spans="7:9" x14ac:dyDescent="0.3">
      <c r="G2694" s="26"/>
      <c r="H2694" s="26"/>
      <c r="I2694" s="26"/>
    </row>
    <row r="2695" spans="7:9" x14ac:dyDescent="0.3">
      <c r="G2695" s="26"/>
      <c r="H2695" s="26"/>
      <c r="I2695" s="26"/>
    </row>
    <row r="2696" spans="7:9" x14ac:dyDescent="0.3">
      <c r="G2696" s="26"/>
      <c r="H2696" s="26"/>
      <c r="I2696" s="26"/>
    </row>
    <row r="2697" spans="7:9" x14ac:dyDescent="0.3">
      <c r="G2697" s="26"/>
      <c r="H2697" s="26"/>
      <c r="I2697" s="26"/>
    </row>
    <row r="2698" spans="7:9" x14ac:dyDescent="0.3">
      <c r="G2698" s="26"/>
      <c r="H2698" s="26"/>
      <c r="I2698" s="26"/>
    </row>
    <row r="2699" spans="7:9" x14ac:dyDescent="0.3">
      <c r="G2699" s="26"/>
      <c r="H2699" s="26"/>
      <c r="I2699" s="26"/>
    </row>
    <row r="2700" spans="7:9" x14ac:dyDescent="0.3">
      <c r="G2700" s="26"/>
      <c r="H2700" s="26"/>
      <c r="I2700" s="26"/>
    </row>
    <row r="2701" spans="7:9" x14ac:dyDescent="0.3">
      <c r="G2701" s="26"/>
      <c r="H2701" s="26"/>
      <c r="I2701" s="26"/>
    </row>
    <row r="2702" spans="7:9" x14ac:dyDescent="0.3">
      <c r="G2702" s="26"/>
      <c r="H2702" s="26"/>
      <c r="I2702" s="26"/>
    </row>
    <row r="2703" spans="7:9" x14ac:dyDescent="0.3">
      <c r="G2703" s="26"/>
      <c r="H2703" s="26"/>
      <c r="I2703" s="26"/>
    </row>
    <row r="2704" spans="7:9" x14ac:dyDescent="0.3">
      <c r="G2704" s="26"/>
      <c r="H2704" s="26"/>
      <c r="I2704" s="26"/>
    </row>
    <row r="2705" spans="7:9" x14ac:dyDescent="0.3">
      <c r="G2705" s="26"/>
      <c r="H2705" s="26"/>
      <c r="I2705" s="26"/>
    </row>
    <row r="2706" spans="7:9" x14ac:dyDescent="0.3">
      <c r="G2706" s="26"/>
      <c r="H2706" s="26"/>
      <c r="I2706" s="26"/>
    </row>
    <row r="2707" spans="7:9" x14ac:dyDescent="0.3">
      <c r="G2707" s="26"/>
      <c r="H2707" s="26"/>
      <c r="I2707" s="26"/>
    </row>
    <row r="2708" spans="7:9" x14ac:dyDescent="0.3">
      <c r="G2708" s="26"/>
      <c r="H2708" s="26"/>
      <c r="I2708" s="26"/>
    </row>
    <row r="2709" spans="7:9" x14ac:dyDescent="0.3">
      <c r="G2709" s="26"/>
      <c r="H2709" s="26"/>
      <c r="I2709" s="26"/>
    </row>
    <row r="2710" spans="7:9" x14ac:dyDescent="0.3">
      <c r="G2710" s="26"/>
      <c r="H2710" s="26"/>
      <c r="I2710" s="26"/>
    </row>
    <row r="2711" spans="7:9" x14ac:dyDescent="0.3">
      <c r="G2711" s="26"/>
      <c r="H2711" s="26"/>
      <c r="I2711" s="26"/>
    </row>
    <row r="2712" spans="7:9" x14ac:dyDescent="0.3">
      <c r="G2712" s="26"/>
      <c r="H2712" s="26"/>
      <c r="I2712" s="26"/>
    </row>
    <row r="2713" spans="7:9" x14ac:dyDescent="0.3">
      <c r="G2713" s="26"/>
      <c r="H2713" s="26"/>
      <c r="I2713" s="26"/>
    </row>
    <row r="2714" spans="7:9" x14ac:dyDescent="0.3">
      <c r="G2714" s="26"/>
      <c r="H2714" s="26"/>
      <c r="I2714" s="26"/>
    </row>
    <row r="2715" spans="7:9" x14ac:dyDescent="0.3">
      <c r="G2715" s="26"/>
      <c r="H2715" s="26"/>
      <c r="I2715" s="26"/>
    </row>
    <row r="2716" spans="7:9" x14ac:dyDescent="0.3">
      <c r="G2716" s="26"/>
      <c r="H2716" s="26"/>
      <c r="I2716" s="26"/>
    </row>
    <row r="2717" spans="7:9" x14ac:dyDescent="0.3">
      <c r="G2717" s="26"/>
      <c r="H2717" s="26"/>
      <c r="I2717" s="26"/>
    </row>
    <row r="2718" spans="7:9" x14ac:dyDescent="0.3">
      <c r="G2718" s="26"/>
      <c r="H2718" s="26"/>
      <c r="I2718" s="26"/>
    </row>
    <row r="2719" spans="7:9" x14ac:dyDescent="0.3">
      <c r="G2719" s="26"/>
      <c r="H2719" s="26"/>
      <c r="I2719" s="26"/>
    </row>
    <row r="2720" spans="7:9" x14ac:dyDescent="0.3">
      <c r="G2720" s="26"/>
      <c r="H2720" s="26"/>
      <c r="I2720" s="26"/>
    </row>
    <row r="2721" spans="7:9" x14ac:dyDescent="0.3">
      <c r="G2721" s="26"/>
      <c r="H2721" s="26"/>
      <c r="I2721" s="26"/>
    </row>
    <row r="2722" spans="7:9" x14ac:dyDescent="0.3">
      <c r="G2722" s="26"/>
      <c r="H2722" s="26"/>
      <c r="I2722" s="26"/>
    </row>
    <row r="2723" spans="7:9" x14ac:dyDescent="0.3">
      <c r="G2723" s="26"/>
      <c r="H2723" s="26"/>
      <c r="I2723" s="26"/>
    </row>
    <row r="2724" spans="7:9" x14ac:dyDescent="0.3">
      <c r="G2724" s="26"/>
      <c r="H2724" s="26"/>
      <c r="I2724" s="26"/>
    </row>
    <row r="2725" spans="7:9" x14ac:dyDescent="0.3">
      <c r="G2725" s="26"/>
      <c r="H2725" s="26"/>
      <c r="I2725" s="26"/>
    </row>
    <row r="2726" spans="7:9" x14ac:dyDescent="0.3">
      <c r="G2726" s="26"/>
      <c r="H2726" s="26"/>
      <c r="I2726" s="26"/>
    </row>
    <row r="2727" spans="7:9" x14ac:dyDescent="0.3">
      <c r="G2727" s="26"/>
      <c r="H2727" s="26"/>
      <c r="I2727" s="26"/>
    </row>
    <row r="2728" spans="7:9" x14ac:dyDescent="0.3">
      <c r="G2728" s="26"/>
      <c r="H2728" s="26"/>
      <c r="I2728" s="26"/>
    </row>
    <row r="2729" spans="7:9" x14ac:dyDescent="0.3">
      <c r="G2729" s="26"/>
      <c r="H2729" s="26"/>
      <c r="I2729" s="26"/>
    </row>
    <row r="2730" spans="7:9" x14ac:dyDescent="0.3">
      <c r="G2730" s="26"/>
      <c r="H2730" s="26"/>
      <c r="I2730" s="26"/>
    </row>
    <row r="2731" spans="7:9" x14ac:dyDescent="0.3">
      <c r="G2731" s="26"/>
      <c r="H2731" s="26"/>
      <c r="I2731" s="26"/>
    </row>
    <row r="2732" spans="7:9" x14ac:dyDescent="0.3">
      <c r="G2732" s="26"/>
      <c r="H2732" s="26"/>
      <c r="I2732" s="26"/>
    </row>
    <row r="2733" spans="7:9" x14ac:dyDescent="0.3">
      <c r="G2733" s="26"/>
      <c r="H2733" s="26"/>
      <c r="I2733" s="26"/>
    </row>
    <row r="2734" spans="7:9" x14ac:dyDescent="0.3">
      <c r="G2734" s="26"/>
      <c r="H2734" s="26"/>
      <c r="I2734" s="26"/>
    </row>
    <row r="2735" spans="7:9" x14ac:dyDescent="0.3">
      <c r="G2735" s="26"/>
      <c r="H2735" s="26"/>
      <c r="I2735" s="26"/>
    </row>
    <row r="2736" spans="7:9" x14ac:dyDescent="0.3">
      <c r="G2736" s="26"/>
      <c r="H2736" s="26"/>
      <c r="I2736" s="26"/>
    </row>
    <row r="2737" spans="7:9" x14ac:dyDescent="0.3">
      <c r="G2737" s="26"/>
      <c r="H2737" s="26"/>
      <c r="I2737" s="26"/>
    </row>
    <row r="2738" spans="7:9" x14ac:dyDescent="0.3">
      <c r="G2738" s="26"/>
      <c r="H2738" s="26"/>
      <c r="I2738" s="26"/>
    </row>
    <row r="2739" spans="7:9" x14ac:dyDescent="0.3">
      <c r="G2739" s="26"/>
      <c r="H2739" s="26"/>
      <c r="I2739" s="26"/>
    </row>
    <row r="2740" spans="7:9" x14ac:dyDescent="0.3">
      <c r="G2740" s="26"/>
      <c r="H2740" s="26"/>
      <c r="I2740" s="26"/>
    </row>
    <row r="2741" spans="7:9" x14ac:dyDescent="0.3">
      <c r="G2741" s="26"/>
      <c r="H2741" s="26"/>
      <c r="I2741" s="26"/>
    </row>
    <row r="2742" spans="7:9" x14ac:dyDescent="0.3">
      <c r="G2742" s="26"/>
      <c r="H2742" s="26"/>
      <c r="I2742" s="26"/>
    </row>
    <row r="2743" spans="7:9" x14ac:dyDescent="0.3">
      <c r="G2743" s="26"/>
      <c r="H2743" s="26"/>
      <c r="I2743" s="26"/>
    </row>
    <row r="2744" spans="7:9" x14ac:dyDescent="0.3">
      <c r="G2744" s="26"/>
      <c r="H2744" s="26"/>
      <c r="I2744" s="26"/>
    </row>
    <row r="2745" spans="7:9" x14ac:dyDescent="0.3">
      <c r="G2745" s="26"/>
      <c r="H2745" s="26"/>
      <c r="I2745" s="26"/>
    </row>
    <row r="2746" spans="7:9" x14ac:dyDescent="0.3">
      <c r="G2746" s="26"/>
      <c r="H2746" s="26"/>
      <c r="I2746" s="26"/>
    </row>
    <row r="2747" spans="7:9" x14ac:dyDescent="0.3">
      <c r="G2747" s="26"/>
      <c r="H2747" s="26"/>
      <c r="I2747" s="26"/>
    </row>
    <row r="2748" spans="7:9" x14ac:dyDescent="0.3">
      <c r="G2748" s="26"/>
      <c r="H2748" s="26"/>
      <c r="I2748" s="26"/>
    </row>
    <row r="2749" spans="7:9" x14ac:dyDescent="0.3">
      <c r="G2749" s="26"/>
      <c r="H2749" s="26"/>
      <c r="I2749" s="26"/>
    </row>
    <row r="2750" spans="7:9" x14ac:dyDescent="0.3">
      <c r="G2750" s="26"/>
      <c r="H2750" s="26"/>
      <c r="I2750" s="26"/>
    </row>
    <row r="2751" spans="7:9" x14ac:dyDescent="0.3">
      <c r="G2751" s="26"/>
      <c r="H2751" s="26"/>
      <c r="I2751" s="26"/>
    </row>
    <row r="2752" spans="7:9" x14ac:dyDescent="0.3">
      <c r="G2752" s="26"/>
      <c r="H2752" s="26"/>
      <c r="I2752" s="26"/>
    </row>
    <row r="2753" spans="7:9" x14ac:dyDescent="0.3">
      <c r="G2753" s="26"/>
      <c r="H2753" s="26"/>
      <c r="I2753" s="26"/>
    </row>
    <row r="2754" spans="7:9" x14ac:dyDescent="0.3">
      <c r="G2754" s="26"/>
      <c r="H2754" s="26"/>
      <c r="I2754" s="26"/>
    </row>
    <row r="2755" spans="7:9" x14ac:dyDescent="0.3">
      <c r="G2755" s="26"/>
      <c r="H2755" s="26"/>
      <c r="I2755" s="26"/>
    </row>
    <row r="2756" spans="7:9" x14ac:dyDescent="0.3">
      <c r="G2756" s="26"/>
      <c r="H2756" s="26"/>
      <c r="I2756" s="26"/>
    </row>
    <row r="2757" spans="7:9" x14ac:dyDescent="0.3">
      <c r="G2757" s="26"/>
      <c r="H2757" s="26"/>
      <c r="I2757" s="26"/>
    </row>
    <row r="2758" spans="7:9" x14ac:dyDescent="0.3">
      <c r="G2758" s="26"/>
      <c r="H2758" s="26"/>
      <c r="I2758" s="26"/>
    </row>
    <row r="2759" spans="7:9" x14ac:dyDescent="0.3">
      <c r="G2759" s="26"/>
      <c r="H2759" s="26"/>
      <c r="I2759" s="26"/>
    </row>
    <row r="2760" spans="7:9" x14ac:dyDescent="0.3">
      <c r="G2760" s="26"/>
      <c r="H2760" s="26"/>
      <c r="I2760" s="26"/>
    </row>
    <row r="2761" spans="7:9" x14ac:dyDescent="0.3">
      <c r="G2761" s="26"/>
      <c r="H2761" s="26"/>
      <c r="I2761" s="26"/>
    </row>
    <row r="2762" spans="7:9" x14ac:dyDescent="0.3">
      <c r="G2762" s="26"/>
      <c r="H2762" s="26"/>
      <c r="I2762" s="26"/>
    </row>
    <row r="2763" spans="7:9" x14ac:dyDescent="0.3">
      <c r="G2763" s="26"/>
      <c r="H2763" s="26"/>
      <c r="I2763" s="26"/>
    </row>
    <row r="2764" spans="7:9" x14ac:dyDescent="0.3">
      <c r="G2764" s="26"/>
      <c r="H2764" s="26"/>
      <c r="I2764" s="26"/>
    </row>
    <row r="2765" spans="7:9" x14ac:dyDescent="0.3">
      <c r="G2765" s="26"/>
      <c r="H2765" s="26"/>
      <c r="I2765" s="26"/>
    </row>
    <row r="2766" spans="7:9" x14ac:dyDescent="0.3">
      <c r="G2766" s="26"/>
      <c r="H2766" s="26"/>
      <c r="I2766" s="26"/>
    </row>
    <row r="2767" spans="7:9" x14ac:dyDescent="0.3">
      <c r="G2767" s="26"/>
      <c r="H2767" s="26"/>
      <c r="I2767" s="26"/>
    </row>
    <row r="2768" spans="7:9" x14ac:dyDescent="0.3">
      <c r="G2768" s="26"/>
      <c r="H2768" s="26"/>
      <c r="I2768" s="26"/>
    </row>
    <row r="2769" spans="7:9" x14ac:dyDescent="0.3">
      <c r="G2769" s="26"/>
      <c r="H2769" s="26"/>
      <c r="I2769" s="26"/>
    </row>
    <row r="2770" spans="7:9" x14ac:dyDescent="0.3">
      <c r="G2770" s="26"/>
      <c r="H2770" s="26"/>
      <c r="I2770" s="26"/>
    </row>
    <row r="2771" spans="7:9" x14ac:dyDescent="0.3">
      <c r="G2771" s="26"/>
      <c r="H2771" s="26"/>
      <c r="I2771" s="26"/>
    </row>
    <row r="2772" spans="7:9" x14ac:dyDescent="0.3">
      <c r="G2772" s="26"/>
      <c r="H2772" s="26"/>
      <c r="I2772" s="26"/>
    </row>
    <row r="2773" spans="7:9" x14ac:dyDescent="0.3">
      <c r="G2773" s="26"/>
      <c r="H2773" s="26"/>
      <c r="I2773" s="26"/>
    </row>
    <row r="2774" spans="7:9" x14ac:dyDescent="0.3">
      <c r="G2774" s="26"/>
      <c r="H2774" s="26"/>
      <c r="I2774" s="26"/>
    </row>
    <row r="2775" spans="7:9" x14ac:dyDescent="0.3">
      <c r="G2775" s="26"/>
      <c r="H2775" s="26"/>
      <c r="I2775" s="26"/>
    </row>
    <row r="2776" spans="7:9" x14ac:dyDescent="0.3">
      <c r="G2776" s="26"/>
      <c r="H2776" s="26"/>
      <c r="I2776" s="26"/>
    </row>
    <row r="2777" spans="7:9" x14ac:dyDescent="0.3">
      <c r="G2777" s="26"/>
      <c r="H2777" s="26"/>
      <c r="I2777" s="26"/>
    </row>
    <row r="2778" spans="7:9" x14ac:dyDescent="0.3">
      <c r="G2778" s="26"/>
      <c r="H2778" s="26"/>
      <c r="I2778" s="26"/>
    </row>
    <row r="2779" spans="7:9" x14ac:dyDescent="0.3">
      <c r="G2779" s="26"/>
      <c r="H2779" s="26"/>
      <c r="I2779" s="26"/>
    </row>
    <row r="2780" spans="7:9" x14ac:dyDescent="0.3">
      <c r="G2780" s="26"/>
      <c r="H2780" s="26"/>
      <c r="I2780" s="26"/>
    </row>
    <row r="2781" spans="7:9" x14ac:dyDescent="0.3">
      <c r="G2781" s="26"/>
      <c r="H2781" s="26"/>
      <c r="I2781" s="26"/>
    </row>
    <row r="2782" spans="7:9" x14ac:dyDescent="0.3">
      <c r="G2782" s="26"/>
      <c r="H2782" s="26"/>
      <c r="I2782" s="26"/>
    </row>
    <row r="2783" spans="7:9" x14ac:dyDescent="0.3">
      <c r="G2783" s="26"/>
      <c r="H2783" s="26"/>
      <c r="I2783" s="26"/>
    </row>
    <row r="2784" spans="7:9" x14ac:dyDescent="0.3">
      <c r="G2784" s="26"/>
      <c r="H2784" s="26"/>
      <c r="I2784" s="26"/>
    </row>
    <row r="2785" spans="7:9" x14ac:dyDescent="0.3">
      <c r="G2785" s="26"/>
      <c r="H2785" s="26"/>
      <c r="I2785" s="26"/>
    </row>
    <row r="2786" spans="7:9" x14ac:dyDescent="0.3">
      <c r="G2786" s="26"/>
      <c r="H2786" s="26"/>
      <c r="I2786" s="26"/>
    </row>
    <row r="2787" spans="7:9" x14ac:dyDescent="0.3">
      <c r="G2787" s="26"/>
      <c r="H2787" s="26"/>
      <c r="I2787" s="26"/>
    </row>
    <row r="2788" spans="7:9" x14ac:dyDescent="0.3">
      <c r="G2788" s="26"/>
      <c r="H2788" s="26"/>
      <c r="I2788" s="26"/>
    </row>
    <row r="2789" spans="7:9" x14ac:dyDescent="0.3">
      <c r="G2789" s="26"/>
      <c r="H2789" s="26"/>
      <c r="I2789" s="26"/>
    </row>
    <row r="2790" spans="7:9" x14ac:dyDescent="0.3">
      <c r="G2790" s="26"/>
      <c r="H2790" s="26"/>
      <c r="I2790" s="26"/>
    </row>
    <row r="2791" spans="7:9" x14ac:dyDescent="0.3">
      <c r="G2791" s="26"/>
      <c r="H2791" s="26"/>
      <c r="I2791" s="26"/>
    </row>
    <row r="2792" spans="7:9" x14ac:dyDescent="0.3">
      <c r="G2792" s="26"/>
      <c r="H2792" s="26"/>
      <c r="I2792" s="26"/>
    </row>
    <row r="2793" spans="7:9" x14ac:dyDescent="0.3">
      <c r="G2793" s="26"/>
      <c r="H2793" s="26"/>
      <c r="I2793" s="26"/>
    </row>
    <row r="2794" spans="7:9" x14ac:dyDescent="0.3">
      <c r="G2794" s="26"/>
      <c r="H2794" s="26"/>
      <c r="I2794" s="26"/>
    </row>
    <row r="2795" spans="7:9" x14ac:dyDescent="0.3">
      <c r="G2795" s="26"/>
      <c r="H2795" s="26"/>
      <c r="I2795" s="26"/>
    </row>
    <row r="2796" spans="7:9" x14ac:dyDescent="0.3">
      <c r="G2796" s="26"/>
      <c r="H2796" s="26"/>
      <c r="I2796" s="26"/>
    </row>
    <row r="2797" spans="7:9" x14ac:dyDescent="0.3">
      <c r="G2797" s="26"/>
      <c r="H2797" s="26"/>
      <c r="I2797" s="26"/>
    </row>
    <row r="2798" spans="7:9" x14ac:dyDescent="0.3">
      <c r="G2798" s="26"/>
      <c r="H2798" s="26"/>
      <c r="I2798" s="26"/>
    </row>
    <row r="2799" spans="7:9" x14ac:dyDescent="0.3">
      <c r="G2799" s="26"/>
      <c r="H2799" s="26"/>
      <c r="I2799" s="26"/>
    </row>
    <row r="2800" spans="7:9" x14ac:dyDescent="0.3">
      <c r="G2800" s="26"/>
      <c r="H2800" s="26"/>
      <c r="I2800" s="26"/>
    </row>
    <row r="2801" spans="7:9" x14ac:dyDescent="0.3">
      <c r="G2801" s="26"/>
      <c r="H2801" s="26"/>
      <c r="I2801" s="26"/>
    </row>
    <row r="2802" spans="7:9" x14ac:dyDescent="0.3">
      <c r="G2802" s="26"/>
      <c r="H2802" s="26"/>
      <c r="I2802" s="26"/>
    </row>
    <row r="2803" spans="7:9" x14ac:dyDescent="0.3">
      <c r="G2803" s="26"/>
      <c r="H2803" s="26"/>
      <c r="I2803" s="26"/>
    </row>
    <row r="2804" spans="7:9" x14ac:dyDescent="0.3">
      <c r="G2804" s="26"/>
      <c r="H2804" s="26"/>
      <c r="I2804" s="26"/>
    </row>
    <row r="2805" spans="7:9" x14ac:dyDescent="0.3">
      <c r="G2805" s="26"/>
      <c r="H2805" s="26"/>
      <c r="I2805" s="26"/>
    </row>
    <row r="2806" spans="7:9" x14ac:dyDescent="0.3">
      <c r="G2806" s="26"/>
      <c r="H2806" s="26"/>
      <c r="I2806" s="26"/>
    </row>
    <row r="2807" spans="7:9" x14ac:dyDescent="0.3">
      <c r="G2807" s="26"/>
      <c r="H2807" s="26"/>
      <c r="I2807" s="26"/>
    </row>
    <row r="2808" spans="7:9" x14ac:dyDescent="0.3">
      <c r="G2808" s="26"/>
      <c r="H2808" s="26"/>
      <c r="I2808" s="26"/>
    </row>
    <row r="2809" spans="7:9" x14ac:dyDescent="0.3">
      <c r="G2809" s="26"/>
      <c r="H2809" s="26"/>
      <c r="I2809" s="26"/>
    </row>
    <row r="2810" spans="7:9" x14ac:dyDescent="0.3">
      <c r="G2810" s="26"/>
      <c r="H2810" s="26"/>
      <c r="I2810" s="26"/>
    </row>
    <row r="2811" spans="7:9" x14ac:dyDescent="0.3">
      <c r="G2811" s="26"/>
      <c r="H2811" s="26"/>
      <c r="I2811" s="26"/>
    </row>
    <row r="2812" spans="7:9" x14ac:dyDescent="0.3">
      <c r="G2812" s="26"/>
      <c r="H2812" s="26"/>
      <c r="I2812" s="26"/>
    </row>
    <row r="2813" spans="7:9" x14ac:dyDescent="0.3">
      <c r="G2813" s="26"/>
      <c r="H2813" s="26"/>
      <c r="I2813" s="26"/>
    </row>
    <row r="2814" spans="7:9" x14ac:dyDescent="0.3">
      <c r="G2814" s="26"/>
      <c r="H2814" s="26"/>
      <c r="I2814" s="26"/>
    </row>
    <row r="2815" spans="7:9" x14ac:dyDescent="0.3">
      <c r="G2815" s="26"/>
      <c r="H2815" s="26"/>
      <c r="I2815" s="26"/>
    </row>
    <row r="2816" spans="7:9" x14ac:dyDescent="0.3">
      <c r="G2816" s="26"/>
      <c r="H2816" s="26"/>
      <c r="I2816" s="26"/>
    </row>
    <row r="2817" spans="7:9" x14ac:dyDescent="0.3">
      <c r="G2817" s="26"/>
      <c r="H2817" s="26"/>
      <c r="I2817" s="26"/>
    </row>
    <row r="2818" spans="7:9" x14ac:dyDescent="0.3">
      <c r="G2818" s="26"/>
      <c r="H2818" s="26"/>
      <c r="I2818" s="26"/>
    </row>
    <row r="2819" spans="7:9" x14ac:dyDescent="0.3">
      <c r="G2819" s="26"/>
      <c r="H2819" s="26"/>
      <c r="I2819" s="26"/>
    </row>
    <row r="2820" spans="7:9" x14ac:dyDescent="0.3">
      <c r="G2820" s="26"/>
      <c r="H2820" s="26"/>
      <c r="I2820" s="26"/>
    </row>
    <row r="2821" spans="7:9" x14ac:dyDescent="0.3">
      <c r="G2821" s="26"/>
      <c r="H2821" s="26"/>
      <c r="I2821" s="26"/>
    </row>
    <row r="2822" spans="7:9" x14ac:dyDescent="0.3">
      <c r="G2822" s="26"/>
      <c r="H2822" s="26"/>
      <c r="I2822" s="26"/>
    </row>
    <row r="2823" spans="7:9" x14ac:dyDescent="0.3">
      <c r="G2823" s="26"/>
      <c r="H2823" s="26"/>
      <c r="I2823" s="26"/>
    </row>
    <row r="2824" spans="7:9" x14ac:dyDescent="0.3">
      <c r="G2824" s="26"/>
      <c r="H2824" s="26"/>
      <c r="I2824" s="26"/>
    </row>
    <row r="2825" spans="7:9" x14ac:dyDescent="0.3">
      <c r="G2825" s="26"/>
      <c r="H2825" s="26"/>
      <c r="I2825" s="26"/>
    </row>
    <row r="2826" spans="7:9" x14ac:dyDescent="0.3">
      <c r="G2826" s="26"/>
      <c r="H2826" s="26"/>
      <c r="I2826" s="26"/>
    </row>
    <row r="2827" spans="7:9" x14ac:dyDescent="0.3">
      <c r="G2827" s="26"/>
      <c r="H2827" s="26"/>
      <c r="I2827" s="26"/>
    </row>
    <row r="2828" spans="7:9" x14ac:dyDescent="0.3">
      <c r="G2828" s="26"/>
      <c r="H2828" s="26"/>
      <c r="I2828" s="26"/>
    </row>
    <row r="2829" spans="7:9" x14ac:dyDescent="0.3">
      <c r="G2829" s="26"/>
      <c r="H2829" s="26"/>
      <c r="I2829" s="26"/>
    </row>
    <row r="2830" spans="7:9" x14ac:dyDescent="0.3">
      <c r="G2830" s="26"/>
      <c r="H2830" s="26"/>
      <c r="I2830" s="26"/>
    </row>
    <row r="2831" spans="7:9" x14ac:dyDescent="0.3">
      <c r="G2831" s="26"/>
      <c r="H2831" s="26"/>
      <c r="I2831" s="26"/>
    </row>
    <row r="2832" spans="7:9" x14ac:dyDescent="0.3">
      <c r="G2832" s="26"/>
      <c r="H2832" s="26"/>
      <c r="I2832" s="26"/>
    </row>
    <row r="2833" spans="7:9" x14ac:dyDescent="0.3">
      <c r="G2833" s="26"/>
      <c r="H2833" s="26"/>
      <c r="I2833" s="26"/>
    </row>
    <row r="2834" spans="7:9" x14ac:dyDescent="0.3">
      <c r="G2834" s="26"/>
      <c r="H2834" s="26"/>
      <c r="I2834" s="26"/>
    </row>
    <row r="2835" spans="7:9" x14ac:dyDescent="0.3">
      <c r="G2835" s="26"/>
      <c r="H2835" s="26"/>
      <c r="I2835" s="26"/>
    </row>
    <row r="2836" spans="7:9" x14ac:dyDescent="0.3">
      <c r="G2836" s="26"/>
      <c r="H2836" s="26"/>
      <c r="I2836" s="26"/>
    </row>
    <row r="2837" spans="7:9" x14ac:dyDescent="0.3">
      <c r="G2837" s="26"/>
      <c r="H2837" s="26"/>
      <c r="I2837" s="26"/>
    </row>
    <row r="2838" spans="7:9" x14ac:dyDescent="0.3">
      <c r="G2838" s="26"/>
      <c r="H2838" s="26"/>
      <c r="I2838" s="26"/>
    </row>
    <row r="2839" spans="7:9" x14ac:dyDescent="0.3">
      <c r="G2839" s="26"/>
      <c r="H2839" s="26"/>
      <c r="I2839" s="26"/>
    </row>
    <row r="2840" spans="7:9" x14ac:dyDescent="0.3">
      <c r="G2840" s="26"/>
      <c r="H2840" s="26"/>
      <c r="I2840" s="26"/>
    </row>
    <row r="2841" spans="7:9" x14ac:dyDescent="0.3">
      <c r="G2841" s="26"/>
      <c r="H2841" s="26"/>
      <c r="I2841" s="26"/>
    </row>
    <row r="2842" spans="7:9" x14ac:dyDescent="0.3">
      <c r="G2842" s="26"/>
      <c r="H2842" s="26"/>
      <c r="I2842" s="26"/>
    </row>
    <row r="2843" spans="7:9" x14ac:dyDescent="0.3">
      <c r="G2843" s="26"/>
      <c r="H2843" s="26"/>
      <c r="I2843" s="26"/>
    </row>
    <row r="2844" spans="7:9" x14ac:dyDescent="0.3">
      <c r="G2844" s="26"/>
      <c r="H2844" s="26"/>
      <c r="I2844" s="26"/>
    </row>
    <row r="2845" spans="7:9" x14ac:dyDescent="0.3">
      <c r="G2845" s="26"/>
      <c r="H2845" s="26"/>
      <c r="I2845" s="26"/>
    </row>
    <row r="2846" spans="7:9" x14ac:dyDescent="0.3">
      <c r="G2846" s="26"/>
      <c r="H2846" s="26"/>
      <c r="I2846" s="26"/>
    </row>
    <row r="2847" spans="7:9" x14ac:dyDescent="0.3">
      <c r="G2847" s="26"/>
      <c r="H2847" s="26"/>
      <c r="I2847" s="26"/>
    </row>
    <row r="2848" spans="7:9" x14ac:dyDescent="0.3">
      <c r="G2848" s="26"/>
      <c r="H2848" s="26"/>
      <c r="I2848" s="26"/>
    </row>
    <row r="2849" spans="7:9" x14ac:dyDescent="0.3">
      <c r="G2849" s="26"/>
      <c r="H2849" s="26"/>
      <c r="I2849" s="26"/>
    </row>
    <row r="2850" spans="7:9" x14ac:dyDescent="0.3">
      <c r="G2850" s="26"/>
      <c r="H2850" s="26"/>
      <c r="I2850" s="26"/>
    </row>
    <row r="2851" spans="7:9" x14ac:dyDescent="0.3">
      <c r="G2851" s="26"/>
      <c r="H2851" s="26"/>
      <c r="I2851" s="26"/>
    </row>
    <row r="2852" spans="7:9" x14ac:dyDescent="0.3">
      <c r="G2852" s="26"/>
      <c r="H2852" s="26"/>
      <c r="I2852" s="26"/>
    </row>
    <row r="2853" spans="7:9" x14ac:dyDescent="0.3">
      <c r="G2853" s="26"/>
      <c r="H2853" s="26"/>
      <c r="I2853" s="26"/>
    </row>
    <row r="2854" spans="7:9" x14ac:dyDescent="0.3">
      <c r="G2854" s="26"/>
      <c r="H2854" s="26"/>
      <c r="I2854" s="26"/>
    </row>
    <row r="2855" spans="7:9" x14ac:dyDescent="0.3">
      <c r="G2855" s="26"/>
      <c r="H2855" s="26"/>
      <c r="I2855" s="26"/>
    </row>
    <row r="2856" spans="7:9" x14ac:dyDescent="0.3">
      <c r="G2856" s="26"/>
      <c r="H2856" s="26"/>
      <c r="I2856" s="26"/>
    </row>
    <row r="2857" spans="7:9" x14ac:dyDescent="0.3">
      <c r="G2857" s="26"/>
      <c r="H2857" s="26"/>
      <c r="I2857" s="26"/>
    </row>
    <row r="2858" spans="7:9" x14ac:dyDescent="0.3">
      <c r="G2858" s="26"/>
      <c r="H2858" s="26"/>
      <c r="I2858" s="26"/>
    </row>
    <row r="2859" spans="7:9" x14ac:dyDescent="0.3">
      <c r="G2859" s="26"/>
      <c r="H2859" s="26"/>
      <c r="I2859" s="26"/>
    </row>
    <row r="2860" spans="7:9" x14ac:dyDescent="0.3">
      <c r="G2860" s="26"/>
      <c r="H2860" s="26"/>
      <c r="I2860" s="26"/>
    </row>
    <row r="2861" spans="7:9" x14ac:dyDescent="0.3">
      <c r="G2861" s="26"/>
      <c r="H2861" s="26"/>
      <c r="I2861" s="26"/>
    </row>
    <row r="2862" spans="7:9" x14ac:dyDescent="0.3">
      <c r="G2862" s="26"/>
      <c r="H2862" s="26"/>
      <c r="I2862" s="26"/>
    </row>
    <row r="2863" spans="7:9" x14ac:dyDescent="0.3">
      <c r="G2863" s="26"/>
      <c r="H2863" s="26"/>
      <c r="I2863" s="26"/>
    </row>
    <row r="2864" spans="7:9" x14ac:dyDescent="0.3">
      <c r="G2864" s="26"/>
      <c r="H2864" s="26"/>
      <c r="I2864" s="26"/>
    </row>
    <row r="2865" spans="7:9" x14ac:dyDescent="0.3">
      <c r="G2865" s="26"/>
      <c r="H2865" s="26"/>
      <c r="I2865" s="26"/>
    </row>
    <row r="2866" spans="7:9" x14ac:dyDescent="0.3">
      <c r="G2866" s="26"/>
      <c r="H2866" s="26"/>
      <c r="I2866" s="26"/>
    </row>
    <row r="2867" spans="7:9" x14ac:dyDescent="0.3">
      <c r="G2867" s="26"/>
      <c r="H2867" s="26"/>
      <c r="I2867" s="26"/>
    </row>
    <row r="2868" spans="7:9" x14ac:dyDescent="0.3">
      <c r="G2868" s="26"/>
      <c r="H2868" s="26"/>
      <c r="I2868" s="26"/>
    </row>
    <row r="2869" spans="7:9" x14ac:dyDescent="0.3">
      <c r="G2869" s="26"/>
      <c r="H2869" s="26"/>
      <c r="I2869" s="26"/>
    </row>
    <row r="2870" spans="7:9" x14ac:dyDescent="0.3">
      <c r="G2870" s="26"/>
      <c r="H2870" s="26"/>
      <c r="I2870" s="26"/>
    </row>
    <row r="2871" spans="7:9" x14ac:dyDescent="0.3">
      <c r="G2871" s="26"/>
      <c r="H2871" s="26"/>
      <c r="I2871" s="26"/>
    </row>
    <row r="2872" spans="7:9" x14ac:dyDescent="0.3">
      <c r="G2872" s="26"/>
      <c r="H2872" s="26"/>
      <c r="I2872" s="26"/>
    </row>
    <row r="2873" spans="7:9" x14ac:dyDescent="0.3">
      <c r="G2873" s="26"/>
      <c r="H2873" s="26"/>
      <c r="I2873" s="26"/>
    </row>
    <row r="2874" spans="7:9" x14ac:dyDescent="0.3">
      <c r="G2874" s="26"/>
      <c r="H2874" s="26"/>
      <c r="I2874" s="26"/>
    </row>
    <row r="2875" spans="7:9" x14ac:dyDescent="0.3">
      <c r="G2875" s="26"/>
      <c r="H2875" s="26"/>
      <c r="I2875" s="26"/>
    </row>
    <row r="2876" spans="7:9" x14ac:dyDescent="0.3">
      <c r="G2876" s="26"/>
      <c r="H2876" s="26"/>
      <c r="I2876" s="26"/>
    </row>
    <row r="2877" spans="7:9" x14ac:dyDescent="0.3">
      <c r="G2877" s="26"/>
      <c r="H2877" s="26"/>
      <c r="I2877" s="26"/>
    </row>
    <row r="2878" spans="7:9" x14ac:dyDescent="0.3">
      <c r="G2878" s="26"/>
      <c r="H2878" s="26"/>
      <c r="I2878" s="26"/>
    </row>
    <row r="2879" spans="7:9" x14ac:dyDescent="0.3">
      <c r="G2879" s="26"/>
      <c r="H2879" s="26"/>
      <c r="I2879" s="26"/>
    </row>
    <row r="2880" spans="7:9" x14ac:dyDescent="0.3">
      <c r="G2880" s="26"/>
      <c r="H2880" s="26"/>
      <c r="I2880" s="26"/>
    </row>
    <row r="2881" spans="7:9" x14ac:dyDescent="0.3">
      <c r="G2881" s="26"/>
      <c r="H2881" s="26"/>
      <c r="I2881" s="26"/>
    </row>
    <row r="2882" spans="7:9" x14ac:dyDescent="0.3">
      <c r="G2882" s="26"/>
      <c r="H2882" s="26"/>
      <c r="I2882" s="26"/>
    </row>
    <row r="2883" spans="7:9" x14ac:dyDescent="0.3">
      <c r="G2883" s="26"/>
      <c r="H2883" s="26"/>
      <c r="I2883" s="26"/>
    </row>
    <row r="2884" spans="7:9" x14ac:dyDescent="0.3">
      <c r="G2884" s="26"/>
      <c r="H2884" s="26"/>
      <c r="I2884" s="26"/>
    </row>
    <row r="2885" spans="7:9" x14ac:dyDescent="0.3">
      <c r="G2885" s="26"/>
      <c r="H2885" s="26"/>
      <c r="I2885" s="26"/>
    </row>
    <row r="2886" spans="7:9" x14ac:dyDescent="0.3">
      <c r="G2886" s="26"/>
      <c r="H2886" s="26"/>
      <c r="I2886" s="26"/>
    </row>
    <row r="2887" spans="7:9" x14ac:dyDescent="0.3">
      <c r="G2887" s="26"/>
      <c r="H2887" s="26"/>
      <c r="I2887" s="26"/>
    </row>
    <row r="2888" spans="7:9" x14ac:dyDescent="0.3">
      <c r="G2888" s="26"/>
      <c r="H2888" s="26"/>
      <c r="I2888" s="26"/>
    </row>
    <row r="2889" spans="7:9" x14ac:dyDescent="0.3">
      <c r="G2889" s="26"/>
      <c r="H2889" s="26"/>
      <c r="I2889" s="26"/>
    </row>
    <row r="2890" spans="7:9" x14ac:dyDescent="0.3">
      <c r="G2890" s="26"/>
      <c r="H2890" s="26"/>
      <c r="I2890" s="26"/>
    </row>
    <row r="2891" spans="7:9" x14ac:dyDescent="0.3">
      <c r="G2891" s="26"/>
      <c r="H2891" s="26"/>
      <c r="I2891" s="26"/>
    </row>
    <row r="2892" spans="7:9" x14ac:dyDescent="0.3">
      <c r="G2892" s="26"/>
      <c r="H2892" s="26"/>
      <c r="I2892" s="26"/>
    </row>
    <row r="2893" spans="7:9" x14ac:dyDescent="0.3">
      <c r="G2893" s="26"/>
      <c r="H2893" s="26"/>
      <c r="I2893" s="26"/>
    </row>
    <row r="2894" spans="7:9" x14ac:dyDescent="0.3">
      <c r="G2894" s="26"/>
      <c r="H2894" s="26"/>
      <c r="I2894" s="26"/>
    </row>
    <row r="2895" spans="7:9" x14ac:dyDescent="0.3">
      <c r="G2895" s="26"/>
      <c r="H2895" s="26"/>
      <c r="I2895" s="26"/>
    </row>
    <row r="2896" spans="7:9" x14ac:dyDescent="0.3">
      <c r="G2896" s="26"/>
      <c r="H2896" s="26"/>
      <c r="I2896" s="26"/>
    </row>
    <row r="2897" spans="7:9" x14ac:dyDescent="0.3">
      <c r="G2897" s="26"/>
      <c r="H2897" s="26"/>
      <c r="I2897" s="26"/>
    </row>
    <row r="2898" spans="7:9" x14ac:dyDescent="0.3">
      <c r="G2898" s="26"/>
      <c r="H2898" s="26"/>
      <c r="I2898" s="26"/>
    </row>
    <row r="2899" spans="7:9" x14ac:dyDescent="0.3">
      <c r="G2899" s="26"/>
      <c r="H2899" s="26"/>
      <c r="I2899" s="26"/>
    </row>
    <row r="2900" spans="7:9" x14ac:dyDescent="0.3">
      <c r="G2900" s="26"/>
      <c r="H2900" s="26"/>
      <c r="I2900" s="26"/>
    </row>
    <row r="2901" spans="7:9" x14ac:dyDescent="0.3">
      <c r="G2901" s="26"/>
      <c r="H2901" s="26"/>
      <c r="I2901" s="26"/>
    </row>
    <row r="2902" spans="7:9" x14ac:dyDescent="0.3">
      <c r="G2902" s="26"/>
      <c r="H2902" s="26"/>
      <c r="I2902" s="26"/>
    </row>
    <row r="2903" spans="7:9" x14ac:dyDescent="0.3">
      <c r="G2903" s="26"/>
      <c r="H2903" s="26"/>
      <c r="I2903" s="26"/>
    </row>
    <row r="2904" spans="7:9" x14ac:dyDescent="0.3">
      <c r="G2904" s="26"/>
      <c r="H2904" s="26"/>
      <c r="I2904" s="26"/>
    </row>
    <row r="2905" spans="7:9" x14ac:dyDescent="0.3">
      <c r="G2905" s="26"/>
      <c r="H2905" s="26"/>
      <c r="I2905" s="26"/>
    </row>
    <row r="2906" spans="7:9" x14ac:dyDescent="0.3">
      <c r="G2906" s="26"/>
      <c r="H2906" s="26"/>
      <c r="I2906" s="26"/>
    </row>
    <row r="2907" spans="7:9" x14ac:dyDescent="0.3">
      <c r="G2907" s="26"/>
      <c r="H2907" s="26"/>
      <c r="I2907" s="26"/>
    </row>
    <row r="2908" spans="7:9" x14ac:dyDescent="0.3">
      <c r="G2908" s="26"/>
      <c r="H2908" s="26"/>
      <c r="I2908" s="26"/>
    </row>
    <row r="2909" spans="7:9" x14ac:dyDescent="0.3">
      <c r="G2909" s="26"/>
      <c r="H2909" s="26"/>
      <c r="I2909" s="26"/>
    </row>
    <row r="2910" spans="7:9" x14ac:dyDescent="0.3">
      <c r="G2910" s="26"/>
      <c r="H2910" s="26"/>
      <c r="I2910" s="26"/>
    </row>
    <row r="2911" spans="7:9" x14ac:dyDescent="0.3">
      <c r="G2911" s="26"/>
      <c r="H2911" s="26"/>
      <c r="I2911" s="26"/>
    </row>
    <row r="2912" spans="7:9" x14ac:dyDescent="0.3">
      <c r="G2912" s="26"/>
      <c r="H2912" s="26"/>
      <c r="I2912" s="26"/>
    </row>
    <row r="2913" spans="7:9" x14ac:dyDescent="0.3">
      <c r="G2913" s="26"/>
      <c r="H2913" s="26"/>
      <c r="I2913" s="26"/>
    </row>
    <row r="2914" spans="7:9" x14ac:dyDescent="0.3">
      <c r="G2914" s="26"/>
      <c r="H2914" s="26"/>
      <c r="I2914" s="26"/>
    </row>
    <row r="2915" spans="7:9" x14ac:dyDescent="0.3">
      <c r="G2915" s="26"/>
      <c r="H2915" s="26"/>
      <c r="I2915" s="26"/>
    </row>
    <row r="2916" spans="7:9" x14ac:dyDescent="0.3">
      <c r="G2916" s="26"/>
      <c r="H2916" s="26"/>
      <c r="I2916" s="26"/>
    </row>
    <row r="2917" spans="7:9" x14ac:dyDescent="0.3">
      <c r="G2917" s="26"/>
      <c r="H2917" s="26"/>
      <c r="I2917" s="26"/>
    </row>
    <row r="2918" spans="7:9" x14ac:dyDescent="0.3">
      <c r="G2918" s="26"/>
      <c r="H2918" s="26"/>
      <c r="I2918" s="26"/>
    </row>
    <row r="2919" spans="7:9" x14ac:dyDescent="0.3">
      <c r="G2919" s="26"/>
      <c r="H2919" s="26"/>
      <c r="I2919" s="26"/>
    </row>
    <row r="2920" spans="7:9" x14ac:dyDescent="0.3">
      <c r="G2920" s="26"/>
      <c r="H2920" s="26"/>
      <c r="I2920" s="26"/>
    </row>
    <row r="2921" spans="7:9" x14ac:dyDescent="0.3">
      <c r="G2921" s="26"/>
      <c r="H2921" s="26"/>
      <c r="I2921" s="26"/>
    </row>
    <row r="2922" spans="7:9" x14ac:dyDescent="0.3">
      <c r="G2922" s="26"/>
      <c r="H2922" s="26"/>
      <c r="I2922" s="26"/>
    </row>
    <row r="2923" spans="7:9" x14ac:dyDescent="0.3">
      <c r="G2923" s="26"/>
      <c r="H2923" s="26"/>
      <c r="I2923" s="26"/>
    </row>
    <row r="2924" spans="7:9" x14ac:dyDescent="0.3">
      <c r="G2924" s="26"/>
      <c r="H2924" s="26"/>
      <c r="I2924" s="26"/>
    </row>
    <row r="2925" spans="7:9" x14ac:dyDescent="0.3">
      <c r="G2925" s="26"/>
      <c r="H2925" s="26"/>
      <c r="I2925" s="26"/>
    </row>
    <row r="2926" spans="7:9" x14ac:dyDescent="0.3">
      <c r="G2926" s="26"/>
      <c r="H2926" s="26"/>
      <c r="I2926" s="26"/>
    </row>
    <row r="2927" spans="7:9" x14ac:dyDescent="0.3">
      <c r="G2927" s="26"/>
      <c r="H2927" s="26"/>
      <c r="I2927" s="26"/>
    </row>
    <row r="2928" spans="7:9" x14ac:dyDescent="0.3">
      <c r="G2928" s="26"/>
      <c r="H2928" s="26"/>
      <c r="I2928" s="26"/>
    </row>
    <row r="2929" spans="7:9" x14ac:dyDescent="0.3">
      <c r="G2929" s="26"/>
      <c r="H2929" s="26"/>
      <c r="I2929" s="26"/>
    </row>
    <row r="2930" spans="7:9" x14ac:dyDescent="0.3">
      <c r="G2930" s="26"/>
      <c r="H2930" s="26"/>
      <c r="I2930" s="26"/>
    </row>
    <row r="2931" spans="7:9" x14ac:dyDescent="0.3">
      <c r="G2931" s="26"/>
      <c r="H2931" s="26"/>
      <c r="I2931" s="26"/>
    </row>
    <row r="2932" spans="7:9" x14ac:dyDescent="0.3">
      <c r="G2932" s="26"/>
      <c r="H2932" s="26"/>
      <c r="I2932" s="26"/>
    </row>
    <row r="2933" spans="7:9" x14ac:dyDescent="0.3">
      <c r="G2933" s="26"/>
      <c r="H2933" s="26"/>
      <c r="I2933" s="26"/>
    </row>
    <row r="2934" spans="7:9" x14ac:dyDescent="0.3">
      <c r="G2934" s="26"/>
      <c r="H2934" s="26"/>
      <c r="I2934" s="26"/>
    </row>
    <row r="2935" spans="7:9" x14ac:dyDescent="0.3">
      <c r="G2935" s="26"/>
      <c r="H2935" s="26"/>
      <c r="I2935" s="26"/>
    </row>
    <row r="2936" spans="7:9" x14ac:dyDescent="0.3">
      <c r="G2936" s="26"/>
      <c r="H2936" s="26"/>
      <c r="I2936" s="26"/>
    </row>
    <row r="2937" spans="7:9" x14ac:dyDescent="0.3">
      <c r="G2937" s="26"/>
      <c r="H2937" s="26"/>
      <c r="I2937" s="26"/>
    </row>
    <row r="2938" spans="7:9" x14ac:dyDescent="0.3">
      <c r="G2938" s="26"/>
      <c r="H2938" s="26"/>
      <c r="I2938" s="26"/>
    </row>
    <row r="2939" spans="7:9" x14ac:dyDescent="0.3">
      <c r="G2939" s="26"/>
      <c r="H2939" s="26"/>
      <c r="I2939" s="26"/>
    </row>
    <row r="2940" spans="7:9" x14ac:dyDescent="0.3">
      <c r="G2940" s="26"/>
      <c r="H2940" s="26"/>
      <c r="I2940" s="26"/>
    </row>
    <row r="2941" spans="7:9" x14ac:dyDescent="0.3">
      <c r="G2941" s="26"/>
      <c r="H2941" s="26"/>
      <c r="I2941" s="26"/>
    </row>
    <row r="2942" spans="7:9" x14ac:dyDescent="0.3">
      <c r="G2942" s="26"/>
      <c r="H2942" s="26"/>
      <c r="I2942" s="26"/>
    </row>
    <row r="2943" spans="7:9" x14ac:dyDescent="0.3">
      <c r="G2943" s="26"/>
      <c r="H2943" s="26"/>
      <c r="I2943" s="26"/>
    </row>
    <row r="2944" spans="7:9" x14ac:dyDescent="0.3">
      <c r="G2944" s="26"/>
      <c r="H2944" s="26"/>
      <c r="I2944" s="26"/>
    </row>
    <row r="2945" spans="7:9" x14ac:dyDescent="0.3">
      <c r="G2945" s="26"/>
      <c r="H2945" s="26"/>
      <c r="I2945" s="26"/>
    </row>
    <row r="2946" spans="7:9" x14ac:dyDescent="0.3">
      <c r="G2946" s="26"/>
      <c r="H2946" s="26"/>
      <c r="I2946" s="26"/>
    </row>
    <row r="2947" spans="7:9" x14ac:dyDescent="0.3">
      <c r="G2947" s="26"/>
      <c r="H2947" s="26"/>
      <c r="I2947" s="26"/>
    </row>
    <row r="2948" spans="7:9" x14ac:dyDescent="0.3">
      <c r="G2948" s="26"/>
      <c r="H2948" s="26"/>
      <c r="I2948" s="26"/>
    </row>
    <row r="2949" spans="7:9" x14ac:dyDescent="0.3">
      <c r="G2949" s="26"/>
      <c r="H2949" s="26"/>
      <c r="I2949" s="26"/>
    </row>
    <row r="2950" spans="7:9" x14ac:dyDescent="0.3">
      <c r="G2950" s="26"/>
      <c r="H2950" s="26"/>
      <c r="I2950" s="26"/>
    </row>
    <row r="2951" spans="7:9" x14ac:dyDescent="0.3">
      <c r="G2951" s="26"/>
      <c r="H2951" s="26"/>
      <c r="I2951" s="26"/>
    </row>
    <row r="2952" spans="7:9" x14ac:dyDescent="0.3">
      <c r="G2952" s="26"/>
      <c r="H2952" s="26"/>
      <c r="I2952" s="26"/>
    </row>
    <row r="2953" spans="7:9" x14ac:dyDescent="0.3">
      <c r="G2953" s="26"/>
      <c r="H2953" s="26"/>
      <c r="I2953" s="26"/>
    </row>
    <row r="2954" spans="7:9" x14ac:dyDescent="0.3">
      <c r="G2954" s="26"/>
      <c r="H2954" s="26"/>
      <c r="I2954" s="26"/>
    </row>
    <row r="2955" spans="7:9" x14ac:dyDescent="0.3">
      <c r="G2955" s="26"/>
      <c r="H2955" s="26"/>
      <c r="I2955" s="26"/>
    </row>
    <row r="2956" spans="7:9" x14ac:dyDescent="0.3">
      <c r="G2956" s="26"/>
      <c r="H2956" s="26"/>
      <c r="I2956" s="26"/>
    </row>
    <row r="2957" spans="7:9" x14ac:dyDescent="0.3">
      <c r="G2957" s="26"/>
      <c r="H2957" s="26"/>
      <c r="I2957" s="26"/>
    </row>
    <row r="2958" spans="7:9" x14ac:dyDescent="0.3">
      <c r="G2958" s="26"/>
      <c r="H2958" s="26"/>
      <c r="I2958" s="26"/>
    </row>
    <row r="2959" spans="7:9" x14ac:dyDescent="0.3">
      <c r="G2959" s="26"/>
      <c r="H2959" s="26"/>
      <c r="I2959" s="26"/>
    </row>
    <row r="2960" spans="7:9" x14ac:dyDescent="0.3">
      <c r="G2960" s="26"/>
      <c r="H2960" s="26"/>
      <c r="I2960" s="26"/>
    </row>
    <row r="2961" spans="7:9" x14ac:dyDescent="0.3">
      <c r="G2961" s="26"/>
      <c r="H2961" s="26"/>
      <c r="I2961" s="26"/>
    </row>
    <row r="2962" spans="7:9" x14ac:dyDescent="0.3">
      <c r="G2962" s="26"/>
      <c r="H2962" s="26"/>
      <c r="I2962" s="26"/>
    </row>
    <row r="2963" spans="7:9" x14ac:dyDescent="0.3">
      <c r="G2963" s="26"/>
      <c r="H2963" s="26"/>
      <c r="I2963" s="26"/>
    </row>
    <row r="2964" spans="7:9" x14ac:dyDescent="0.3">
      <c r="G2964" s="26"/>
      <c r="H2964" s="26"/>
      <c r="I2964" s="26"/>
    </row>
    <row r="2965" spans="7:9" x14ac:dyDescent="0.3">
      <c r="G2965" s="26"/>
      <c r="H2965" s="26"/>
      <c r="I2965" s="26"/>
    </row>
    <row r="2966" spans="7:9" x14ac:dyDescent="0.3">
      <c r="G2966" s="26"/>
      <c r="H2966" s="26"/>
      <c r="I2966" s="26"/>
    </row>
    <row r="2967" spans="7:9" x14ac:dyDescent="0.3">
      <c r="G2967" s="26"/>
      <c r="H2967" s="26"/>
      <c r="I2967" s="26"/>
    </row>
    <row r="2968" spans="7:9" x14ac:dyDescent="0.3">
      <c r="G2968" s="26"/>
      <c r="H2968" s="26"/>
      <c r="I2968" s="26"/>
    </row>
    <row r="2969" spans="7:9" x14ac:dyDescent="0.3">
      <c r="G2969" s="26"/>
      <c r="H2969" s="26"/>
      <c r="I2969" s="26"/>
    </row>
    <row r="2970" spans="7:9" x14ac:dyDescent="0.3">
      <c r="G2970" s="26"/>
      <c r="H2970" s="26"/>
      <c r="I2970" s="26"/>
    </row>
    <row r="2971" spans="7:9" x14ac:dyDescent="0.3">
      <c r="G2971" s="26"/>
      <c r="H2971" s="26"/>
      <c r="I2971" s="26"/>
    </row>
    <row r="2972" spans="7:9" x14ac:dyDescent="0.3">
      <c r="G2972" s="26"/>
      <c r="H2972" s="26"/>
      <c r="I2972" s="26"/>
    </row>
    <row r="2973" spans="7:9" x14ac:dyDescent="0.3">
      <c r="G2973" s="26"/>
      <c r="H2973" s="26"/>
      <c r="I2973" s="26"/>
    </row>
    <row r="2974" spans="7:9" x14ac:dyDescent="0.3">
      <c r="G2974" s="26"/>
      <c r="H2974" s="26"/>
      <c r="I2974" s="26"/>
    </row>
    <row r="2975" spans="7:9" x14ac:dyDescent="0.3">
      <c r="G2975" s="26"/>
      <c r="H2975" s="26"/>
      <c r="I2975" s="26"/>
    </row>
    <row r="2976" spans="7:9" x14ac:dyDescent="0.3">
      <c r="G2976" s="26"/>
      <c r="H2976" s="26"/>
      <c r="I2976" s="26"/>
    </row>
    <row r="2977" spans="7:9" x14ac:dyDescent="0.3">
      <c r="G2977" s="26"/>
      <c r="H2977" s="26"/>
      <c r="I2977" s="26"/>
    </row>
    <row r="2978" spans="7:9" x14ac:dyDescent="0.3">
      <c r="G2978" s="26"/>
      <c r="H2978" s="26"/>
      <c r="I2978" s="26"/>
    </row>
    <row r="2979" spans="7:9" x14ac:dyDescent="0.3">
      <c r="G2979" s="26"/>
      <c r="H2979" s="26"/>
      <c r="I2979" s="26"/>
    </row>
    <row r="2980" spans="7:9" x14ac:dyDescent="0.3">
      <c r="G2980" s="26"/>
      <c r="H2980" s="26"/>
      <c r="I2980" s="26"/>
    </row>
    <row r="2981" spans="7:9" x14ac:dyDescent="0.3">
      <c r="G2981" s="26"/>
      <c r="H2981" s="26"/>
      <c r="I2981" s="26"/>
    </row>
    <row r="2982" spans="7:9" x14ac:dyDescent="0.3">
      <c r="G2982" s="26"/>
      <c r="H2982" s="26"/>
      <c r="I2982" s="26"/>
    </row>
    <row r="2983" spans="7:9" x14ac:dyDescent="0.3">
      <c r="G2983" s="26"/>
      <c r="H2983" s="26"/>
      <c r="I2983" s="26"/>
    </row>
    <row r="2984" spans="7:9" x14ac:dyDescent="0.3">
      <c r="G2984" s="26"/>
      <c r="H2984" s="26"/>
      <c r="I2984" s="26"/>
    </row>
    <row r="2985" spans="7:9" x14ac:dyDescent="0.3">
      <c r="G2985" s="26"/>
      <c r="H2985" s="26"/>
      <c r="I2985" s="26"/>
    </row>
    <row r="2986" spans="7:9" x14ac:dyDescent="0.3">
      <c r="G2986" s="26"/>
      <c r="H2986" s="26"/>
      <c r="I2986" s="26"/>
    </row>
    <row r="2987" spans="7:9" x14ac:dyDescent="0.3">
      <c r="G2987" s="26"/>
      <c r="H2987" s="26"/>
      <c r="I2987" s="26"/>
    </row>
    <row r="2988" spans="7:9" x14ac:dyDescent="0.3">
      <c r="G2988" s="26"/>
      <c r="H2988" s="26"/>
      <c r="I2988" s="26"/>
    </row>
    <row r="2989" spans="7:9" x14ac:dyDescent="0.3">
      <c r="G2989" s="26"/>
      <c r="H2989" s="26"/>
      <c r="I2989" s="26"/>
    </row>
    <row r="2990" spans="7:9" x14ac:dyDescent="0.3">
      <c r="G2990" s="26"/>
      <c r="H2990" s="26"/>
      <c r="I2990" s="26"/>
    </row>
    <row r="2991" spans="7:9" x14ac:dyDescent="0.3">
      <c r="G2991" s="26"/>
      <c r="H2991" s="26"/>
      <c r="I2991" s="26"/>
    </row>
    <row r="2992" spans="7:9" x14ac:dyDescent="0.3">
      <c r="G2992" s="26"/>
      <c r="H2992" s="26"/>
      <c r="I2992" s="26"/>
    </row>
    <row r="2993" spans="7:9" x14ac:dyDescent="0.3">
      <c r="G2993" s="26"/>
      <c r="H2993" s="26"/>
      <c r="I2993" s="26"/>
    </row>
    <row r="2994" spans="7:9" x14ac:dyDescent="0.3">
      <c r="G2994" s="26"/>
      <c r="H2994" s="26"/>
      <c r="I2994" s="26"/>
    </row>
    <row r="2995" spans="7:9" x14ac:dyDescent="0.3">
      <c r="G2995" s="26"/>
      <c r="H2995" s="26"/>
      <c r="I2995" s="26"/>
    </row>
    <row r="2996" spans="7:9" x14ac:dyDescent="0.3">
      <c r="G2996" s="26"/>
      <c r="H2996" s="26"/>
      <c r="I2996" s="26"/>
    </row>
    <row r="2997" spans="7:9" x14ac:dyDescent="0.3">
      <c r="G2997" s="26"/>
      <c r="H2997" s="26"/>
      <c r="I2997" s="26"/>
    </row>
    <row r="2998" spans="7:9" x14ac:dyDescent="0.3">
      <c r="G2998" s="26"/>
      <c r="H2998" s="26"/>
      <c r="I2998" s="26"/>
    </row>
    <row r="2999" spans="7:9" x14ac:dyDescent="0.3">
      <c r="G2999" s="26"/>
      <c r="H2999" s="26"/>
      <c r="I2999" s="26"/>
    </row>
    <row r="3000" spans="7:9" x14ac:dyDescent="0.3">
      <c r="G3000" s="26"/>
      <c r="H3000" s="26"/>
      <c r="I3000" s="26"/>
    </row>
    <row r="3001" spans="7:9" x14ac:dyDescent="0.3">
      <c r="G3001" s="26"/>
      <c r="H3001" s="26"/>
      <c r="I3001" s="26"/>
    </row>
    <row r="3002" spans="7:9" x14ac:dyDescent="0.3">
      <c r="G3002" s="26"/>
      <c r="H3002" s="26"/>
      <c r="I3002" s="26"/>
    </row>
    <row r="3003" spans="7:9" x14ac:dyDescent="0.3">
      <c r="G3003" s="26"/>
      <c r="H3003" s="26"/>
      <c r="I3003" s="26"/>
    </row>
    <row r="3004" spans="7:9" x14ac:dyDescent="0.3">
      <c r="G3004" s="26"/>
      <c r="H3004" s="26"/>
      <c r="I3004" s="26"/>
    </row>
    <row r="3005" spans="7:9" x14ac:dyDescent="0.3">
      <c r="G3005" s="26"/>
      <c r="H3005" s="26"/>
      <c r="I3005" s="26"/>
    </row>
    <row r="3006" spans="7:9" x14ac:dyDescent="0.3">
      <c r="G3006" s="26"/>
      <c r="H3006" s="26"/>
      <c r="I3006" s="26"/>
    </row>
    <row r="3007" spans="7:9" x14ac:dyDescent="0.3">
      <c r="G3007" s="26"/>
      <c r="H3007" s="26"/>
      <c r="I3007" s="26"/>
    </row>
    <row r="3008" spans="7:9" x14ac:dyDescent="0.3">
      <c r="G3008" s="26"/>
      <c r="H3008" s="26"/>
      <c r="I3008" s="26"/>
    </row>
    <row r="3009" spans="7:9" x14ac:dyDescent="0.3">
      <c r="G3009" s="26"/>
      <c r="H3009" s="26"/>
      <c r="I3009" s="26"/>
    </row>
    <row r="3010" spans="7:9" x14ac:dyDescent="0.3">
      <c r="G3010" s="26"/>
      <c r="H3010" s="26"/>
      <c r="I3010" s="26"/>
    </row>
    <row r="3011" spans="7:9" x14ac:dyDescent="0.3">
      <c r="G3011" s="26"/>
      <c r="H3011" s="26"/>
      <c r="I3011" s="26"/>
    </row>
    <row r="3012" spans="7:9" x14ac:dyDescent="0.3">
      <c r="G3012" s="26"/>
      <c r="H3012" s="26"/>
      <c r="I3012" s="26"/>
    </row>
    <row r="3013" spans="7:9" x14ac:dyDescent="0.3">
      <c r="G3013" s="26"/>
      <c r="H3013" s="26"/>
      <c r="I3013" s="26"/>
    </row>
    <row r="3014" spans="7:9" x14ac:dyDescent="0.3">
      <c r="G3014" s="26"/>
      <c r="H3014" s="26"/>
      <c r="I3014" s="26"/>
    </row>
    <row r="3015" spans="7:9" x14ac:dyDescent="0.3">
      <c r="G3015" s="26"/>
      <c r="H3015" s="26"/>
      <c r="I3015" s="26"/>
    </row>
    <row r="3016" spans="7:9" x14ac:dyDescent="0.3">
      <c r="G3016" s="26"/>
      <c r="H3016" s="26"/>
      <c r="I3016" s="26"/>
    </row>
    <row r="3017" spans="7:9" x14ac:dyDescent="0.3">
      <c r="G3017" s="26"/>
      <c r="H3017" s="26"/>
      <c r="I3017" s="26"/>
    </row>
    <row r="3018" spans="7:9" x14ac:dyDescent="0.3">
      <c r="G3018" s="26"/>
      <c r="H3018" s="26"/>
      <c r="I3018" s="26"/>
    </row>
    <row r="3019" spans="7:9" x14ac:dyDescent="0.3">
      <c r="G3019" s="26"/>
      <c r="H3019" s="26"/>
      <c r="I3019" s="26"/>
    </row>
    <row r="3020" spans="7:9" x14ac:dyDescent="0.3">
      <c r="G3020" s="26"/>
      <c r="H3020" s="26"/>
      <c r="I3020" s="26"/>
    </row>
    <row r="3021" spans="7:9" x14ac:dyDescent="0.3">
      <c r="G3021" s="26"/>
      <c r="H3021" s="26"/>
      <c r="I3021" s="26"/>
    </row>
    <row r="3022" spans="7:9" x14ac:dyDescent="0.3">
      <c r="G3022" s="26"/>
      <c r="H3022" s="26"/>
      <c r="I3022" s="26"/>
    </row>
    <row r="3023" spans="7:9" x14ac:dyDescent="0.3">
      <c r="G3023" s="26"/>
      <c r="H3023" s="26"/>
      <c r="I3023" s="26"/>
    </row>
    <row r="3024" spans="7:9" x14ac:dyDescent="0.3">
      <c r="G3024" s="26"/>
      <c r="H3024" s="26"/>
      <c r="I3024" s="26"/>
    </row>
    <row r="3025" spans="7:9" x14ac:dyDescent="0.3">
      <c r="G3025" s="26"/>
      <c r="H3025" s="26"/>
      <c r="I3025" s="26"/>
    </row>
    <row r="3026" spans="7:9" x14ac:dyDescent="0.3">
      <c r="G3026" s="26"/>
      <c r="H3026" s="26"/>
      <c r="I3026" s="26"/>
    </row>
    <row r="3027" spans="7:9" x14ac:dyDescent="0.3">
      <c r="G3027" s="26"/>
      <c r="H3027" s="26"/>
      <c r="I3027" s="26"/>
    </row>
    <row r="3028" spans="7:9" x14ac:dyDescent="0.3">
      <c r="G3028" s="26"/>
      <c r="H3028" s="26"/>
      <c r="I3028" s="26"/>
    </row>
    <row r="3029" spans="7:9" x14ac:dyDescent="0.3">
      <c r="G3029" s="26"/>
      <c r="H3029" s="26"/>
      <c r="I3029" s="26"/>
    </row>
    <row r="3030" spans="7:9" x14ac:dyDescent="0.3">
      <c r="G3030" s="26"/>
      <c r="H3030" s="26"/>
      <c r="I3030" s="26"/>
    </row>
    <row r="3031" spans="7:9" x14ac:dyDescent="0.3">
      <c r="G3031" s="26"/>
      <c r="H3031" s="26"/>
      <c r="I3031" s="26"/>
    </row>
    <row r="3032" spans="7:9" x14ac:dyDescent="0.3">
      <c r="G3032" s="26"/>
      <c r="H3032" s="26"/>
      <c r="I3032" s="26"/>
    </row>
    <row r="3033" spans="7:9" x14ac:dyDescent="0.3">
      <c r="G3033" s="26"/>
      <c r="H3033" s="26"/>
      <c r="I3033" s="26"/>
    </row>
    <row r="3034" spans="7:9" x14ac:dyDescent="0.3">
      <c r="G3034" s="26"/>
      <c r="H3034" s="26"/>
      <c r="I3034" s="26"/>
    </row>
    <row r="3035" spans="7:9" x14ac:dyDescent="0.3">
      <c r="G3035" s="26"/>
      <c r="H3035" s="26"/>
      <c r="I3035" s="26"/>
    </row>
    <row r="3036" spans="7:9" x14ac:dyDescent="0.3">
      <c r="G3036" s="26"/>
      <c r="H3036" s="26"/>
      <c r="I3036" s="26"/>
    </row>
    <row r="3037" spans="7:9" x14ac:dyDescent="0.3">
      <c r="G3037" s="26"/>
      <c r="H3037" s="26"/>
      <c r="I3037" s="26"/>
    </row>
    <row r="3038" spans="7:9" x14ac:dyDescent="0.3">
      <c r="G3038" s="26"/>
      <c r="H3038" s="26"/>
      <c r="I3038" s="26"/>
    </row>
    <row r="3039" spans="7:9" x14ac:dyDescent="0.3">
      <c r="G3039" s="26"/>
      <c r="H3039" s="26"/>
      <c r="I3039" s="26"/>
    </row>
    <row r="3040" spans="7:9" x14ac:dyDescent="0.3">
      <c r="G3040" s="26"/>
      <c r="H3040" s="26"/>
      <c r="I3040" s="26"/>
    </row>
    <row r="3041" spans="7:9" x14ac:dyDescent="0.3">
      <c r="G3041" s="26"/>
      <c r="H3041" s="26"/>
      <c r="I3041" s="26"/>
    </row>
    <row r="3042" spans="7:9" x14ac:dyDescent="0.3">
      <c r="G3042" s="26"/>
      <c r="H3042" s="26"/>
      <c r="I3042" s="26"/>
    </row>
    <row r="3043" spans="7:9" x14ac:dyDescent="0.3">
      <c r="G3043" s="26"/>
      <c r="H3043" s="26"/>
      <c r="I3043" s="26"/>
    </row>
    <row r="3044" spans="7:9" x14ac:dyDescent="0.3">
      <c r="G3044" s="26"/>
      <c r="H3044" s="26"/>
      <c r="I3044" s="26"/>
    </row>
    <row r="3045" spans="7:9" x14ac:dyDescent="0.3">
      <c r="G3045" s="26"/>
      <c r="H3045" s="26"/>
      <c r="I3045" s="26"/>
    </row>
    <row r="3046" spans="7:9" x14ac:dyDescent="0.3">
      <c r="G3046" s="26"/>
      <c r="H3046" s="26"/>
      <c r="I3046" s="26"/>
    </row>
    <row r="3047" spans="7:9" x14ac:dyDescent="0.3">
      <c r="G3047" s="26"/>
      <c r="H3047" s="26"/>
      <c r="I3047" s="26"/>
    </row>
    <row r="3048" spans="7:9" x14ac:dyDescent="0.3">
      <c r="G3048" s="26"/>
      <c r="H3048" s="26"/>
      <c r="I3048" s="26"/>
    </row>
    <row r="3049" spans="7:9" x14ac:dyDescent="0.3">
      <c r="G3049" s="26"/>
      <c r="H3049" s="26"/>
      <c r="I3049" s="26"/>
    </row>
    <row r="3050" spans="7:9" x14ac:dyDescent="0.3">
      <c r="G3050" s="26"/>
      <c r="H3050" s="26"/>
      <c r="I3050" s="26"/>
    </row>
    <row r="3051" spans="7:9" x14ac:dyDescent="0.3">
      <c r="G3051" s="26"/>
      <c r="H3051" s="26"/>
      <c r="I3051" s="26"/>
    </row>
    <row r="3052" spans="7:9" x14ac:dyDescent="0.3">
      <c r="G3052" s="26"/>
      <c r="H3052" s="26"/>
      <c r="I3052" s="26"/>
    </row>
    <row r="3053" spans="7:9" x14ac:dyDescent="0.3">
      <c r="G3053" s="26"/>
      <c r="H3053" s="26"/>
      <c r="I3053" s="26"/>
    </row>
    <row r="3054" spans="7:9" x14ac:dyDescent="0.3">
      <c r="G3054" s="26"/>
      <c r="H3054" s="26"/>
      <c r="I3054" s="26"/>
    </row>
    <row r="3055" spans="7:9" x14ac:dyDescent="0.3">
      <c r="G3055" s="26"/>
      <c r="H3055" s="26"/>
      <c r="I3055" s="26"/>
    </row>
    <row r="3056" spans="7:9" x14ac:dyDescent="0.3">
      <c r="G3056" s="26"/>
      <c r="H3056" s="26"/>
      <c r="I3056" s="26"/>
    </row>
    <row r="3057" spans="7:9" x14ac:dyDescent="0.3">
      <c r="G3057" s="26"/>
      <c r="H3057" s="26"/>
      <c r="I3057" s="26"/>
    </row>
    <row r="3058" spans="7:9" x14ac:dyDescent="0.3">
      <c r="G3058" s="26"/>
      <c r="H3058" s="26"/>
      <c r="I3058" s="26"/>
    </row>
    <row r="3059" spans="7:9" x14ac:dyDescent="0.3">
      <c r="G3059" s="26"/>
      <c r="H3059" s="26"/>
      <c r="I3059" s="26"/>
    </row>
    <row r="3060" spans="7:9" x14ac:dyDescent="0.3">
      <c r="G3060" s="26"/>
      <c r="H3060" s="26"/>
      <c r="I3060" s="26"/>
    </row>
    <row r="3061" spans="7:9" x14ac:dyDescent="0.3">
      <c r="G3061" s="26"/>
      <c r="H3061" s="26"/>
      <c r="I3061" s="26"/>
    </row>
    <row r="3062" spans="7:9" x14ac:dyDescent="0.3">
      <c r="G3062" s="26"/>
      <c r="H3062" s="26"/>
      <c r="I3062" s="26"/>
    </row>
    <row r="3063" spans="7:9" x14ac:dyDescent="0.3">
      <c r="G3063" s="26"/>
      <c r="H3063" s="26"/>
      <c r="I3063" s="26"/>
    </row>
    <row r="3064" spans="7:9" x14ac:dyDescent="0.3">
      <c r="G3064" s="26"/>
      <c r="H3064" s="26"/>
      <c r="I3064" s="26"/>
    </row>
    <row r="3065" spans="7:9" x14ac:dyDescent="0.3">
      <c r="G3065" s="26"/>
      <c r="H3065" s="26"/>
      <c r="I3065" s="26"/>
    </row>
    <row r="3066" spans="7:9" x14ac:dyDescent="0.3">
      <c r="G3066" s="26"/>
      <c r="H3066" s="26"/>
      <c r="I3066" s="26"/>
    </row>
    <row r="3067" spans="7:9" x14ac:dyDescent="0.3">
      <c r="G3067" s="26"/>
      <c r="H3067" s="26"/>
      <c r="I3067" s="26"/>
    </row>
    <row r="3068" spans="7:9" x14ac:dyDescent="0.3">
      <c r="G3068" s="26"/>
      <c r="H3068" s="26"/>
      <c r="I3068" s="26"/>
    </row>
    <row r="3069" spans="7:9" x14ac:dyDescent="0.3">
      <c r="G3069" s="26"/>
      <c r="H3069" s="26"/>
      <c r="I3069" s="26"/>
    </row>
    <row r="3070" spans="7:9" x14ac:dyDescent="0.3">
      <c r="G3070" s="26"/>
      <c r="H3070" s="26"/>
      <c r="I3070" s="26"/>
    </row>
    <row r="3071" spans="7:9" x14ac:dyDescent="0.3">
      <c r="G3071" s="26"/>
      <c r="H3071" s="26"/>
      <c r="I3071" s="26"/>
    </row>
    <row r="3072" spans="7:9" x14ac:dyDescent="0.3">
      <c r="G3072" s="26"/>
      <c r="H3072" s="26"/>
      <c r="I3072" s="26"/>
    </row>
    <row r="3073" spans="7:9" x14ac:dyDescent="0.3">
      <c r="G3073" s="26"/>
      <c r="H3073" s="26"/>
      <c r="I3073" s="26"/>
    </row>
    <row r="3074" spans="7:9" x14ac:dyDescent="0.3">
      <c r="G3074" s="26"/>
      <c r="H3074" s="26"/>
      <c r="I3074" s="26"/>
    </row>
    <row r="3075" spans="7:9" x14ac:dyDescent="0.3">
      <c r="G3075" s="26"/>
      <c r="H3075" s="26"/>
      <c r="I3075" s="26"/>
    </row>
    <row r="3076" spans="7:9" x14ac:dyDescent="0.3">
      <c r="G3076" s="26"/>
      <c r="H3076" s="26"/>
      <c r="I3076" s="26"/>
    </row>
    <row r="3077" spans="7:9" x14ac:dyDescent="0.3">
      <c r="G3077" s="26"/>
      <c r="H3077" s="26"/>
      <c r="I3077" s="26"/>
    </row>
    <row r="3078" spans="7:9" x14ac:dyDescent="0.3">
      <c r="G3078" s="26"/>
      <c r="H3078" s="26"/>
      <c r="I3078" s="26"/>
    </row>
    <row r="3079" spans="7:9" x14ac:dyDescent="0.3">
      <c r="G3079" s="26"/>
      <c r="H3079" s="26"/>
      <c r="I3079" s="26"/>
    </row>
    <row r="3080" spans="7:9" x14ac:dyDescent="0.3">
      <c r="G3080" s="26"/>
      <c r="H3080" s="26"/>
      <c r="I3080" s="26"/>
    </row>
    <row r="3081" spans="7:9" x14ac:dyDescent="0.3">
      <c r="G3081" s="26"/>
      <c r="H3081" s="26"/>
      <c r="I3081" s="26"/>
    </row>
    <row r="3082" spans="7:9" x14ac:dyDescent="0.3">
      <c r="G3082" s="26"/>
      <c r="H3082" s="26"/>
      <c r="I3082" s="26"/>
    </row>
    <row r="3083" spans="7:9" x14ac:dyDescent="0.3">
      <c r="G3083" s="26"/>
      <c r="H3083" s="26"/>
      <c r="I3083" s="26"/>
    </row>
    <row r="3084" spans="7:9" x14ac:dyDescent="0.3">
      <c r="G3084" s="26"/>
      <c r="H3084" s="26"/>
      <c r="I3084" s="26"/>
    </row>
    <row r="3085" spans="7:9" x14ac:dyDescent="0.3">
      <c r="G3085" s="26"/>
      <c r="H3085" s="26"/>
      <c r="I3085" s="26"/>
    </row>
    <row r="3086" spans="7:9" x14ac:dyDescent="0.3">
      <c r="G3086" s="26"/>
      <c r="H3086" s="26"/>
      <c r="I3086" s="26"/>
    </row>
    <row r="3087" spans="7:9" x14ac:dyDescent="0.3">
      <c r="G3087" s="26"/>
      <c r="H3087" s="26"/>
      <c r="I3087" s="26"/>
    </row>
    <row r="3088" spans="7:9" x14ac:dyDescent="0.3">
      <c r="G3088" s="26"/>
      <c r="H3088" s="26"/>
      <c r="I3088" s="26"/>
    </row>
    <row r="3089" spans="7:9" x14ac:dyDescent="0.3">
      <c r="G3089" s="26"/>
      <c r="H3089" s="26"/>
      <c r="I3089" s="26"/>
    </row>
    <row r="3090" spans="7:9" x14ac:dyDescent="0.3">
      <c r="G3090" s="26"/>
      <c r="H3090" s="26"/>
      <c r="I3090" s="26"/>
    </row>
    <row r="3091" spans="7:9" x14ac:dyDescent="0.3">
      <c r="G3091" s="26"/>
      <c r="H3091" s="26"/>
      <c r="I3091" s="26"/>
    </row>
    <row r="3092" spans="7:9" x14ac:dyDescent="0.3">
      <c r="G3092" s="26"/>
      <c r="H3092" s="26"/>
      <c r="I3092" s="26"/>
    </row>
    <row r="3093" spans="7:9" x14ac:dyDescent="0.3">
      <c r="G3093" s="26"/>
      <c r="H3093" s="26"/>
      <c r="I3093" s="26"/>
    </row>
    <row r="3094" spans="7:9" x14ac:dyDescent="0.3">
      <c r="G3094" s="26"/>
      <c r="H3094" s="26"/>
      <c r="I3094" s="26"/>
    </row>
    <row r="3095" spans="7:9" x14ac:dyDescent="0.3">
      <c r="G3095" s="26"/>
      <c r="H3095" s="26"/>
      <c r="I3095" s="26"/>
    </row>
    <row r="3096" spans="7:9" x14ac:dyDescent="0.3">
      <c r="G3096" s="26"/>
      <c r="H3096" s="26"/>
      <c r="I3096" s="26"/>
    </row>
    <row r="3097" spans="7:9" x14ac:dyDescent="0.3">
      <c r="G3097" s="26"/>
      <c r="H3097" s="26"/>
      <c r="I3097" s="26"/>
    </row>
    <row r="3098" spans="7:9" x14ac:dyDescent="0.3">
      <c r="G3098" s="26"/>
      <c r="H3098" s="26"/>
      <c r="I3098" s="26"/>
    </row>
    <row r="3099" spans="7:9" x14ac:dyDescent="0.3">
      <c r="G3099" s="26"/>
      <c r="H3099" s="26"/>
      <c r="I3099" s="26"/>
    </row>
    <row r="3100" spans="7:9" x14ac:dyDescent="0.3">
      <c r="G3100" s="26"/>
      <c r="H3100" s="26"/>
      <c r="I3100" s="26"/>
    </row>
    <row r="3101" spans="7:9" x14ac:dyDescent="0.3">
      <c r="G3101" s="26"/>
      <c r="H3101" s="26"/>
      <c r="I3101" s="26"/>
    </row>
    <row r="3102" spans="7:9" x14ac:dyDescent="0.3">
      <c r="G3102" s="26"/>
      <c r="H3102" s="26"/>
      <c r="I3102" s="26"/>
    </row>
    <row r="3103" spans="7:9" x14ac:dyDescent="0.3">
      <c r="G3103" s="26"/>
      <c r="H3103" s="26"/>
      <c r="I3103" s="26"/>
    </row>
    <row r="3104" spans="7:9" x14ac:dyDescent="0.3">
      <c r="G3104" s="26"/>
      <c r="H3104" s="26"/>
      <c r="I3104" s="26"/>
    </row>
    <row r="3105" spans="7:9" x14ac:dyDescent="0.3">
      <c r="G3105" s="26"/>
      <c r="H3105" s="26"/>
      <c r="I3105" s="26"/>
    </row>
    <row r="3106" spans="7:9" x14ac:dyDescent="0.3">
      <c r="G3106" s="26"/>
      <c r="H3106" s="26"/>
      <c r="I3106" s="26"/>
    </row>
    <row r="3107" spans="7:9" x14ac:dyDescent="0.3">
      <c r="G3107" s="26"/>
      <c r="H3107" s="26"/>
      <c r="I3107" s="26"/>
    </row>
    <row r="3108" spans="7:9" x14ac:dyDescent="0.3">
      <c r="G3108" s="26"/>
      <c r="H3108" s="26"/>
      <c r="I3108" s="26"/>
    </row>
    <row r="3109" spans="7:9" x14ac:dyDescent="0.3">
      <c r="G3109" s="26"/>
      <c r="H3109" s="26"/>
      <c r="I3109" s="26"/>
    </row>
    <row r="3110" spans="7:9" x14ac:dyDescent="0.3">
      <c r="G3110" s="26"/>
      <c r="H3110" s="26"/>
      <c r="I3110" s="26"/>
    </row>
    <row r="3111" spans="7:9" x14ac:dyDescent="0.3">
      <c r="G3111" s="26"/>
      <c r="H3111" s="26"/>
      <c r="I3111" s="26"/>
    </row>
    <row r="3112" spans="7:9" x14ac:dyDescent="0.3">
      <c r="G3112" s="26"/>
      <c r="H3112" s="26"/>
      <c r="I3112" s="26"/>
    </row>
    <row r="3113" spans="7:9" x14ac:dyDescent="0.3">
      <c r="G3113" s="26"/>
      <c r="H3113" s="26"/>
      <c r="I3113" s="26"/>
    </row>
    <row r="3114" spans="7:9" x14ac:dyDescent="0.3">
      <c r="G3114" s="26"/>
      <c r="H3114" s="26"/>
      <c r="I3114" s="26"/>
    </row>
    <row r="3115" spans="7:9" x14ac:dyDescent="0.3">
      <c r="G3115" s="26"/>
      <c r="H3115" s="26"/>
      <c r="I3115" s="26"/>
    </row>
    <row r="3116" spans="7:9" x14ac:dyDescent="0.3">
      <c r="G3116" s="26"/>
      <c r="H3116" s="26"/>
      <c r="I3116" s="26"/>
    </row>
    <row r="3117" spans="7:9" x14ac:dyDescent="0.3">
      <c r="G3117" s="26"/>
      <c r="H3117" s="26"/>
      <c r="I3117" s="26"/>
    </row>
    <row r="3118" spans="7:9" x14ac:dyDescent="0.3">
      <c r="G3118" s="26"/>
      <c r="H3118" s="26"/>
      <c r="I3118" s="26"/>
    </row>
    <row r="3119" spans="7:9" x14ac:dyDescent="0.3">
      <c r="G3119" s="26"/>
      <c r="H3119" s="26"/>
      <c r="I3119" s="26"/>
    </row>
    <row r="3120" spans="7:9" x14ac:dyDescent="0.3">
      <c r="G3120" s="26"/>
      <c r="H3120" s="26"/>
      <c r="I3120" s="26"/>
    </row>
    <row r="3121" spans="7:9" x14ac:dyDescent="0.3">
      <c r="G3121" s="26"/>
      <c r="H3121" s="26"/>
      <c r="I3121" s="26"/>
    </row>
    <row r="3122" spans="7:9" x14ac:dyDescent="0.3">
      <c r="G3122" s="26"/>
      <c r="H3122" s="26"/>
      <c r="I3122" s="26"/>
    </row>
    <row r="3123" spans="7:9" x14ac:dyDescent="0.3">
      <c r="G3123" s="26"/>
      <c r="H3123" s="26"/>
      <c r="I3123" s="26"/>
    </row>
    <row r="3124" spans="7:9" x14ac:dyDescent="0.3">
      <c r="G3124" s="26"/>
      <c r="H3124" s="26"/>
      <c r="I3124" s="26"/>
    </row>
    <row r="3125" spans="7:9" x14ac:dyDescent="0.3">
      <c r="G3125" s="26"/>
      <c r="H3125" s="26"/>
      <c r="I3125" s="26"/>
    </row>
    <row r="3126" spans="7:9" x14ac:dyDescent="0.3">
      <c r="G3126" s="26"/>
      <c r="H3126" s="26"/>
      <c r="I3126" s="26"/>
    </row>
    <row r="3127" spans="7:9" x14ac:dyDescent="0.3">
      <c r="G3127" s="26"/>
      <c r="H3127" s="26"/>
      <c r="I3127" s="26"/>
    </row>
    <row r="3128" spans="7:9" x14ac:dyDescent="0.3">
      <c r="G3128" s="26"/>
      <c r="H3128" s="26"/>
      <c r="I3128" s="26"/>
    </row>
    <row r="3129" spans="7:9" x14ac:dyDescent="0.3">
      <c r="G3129" s="26"/>
      <c r="H3129" s="26"/>
      <c r="I3129" s="26"/>
    </row>
    <row r="3130" spans="7:9" x14ac:dyDescent="0.3">
      <c r="G3130" s="26"/>
      <c r="H3130" s="26"/>
      <c r="I3130" s="26"/>
    </row>
    <row r="3131" spans="7:9" x14ac:dyDescent="0.3">
      <c r="G3131" s="26"/>
      <c r="H3131" s="26"/>
      <c r="I3131" s="26"/>
    </row>
    <row r="3132" spans="7:9" x14ac:dyDescent="0.3">
      <c r="G3132" s="26"/>
      <c r="H3132" s="26"/>
      <c r="I3132" s="26"/>
    </row>
    <row r="3133" spans="7:9" x14ac:dyDescent="0.3">
      <c r="G3133" s="26"/>
      <c r="H3133" s="26"/>
      <c r="I3133" s="26"/>
    </row>
    <row r="3134" spans="7:9" x14ac:dyDescent="0.3">
      <c r="G3134" s="26"/>
      <c r="H3134" s="26"/>
      <c r="I3134" s="26"/>
    </row>
    <row r="3135" spans="7:9" x14ac:dyDescent="0.3">
      <c r="G3135" s="26"/>
      <c r="H3135" s="26"/>
      <c r="I3135" s="26"/>
    </row>
    <row r="3136" spans="7:9" x14ac:dyDescent="0.3">
      <c r="G3136" s="26"/>
      <c r="H3136" s="26"/>
      <c r="I3136" s="26"/>
    </row>
    <row r="3137" spans="7:9" x14ac:dyDescent="0.3">
      <c r="G3137" s="26"/>
      <c r="H3137" s="26"/>
      <c r="I3137" s="26"/>
    </row>
    <row r="3138" spans="7:9" x14ac:dyDescent="0.3">
      <c r="G3138" s="26"/>
      <c r="H3138" s="26"/>
      <c r="I3138" s="26"/>
    </row>
    <row r="3139" spans="7:9" x14ac:dyDescent="0.3">
      <c r="G3139" s="26"/>
      <c r="H3139" s="26"/>
      <c r="I3139" s="26"/>
    </row>
    <row r="3140" spans="7:9" x14ac:dyDescent="0.3">
      <c r="G3140" s="26"/>
      <c r="H3140" s="26"/>
      <c r="I3140" s="26"/>
    </row>
    <row r="3141" spans="7:9" x14ac:dyDescent="0.3">
      <c r="G3141" s="26"/>
      <c r="H3141" s="26"/>
      <c r="I3141" s="26"/>
    </row>
    <row r="3142" spans="7:9" x14ac:dyDescent="0.3">
      <c r="G3142" s="26"/>
      <c r="H3142" s="26"/>
      <c r="I3142" s="26"/>
    </row>
    <row r="3143" spans="7:9" x14ac:dyDescent="0.3">
      <c r="G3143" s="26"/>
      <c r="H3143" s="26"/>
      <c r="I3143" s="26"/>
    </row>
    <row r="3144" spans="7:9" x14ac:dyDescent="0.3">
      <c r="G3144" s="26"/>
      <c r="H3144" s="26"/>
      <c r="I3144" s="26"/>
    </row>
    <row r="3145" spans="7:9" x14ac:dyDescent="0.3">
      <c r="G3145" s="26"/>
      <c r="H3145" s="26"/>
      <c r="I3145" s="26"/>
    </row>
    <row r="3146" spans="7:9" x14ac:dyDescent="0.3">
      <c r="G3146" s="26"/>
      <c r="H3146" s="26"/>
      <c r="I3146" s="26"/>
    </row>
    <row r="3147" spans="7:9" x14ac:dyDescent="0.3">
      <c r="G3147" s="26"/>
      <c r="H3147" s="26"/>
      <c r="I3147" s="26"/>
    </row>
    <row r="3148" spans="7:9" x14ac:dyDescent="0.3">
      <c r="G3148" s="26"/>
      <c r="H3148" s="26"/>
      <c r="I3148" s="26"/>
    </row>
    <row r="3149" spans="7:9" x14ac:dyDescent="0.3">
      <c r="G3149" s="26"/>
      <c r="H3149" s="26"/>
      <c r="I3149" s="26"/>
    </row>
    <row r="3150" spans="7:9" x14ac:dyDescent="0.3">
      <c r="G3150" s="26"/>
      <c r="H3150" s="26"/>
      <c r="I3150" s="26"/>
    </row>
    <row r="3151" spans="7:9" x14ac:dyDescent="0.3">
      <c r="G3151" s="26"/>
      <c r="H3151" s="26"/>
      <c r="I3151" s="26"/>
    </row>
    <row r="3152" spans="7:9" x14ac:dyDescent="0.3">
      <c r="G3152" s="26"/>
      <c r="H3152" s="26"/>
      <c r="I3152" s="26"/>
    </row>
    <row r="3153" spans="7:9" x14ac:dyDescent="0.3">
      <c r="G3153" s="26"/>
      <c r="H3153" s="26"/>
      <c r="I3153" s="26"/>
    </row>
    <row r="3154" spans="7:9" x14ac:dyDescent="0.3">
      <c r="G3154" s="26"/>
      <c r="H3154" s="26"/>
      <c r="I3154" s="26"/>
    </row>
    <row r="3155" spans="7:9" x14ac:dyDescent="0.3">
      <c r="G3155" s="26"/>
      <c r="H3155" s="26"/>
      <c r="I3155" s="26"/>
    </row>
    <row r="3156" spans="7:9" x14ac:dyDescent="0.3">
      <c r="G3156" s="26"/>
      <c r="H3156" s="26"/>
      <c r="I3156" s="26"/>
    </row>
    <row r="3157" spans="7:9" x14ac:dyDescent="0.3">
      <c r="G3157" s="26"/>
      <c r="H3157" s="26"/>
      <c r="I3157" s="26"/>
    </row>
    <row r="3158" spans="7:9" x14ac:dyDescent="0.3">
      <c r="G3158" s="26"/>
      <c r="H3158" s="26"/>
      <c r="I3158" s="26"/>
    </row>
    <row r="3159" spans="7:9" x14ac:dyDescent="0.3">
      <c r="G3159" s="26"/>
      <c r="H3159" s="26"/>
      <c r="I3159" s="26"/>
    </row>
    <row r="3160" spans="7:9" x14ac:dyDescent="0.3">
      <c r="G3160" s="26"/>
      <c r="H3160" s="26"/>
      <c r="I3160" s="26"/>
    </row>
    <row r="3161" spans="7:9" x14ac:dyDescent="0.3">
      <c r="G3161" s="26"/>
      <c r="H3161" s="26"/>
      <c r="I3161" s="26"/>
    </row>
    <row r="3162" spans="7:9" x14ac:dyDescent="0.3">
      <c r="G3162" s="26"/>
      <c r="H3162" s="26"/>
      <c r="I3162" s="26"/>
    </row>
    <row r="3163" spans="7:9" x14ac:dyDescent="0.3">
      <c r="G3163" s="26"/>
      <c r="H3163" s="26"/>
      <c r="I3163" s="26"/>
    </row>
    <row r="3164" spans="7:9" x14ac:dyDescent="0.3">
      <c r="G3164" s="26"/>
      <c r="H3164" s="26"/>
      <c r="I3164" s="26"/>
    </row>
    <row r="3165" spans="7:9" x14ac:dyDescent="0.3">
      <c r="G3165" s="26"/>
      <c r="H3165" s="26"/>
      <c r="I3165" s="26"/>
    </row>
    <row r="3166" spans="7:9" x14ac:dyDescent="0.3">
      <c r="G3166" s="26"/>
      <c r="H3166" s="26"/>
      <c r="I3166" s="26"/>
    </row>
    <row r="3167" spans="7:9" x14ac:dyDescent="0.3">
      <c r="G3167" s="26"/>
      <c r="H3167" s="26"/>
      <c r="I3167" s="26"/>
    </row>
    <row r="3168" spans="7:9" x14ac:dyDescent="0.3">
      <c r="G3168" s="26"/>
      <c r="H3168" s="26"/>
      <c r="I3168" s="26"/>
    </row>
    <row r="3169" spans="7:9" x14ac:dyDescent="0.3">
      <c r="G3169" s="26"/>
      <c r="H3169" s="26"/>
      <c r="I3169" s="26"/>
    </row>
    <row r="3170" spans="7:9" x14ac:dyDescent="0.3">
      <c r="G3170" s="26"/>
      <c r="H3170" s="26"/>
      <c r="I3170" s="26"/>
    </row>
    <row r="3171" spans="7:9" x14ac:dyDescent="0.3">
      <c r="G3171" s="26"/>
      <c r="H3171" s="26"/>
      <c r="I3171" s="26"/>
    </row>
    <row r="3172" spans="7:9" x14ac:dyDescent="0.3">
      <c r="G3172" s="26"/>
      <c r="H3172" s="26"/>
      <c r="I3172" s="26"/>
    </row>
    <row r="3173" spans="7:9" x14ac:dyDescent="0.3">
      <c r="G3173" s="26"/>
      <c r="H3173" s="26"/>
      <c r="I3173" s="26"/>
    </row>
    <row r="3174" spans="7:9" x14ac:dyDescent="0.3">
      <c r="G3174" s="26"/>
      <c r="H3174" s="26"/>
      <c r="I3174" s="26"/>
    </row>
    <row r="3175" spans="7:9" x14ac:dyDescent="0.3">
      <c r="G3175" s="26"/>
      <c r="H3175" s="26"/>
      <c r="I3175" s="26"/>
    </row>
    <row r="3176" spans="7:9" x14ac:dyDescent="0.3">
      <c r="G3176" s="26"/>
      <c r="H3176" s="26"/>
      <c r="I3176" s="26"/>
    </row>
    <row r="3177" spans="7:9" x14ac:dyDescent="0.3">
      <c r="G3177" s="26"/>
      <c r="H3177" s="26"/>
      <c r="I3177" s="26"/>
    </row>
    <row r="3178" spans="7:9" x14ac:dyDescent="0.3">
      <c r="G3178" s="26"/>
      <c r="H3178" s="26"/>
      <c r="I3178" s="26"/>
    </row>
    <row r="3179" spans="7:9" x14ac:dyDescent="0.3">
      <c r="G3179" s="26"/>
      <c r="H3179" s="26"/>
      <c r="I3179" s="26"/>
    </row>
    <row r="3180" spans="7:9" x14ac:dyDescent="0.3">
      <c r="G3180" s="26"/>
      <c r="H3180" s="26"/>
      <c r="I3180" s="26"/>
    </row>
    <row r="3181" spans="7:9" x14ac:dyDescent="0.3">
      <c r="G3181" s="26"/>
      <c r="H3181" s="26"/>
      <c r="I3181" s="26"/>
    </row>
    <row r="3182" spans="7:9" x14ac:dyDescent="0.3">
      <c r="G3182" s="26"/>
      <c r="H3182" s="26"/>
      <c r="I3182" s="26"/>
    </row>
    <row r="3183" spans="7:9" x14ac:dyDescent="0.3">
      <c r="G3183" s="26"/>
      <c r="H3183" s="26"/>
      <c r="I3183" s="26"/>
    </row>
    <row r="3184" spans="7:9" x14ac:dyDescent="0.3">
      <c r="G3184" s="26"/>
      <c r="H3184" s="26"/>
      <c r="I3184" s="26"/>
    </row>
    <row r="3185" spans="7:9" x14ac:dyDescent="0.3">
      <c r="G3185" s="26"/>
      <c r="H3185" s="26"/>
      <c r="I3185" s="26"/>
    </row>
    <row r="3186" spans="7:9" x14ac:dyDescent="0.3">
      <c r="G3186" s="26"/>
      <c r="H3186" s="26"/>
      <c r="I3186" s="26"/>
    </row>
    <row r="3187" spans="7:9" x14ac:dyDescent="0.3">
      <c r="G3187" s="26"/>
      <c r="H3187" s="26"/>
      <c r="I3187" s="26"/>
    </row>
    <row r="3188" spans="7:9" x14ac:dyDescent="0.3">
      <c r="G3188" s="26"/>
      <c r="H3188" s="26"/>
      <c r="I3188" s="26"/>
    </row>
    <row r="3189" spans="7:9" x14ac:dyDescent="0.3">
      <c r="G3189" s="26"/>
      <c r="H3189" s="26"/>
      <c r="I3189" s="26"/>
    </row>
    <row r="3190" spans="7:9" x14ac:dyDescent="0.3">
      <c r="G3190" s="26"/>
      <c r="H3190" s="26"/>
      <c r="I3190" s="26"/>
    </row>
    <row r="3191" spans="7:9" x14ac:dyDescent="0.3">
      <c r="G3191" s="26"/>
      <c r="H3191" s="26"/>
      <c r="I3191" s="26"/>
    </row>
    <row r="3192" spans="7:9" x14ac:dyDescent="0.3">
      <c r="G3192" s="26"/>
      <c r="H3192" s="26"/>
      <c r="I3192" s="26"/>
    </row>
    <row r="3193" spans="7:9" x14ac:dyDescent="0.3">
      <c r="G3193" s="26"/>
      <c r="H3193" s="26"/>
      <c r="I3193" s="26"/>
    </row>
    <row r="3194" spans="7:9" x14ac:dyDescent="0.3">
      <c r="G3194" s="26"/>
      <c r="H3194" s="26"/>
      <c r="I3194" s="26"/>
    </row>
    <row r="3195" spans="7:9" x14ac:dyDescent="0.3">
      <c r="G3195" s="26"/>
      <c r="H3195" s="26"/>
      <c r="I3195" s="26"/>
    </row>
    <row r="3196" spans="7:9" x14ac:dyDescent="0.3">
      <c r="G3196" s="26"/>
      <c r="H3196" s="26"/>
      <c r="I3196" s="26"/>
    </row>
    <row r="3197" spans="7:9" x14ac:dyDescent="0.3">
      <c r="G3197" s="26"/>
      <c r="H3197" s="26"/>
      <c r="I3197" s="26"/>
    </row>
    <row r="3198" spans="7:9" x14ac:dyDescent="0.3">
      <c r="G3198" s="26"/>
      <c r="H3198" s="26"/>
      <c r="I3198" s="26"/>
    </row>
    <row r="3199" spans="7:9" x14ac:dyDescent="0.3">
      <c r="G3199" s="26"/>
      <c r="H3199" s="26"/>
      <c r="I3199" s="26"/>
    </row>
    <row r="3200" spans="7:9" x14ac:dyDescent="0.3">
      <c r="G3200" s="26"/>
      <c r="H3200" s="26"/>
      <c r="I3200" s="26"/>
    </row>
    <row r="3201" spans="7:9" x14ac:dyDescent="0.3">
      <c r="G3201" s="26"/>
      <c r="H3201" s="26"/>
      <c r="I3201" s="26"/>
    </row>
    <row r="3202" spans="7:9" x14ac:dyDescent="0.3">
      <c r="G3202" s="26"/>
      <c r="H3202" s="26"/>
      <c r="I3202" s="26"/>
    </row>
    <row r="3203" spans="7:9" x14ac:dyDescent="0.3">
      <c r="G3203" s="26"/>
      <c r="H3203" s="26"/>
      <c r="I3203" s="26"/>
    </row>
    <row r="3204" spans="7:9" x14ac:dyDescent="0.3">
      <c r="G3204" s="26"/>
      <c r="H3204" s="26"/>
      <c r="I3204" s="26"/>
    </row>
    <row r="3205" spans="7:9" x14ac:dyDescent="0.3">
      <c r="G3205" s="26"/>
      <c r="H3205" s="26"/>
      <c r="I3205" s="26"/>
    </row>
    <row r="3206" spans="7:9" x14ac:dyDescent="0.3">
      <c r="G3206" s="26"/>
      <c r="H3206" s="26"/>
      <c r="I3206" s="26"/>
    </row>
    <row r="3207" spans="7:9" x14ac:dyDescent="0.3">
      <c r="G3207" s="26"/>
      <c r="H3207" s="26"/>
      <c r="I3207" s="26"/>
    </row>
    <row r="3208" spans="7:9" x14ac:dyDescent="0.3">
      <c r="G3208" s="26"/>
      <c r="H3208" s="26"/>
      <c r="I3208" s="26"/>
    </row>
    <row r="3209" spans="7:9" x14ac:dyDescent="0.3">
      <c r="G3209" s="26"/>
      <c r="H3209" s="26"/>
      <c r="I3209" s="26"/>
    </row>
    <row r="3210" spans="7:9" x14ac:dyDescent="0.3">
      <c r="G3210" s="26"/>
      <c r="H3210" s="26"/>
      <c r="I3210" s="26"/>
    </row>
    <row r="3211" spans="7:9" x14ac:dyDescent="0.3">
      <c r="G3211" s="26"/>
      <c r="H3211" s="26"/>
      <c r="I3211" s="26"/>
    </row>
    <row r="3212" spans="7:9" x14ac:dyDescent="0.3">
      <c r="G3212" s="26"/>
      <c r="H3212" s="26"/>
      <c r="I3212" s="26"/>
    </row>
    <row r="3213" spans="7:9" x14ac:dyDescent="0.3">
      <c r="G3213" s="26"/>
      <c r="H3213" s="26"/>
      <c r="I3213" s="26"/>
    </row>
    <row r="3214" spans="7:9" x14ac:dyDescent="0.3">
      <c r="G3214" s="26"/>
      <c r="H3214" s="26"/>
      <c r="I3214" s="26"/>
    </row>
    <row r="3215" spans="7:9" x14ac:dyDescent="0.3">
      <c r="G3215" s="26"/>
      <c r="H3215" s="26"/>
      <c r="I3215" s="26"/>
    </row>
    <row r="3216" spans="7:9" x14ac:dyDescent="0.3">
      <c r="G3216" s="26"/>
      <c r="H3216" s="26"/>
      <c r="I3216" s="26"/>
    </row>
    <row r="3217" spans="7:9" x14ac:dyDescent="0.3">
      <c r="G3217" s="26"/>
      <c r="H3217" s="26"/>
      <c r="I3217" s="26"/>
    </row>
    <row r="3218" spans="7:9" x14ac:dyDescent="0.3">
      <c r="G3218" s="26"/>
      <c r="H3218" s="26"/>
      <c r="I3218" s="26"/>
    </row>
    <row r="3219" spans="7:9" x14ac:dyDescent="0.3">
      <c r="G3219" s="26"/>
      <c r="H3219" s="26"/>
      <c r="I3219" s="26"/>
    </row>
    <row r="3220" spans="7:9" x14ac:dyDescent="0.3">
      <c r="G3220" s="26"/>
      <c r="H3220" s="26"/>
      <c r="I3220" s="26"/>
    </row>
    <row r="3221" spans="7:9" x14ac:dyDescent="0.3">
      <c r="G3221" s="26"/>
      <c r="H3221" s="26"/>
      <c r="I3221" s="26"/>
    </row>
    <row r="3222" spans="7:9" x14ac:dyDescent="0.3">
      <c r="G3222" s="26"/>
      <c r="H3222" s="26"/>
      <c r="I3222" s="26"/>
    </row>
    <row r="3223" spans="7:9" x14ac:dyDescent="0.3">
      <c r="G3223" s="26"/>
      <c r="H3223" s="26"/>
      <c r="I3223" s="26"/>
    </row>
    <row r="3224" spans="7:9" x14ac:dyDescent="0.3">
      <c r="G3224" s="26"/>
      <c r="H3224" s="26"/>
      <c r="I3224" s="26"/>
    </row>
    <row r="3225" spans="7:9" x14ac:dyDescent="0.3">
      <c r="G3225" s="26"/>
      <c r="H3225" s="26"/>
      <c r="I3225" s="26"/>
    </row>
    <row r="3226" spans="7:9" x14ac:dyDescent="0.3">
      <c r="G3226" s="26"/>
      <c r="H3226" s="26"/>
      <c r="I3226" s="26"/>
    </row>
    <row r="3227" spans="7:9" x14ac:dyDescent="0.3">
      <c r="G3227" s="26"/>
      <c r="H3227" s="26"/>
      <c r="I3227" s="26"/>
    </row>
    <row r="3228" spans="7:9" x14ac:dyDescent="0.3">
      <c r="G3228" s="26"/>
      <c r="H3228" s="26"/>
      <c r="I3228" s="26"/>
    </row>
    <row r="3229" spans="7:9" x14ac:dyDescent="0.3">
      <c r="G3229" s="26"/>
      <c r="H3229" s="26"/>
      <c r="I3229" s="26"/>
    </row>
    <row r="3230" spans="7:9" x14ac:dyDescent="0.3">
      <c r="G3230" s="26"/>
      <c r="H3230" s="26"/>
      <c r="I3230" s="26"/>
    </row>
    <row r="3231" spans="7:9" x14ac:dyDescent="0.3">
      <c r="G3231" s="26"/>
      <c r="H3231" s="26"/>
      <c r="I3231" s="26"/>
    </row>
    <row r="3232" spans="7:9" x14ac:dyDescent="0.3">
      <c r="G3232" s="26"/>
      <c r="H3232" s="26"/>
      <c r="I3232" s="26"/>
    </row>
    <row r="3233" spans="7:9" x14ac:dyDescent="0.3">
      <c r="G3233" s="26"/>
      <c r="H3233" s="26"/>
      <c r="I3233" s="26"/>
    </row>
    <row r="3234" spans="7:9" x14ac:dyDescent="0.3">
      <c r="G3234" s="26"/>
      <c r="H3234" s="26"/>
      <c r="I3234" s="26"/>
    </row>
    <row r="3235" spans="7:9" x14ac:dyDescent="0.3">
      <c r="G3235" s="26"/>
      <c r="H3235" s="26"/>
      <c r="I3235" s="26"/>
    </row>
    <row r="3236" spans="7:9" x14ac:dyDescent="0.3">
      <c r="G3236" s="26"/>
      <c r="H3236" s="26"/>
      <c r="I3236" s="26"/>
    </row>
    <row r="3237" spans="7:9" x14ac:dyDescent="0.3">
      <c r="G3237" s="26"/>
      <c r="H3237" s="26"/>
      <c r="I3237" s="26"/>
    </row>
    <row r="3238" spans="7:9" x14ac:dyDescent="0.3">
      <c r="G3238" s="26"/>
      <c r="H3238" s="26"/>
      <c r="I3238" s="26"/>
    </row>
    <row r="3239" spans="7:9" x14ac:dyDescent="0.3">
      <c r="G3239" s="26"/>
      <c r="H3239" s="26"/>
      <c r="I3239" s="26"/>
    </row>
    <row r="3240" spans="7:9" x14ac:dyDescent="0.3">
      <c r="G3240" s="26"/>
      <c r="H3240" s="26"/>
      <c r="I3240" s="26"/>
    </row>
    <row r="3241" spans="7:9" x14ac:dyDescent="0.3">
      <c r="G3241" s="26"/>
      <c r="H3241" s="26"/>
      <c r="I3241" s="26"/>
    </row>
    <row r="3242" spans="7:9" x14ac:dyDescent="0.3">
      <c r="G3242" s="26"/>
      <c r="H3242" s="26"/>
      <c r="I3242" s="26"/>
    </row>
    <row r="3243" spans="7:9" x14ac:dyDescent="0.3">
      <c r="G3243" s="26"/>
      <c r="H3243" s="26"/>
      <c r="I3243" s="26"/>
    </row>
    <row r="3244" spans="7:9" x14ac:dyDescent="0.3">
      <c r="G3244" s="26"/>
      <c r="H3244" s="26"/>
      <c r="I3244" s="26"/>
    </row>
    <row r="3245" spans="7:9" x14ac:dyDescent="0.3">
      <c r="G3245" s="26"/>
      <c r="H3245" s="26"/>
      <c r="I3245" s="26"/>
    </row>
    <row r="3246" spans="7:9" x14ac:dyDescent="0.3">
      <c r="G3246" s="26"/>
      <c r="H3246" s="26"/>
      <c r="I3246" s="26"/>
    </row>
    <row r="3247" spans="7:9" x14ac:dyDescent="0.3">
      <c r="G3247" s="26"/>
      <c r="H3247" s="26"/>
      <c r="I3247" s="26"/>
    </row>
    <row r="3248" spans="7:9" x14ac:dyDescent="0.3">
      <c r="G3248" s="26"/>
      <c r="H3248" s="26"/>
      <c r="I3248" s="26"/>
    </row>
    <row r="3249" spans="7:9" x14ac:dyDescent="0.3">
      <c r="G3249" s="26"/>
      <c r="H3249" s="26"/>
      <c r="I3249" s="26"/>
    </row>
    <row r="3250" spans="7:9" x14ac:dyDescent="0.3">
      <c r="G3250" s="26"/>
      <c r="H3250" s="26"/>
      <c r="I3250" s="26"/>
    </row>
    <row r="3251" spans="7:9" x14ac:dyDescent="0.3">
      <c r="G3251" s="26"/>
      <c r="H3251" s="26"/>
      <c r="I3251" s="26"/>
    </row>
    <row r="3252" spans="7:9" x14ac:dyDescent="0.3">
      <c r="G3252" s="26"/>
      <c r="H3252" s="26"/>
      <c r="I3252" s="26"/>
    </row>
    <row r="3253" spans="7:9" x14ac:dyDescent="0.3">
      <c r="G3253" s="26"/>
      <c r="H3253" s="26"/>
      <c r="I3253" s="26"/>
    </row>
    <row r="3254" spans="7:9" x14ac:dyDescent="0.3">
      <c r="G3254" s="26"/>
      <c r="H3254" s="26"/>
      <c r="I3254" s="26"/>
    </row>
    <row r="3255" spans="7:9" x14ac:dyDescent="0.3">
      <c r="G3255" s="26"/>
      <c r="H3255" s="26"/>
      <c r="I3255" s="26"/>
    </row>
    <row r="3256" spans="7:9" x14ac:dyDescent="0.3">
      <c r="G3256" s="26"/>
      <c r="H3256" s="26"/>
      <c r="I3256" s="26"/>
    </row>
    <row r="3257" spans="7:9" x14ac:dyDescent="0.3">
      <c r="G3257" s="26"/>
      <c r="H3257" s="26"/>
      <c r="I3257" s="26"/>
    </row>
    <row r="3258" spans="7:9" x14ac:dyDescent="0.3">
      <c r="G3258" s="26"/>
      <c r="H3258" s="26"/>
      <c r="I3258" s="26"/>
    </row>
    <row r="3259" spans="7:9" x14ac:dyDescent="0.3">
      <c r="G3259" s="26"/>
      <c r="H3259" s="26"/>
      <c r="I3259" s="26"/>
    </row>
    <row r="3260" spans="7:9" x14ac:dyDescent="0.3">
      <c r="G3260" s="26"/>
      <c r="H3260" s="26"/>
      <c r="I3260" s="26"/>
    </row>
    <row r="3261" spans="7:9" x14ac:dyDescent="0.3">
      <c r="G3261" s="26"/>
      <c r="H3261" s="26"/>
      <c r="I3261" s="26"/>
    </row>
    <row r="3262" spans="7:9" x14ac:dyDescent="0.3">
      <c r="G3262" s="26"/>
      <c r="H3262" s="26"/>
      <c r="I3262" s="26"/>
    </row>
    <row r="3263" spans="7:9" x14ac:dyDescent="0.3">
      <c r="G3263" s="26"/>
      <c r="H3263" s="26"/>
      <c r="I3263" s="26"/>
    </row>
    <row r="3264" spans="7:9" x14ac:dyDescent="0.3">
      <c r="G3264" s="26"/>
      <c r="H3264" s="26"/>
      <c r="I3264" s="26"/>
    </row>
    <row r="3265" spans="7:9" x14ac:dyDescent="0.3">
      <c r="G3265" s="26"/>
      <c r="H3265" s="26"/>
      <c r="I3265" s="26"/>
    </row>
    <row r="3266" spans="7:9" x14ac:dyDescent="0.3">
      <c r="G3266" s="26"/>
      <c r="H3266" s="26"/>
      <c r="I3266" s="26"/>
    </row>
    <row r="3267" spans="7:9" x14ac:dyDescent="0.3">
      <c r="G3267" s="26"/>
      <c r="H3267" s="26"/>
      <c r="I3267" s="26"/>
    </row>
    <row r="3268" spans="7:9" x14ac:dyDescent="0.3">
      <c r="G3268" s="26"/>
      <c r="H3268" s="26"/>
      <c r="I3268" s="26"/>
    </row>
    <row r="3269" spans="7:9" x14ac:dyDescent="0.3">
      <c r="G3269" s="26"/>
      <c r="H3269" s="26"/>
      <c r="I3269" s="26"/>
    </row>
    <row r="3270" spans="7:9" x14ac:dyDescent="0.3">
      <c r="G3270" s="26"/>
      <c r="H3270" s="26"/>
      <c r="I3270" s="26"/>
    </row>
    <row r="3271" spans="7:9" x14ac:dyDescent="0.3">
      <c r="G3271" s="26"/>
      <c r="H3271" s="26"/>
      <c r="I3271" s="26"/>
    </row>
    <row r="3272" spans="7:9" x14ac:dyDescent="0.3">
      <c r="G3272" s="26"/>
      <c r="H3272" s="26"/>
      <c r="I3272" s="26"/>
    </row>
    <row r="3273" spans="7:9" x14ac:dyDescent="0.3">
      <c r="G3273" s="26"/>
      <c r="H3273" s="26"/>
      <c r="I3273" s="26"/>
    </row>
    <row r="3274" spans="7:9" x14ac:dyDescent="0.3">
      <c r="G3274" s="26"/>
      <c r="H3274" s="26"/>
      <c r="I3274" s="26"/>
    </row>
    <row r="3275" spans="7:9" x14ac:dyDescent="0.3">
      <c r="G3275" s="26"/>
      <c r="H3275" s="26"/>
      <c r="I3275" s="26"/>
    </row>
    <row r="3276" spans="7:9" x14ac:dyDescent="0.3">
      <c r="G3276" s="26"/>
      <c r="H3276" s="26"/>
      <c r="I3276" s="26"/>
    </row>
    <row r="3277" spans="7:9" x14ac:dyDescent="0.3">
      <c r="G3277" s="26"/>
      <c r="H3277" s="26"/>
      <c r="I3277" s="26"/>
    </row>
    <row r="3278" spans="7:9" x14ac:dyDescent="0.3">
      <c r="G3278" s="26"/>
      <c r="H3278" s="26"/>
      <c r="I3278" s="26"/>
    </row>
    <row r="3279" spans="7:9" x14ac:dyDescent="0.3">
      <c r="G3279" s="26"/>
      <c r="H3279" s="26"/>
      <c r="I3279" s="26"/>
    </row>
    <row r="3280" spans="7:9" x14ac:dyDescent="0.3">
      <c r="G3280" s="26"/>
      <c r="H3280" s="26"/>
      <c r="I3280" s="26"/>
    </row>
    <row r="3281" spans="7:9" x14ac:dyDescent="0.3">
      <c r="G3281" s="26"/>
      <c r="H3281" s="26"/>
      <c r="I3281" s="26"/>
    </row>
    <row r="3282" spans="7:9" x14ac:dyDescent="0.3">
      <c r="G3282" s="26"/>
      <c r="H3282" s="26"/>
      <c r="I3282" s="26"/>
    </row>
    <row r="3283" spans="7:9" x14ac:dyDescent="0.3">
      <c r="G3283" s="26"/>
      <c r="H3283" s="26"/>
      <c r="I3283" s="26"/>
    </row>
    <row r="3284" spans="7:9" x14ac:dyDescent="0.3">
      <c r="G3284" s="26"/>
      <c r="H3284" s="26"/>
      <c r="I3284" s="26"/>
    </row>
    <row r="3285" spans="7:9" x14ac:dyDescent="0.3">
      <c r="G3285" s="26"/>
      <c r="H3285" s="26"/>
      <c r="I3285" s="26"/>
    </row>
    <row r="3286" spans="7:9" x14ac:dyDescent="0.3">
      <c r="G3286" s="26"/>
      <c r="H3286" s="26"/>
      <c r="I3286" s="26"/>
    </row>
    <row r="3287" spans="7:9" x14ac:dyDescent="0.3">
      <c r="G3287" s="26"/>
      <c r="H3287" s="26"/>
      <c r="I3287" s="26"/>
    </row>
    <row r="3288" spans="7:9" x14ac:dyDescent="0.3">
      <c r="G3288" s="26"/>
      <c r="H3288" s="26"/>
      <c r="I3288" s="26"/>
    </row>
    <row r="3289" spans="7:9" x14ac:dyDescent="0.3">
      <c r="G3289" s="26"/>
      <c r="H3289" s="26"/>
      <c r="I3289" s="26"/>
    </row>
    <row r="3290" spans="7:9" x14ac:dyDescent="0.3">
      <c r="G3290" s="26"/>
      <c r="H3290" s="26"/>
      <c r="I3290" s="26"/>
    </row>
    <row r="3291" spans="7:9" x14ac:dyDescent="0.3">
      <c r="G3291" s="26"/>
      <c r="H3291" s="26"/>
      <c r="I3291" s="26"/>
    </row>
    <row r="3292" spans="7:9" x14ac:dyDescent="0.3">
      <c r="G3292" s="26"/>
      <c r="H3292" s="26"/>
      <c r="I3292" s="26"/>
    </row>
    <row r="3293" spans="7:9" x14ac:dyDescent="0.3">
      <c r="G3293" s="26"/>
      <c r="H3293" s="26"/>
      <c r="I3293" s="26"/>
    </row>
    <row r="3294" spans="7:9" x14ac:dyDescent="0.3">
      <c r="G3294" s="26"/>
      <c r="H3294" s="26"/>
      <c r="I3294" s="26"/>
    </row>
    <row r="3295" spans="7:9" x14ac:dyDescent="0.3">
      <c r="G3295" s="26"/>
      <c r="H3295" s="26"/>
      <c r="I3295" s="26"/>
    </row>
    <row r="3296" spans="7:9" x14ac:dyDescent="0.3">
      <c r="G3296" s="26"/>
      <c r="H3296" s="26"/>
      <c r="I3296" s="26"/>
    </row>
    <row r="3297" spans="7:9" x14ac:dyDescent="0.3">
      <c r="G3297" s="26"/>
      <c r="H3297" s="26"/>
      <c r="I3297" s="26"/>
    </row>
    <row r="3298" spans="7:9" x14ac:dyDescent="0.3">
      <c r="G3298" s="26"/>
      <c r="H3298" s="26"/>
      <c r="I3298" s="26"/>
    </row>
    <row r="3299" spans="7:9" x14ac:dyDescent="0.3">
      <c r="G3299" s="26"/>
      <c r="H3299" s="26"/>
      <c r="I3299" s="26"/>
    </row>
    <row r="3300" spans="7:9" x14ac:dyDescent="0.3">
      <c r="G3300" s="26"/>
      <c r="H3300" s="26"/>
      <c r="I3300" s="26"/>
    </row>
    <row r="3301" spans="7:9" x14ac:dyDescent="0.3">
      <c r="G3301" s="26"/>
      <c r="H3301" s="26"/>
      <c r="I3301" s="26"/>
    </row>
    <row r="3302" spans="7:9" x14ac:dyDescent="0.3">
      <c r="G3302" s="26"/>
      <c r="H3302" s="26"/>
      <c r="I3302" s="26"/>
    </row>
    <row r="3303" spans="7:9" x14ac:dyDescent="0.3">
      <c r="G3303" s="26"/>
      <c r="H3303" s="26"/>
      <c r="I3303" s="26"/>
    </row>
    <row r="3304" spans="7:9" x14ac:dyDescent="0.3">
      <c r="G3304" s="26"/>
      <c r="H3304" s="26"/>
      <c r="I3304" s="26"/>
    </row>
    <row r="3305" spans="7:9" x14ac:dyDescent="0.3">
      <c r="G3305" s="26"/>
      <c r="H3305" s="26"/>
      <c r="I3305" s="26"/>
    </row>
    <row r="3306" spans="7:9" x14ac:dyDescent="0.3">
      <c r="G3306" s="26"/>
      <c r="H3306" s="26"/>
      <c r="I3306" s="26"/>
    </row>
    <row r="3307" spans="7:9" x14ac:dyDescent="0.3">
      <c r="G3307" s="26"/>
      <c r="H3307" s="26"/>
      <c r="I3307" s="26"/>
    </row>
    <row r="3308" spans="7:9" x14ac:dyDescent="0.3">
      <c r="G3308" s="26"/>
      <c r="H3308" s="26"/>
      <c r="I3308" s="26"/>
    </row>
    <row r="3309" spans="7:9" x14ac:dyDescent="0.3">
      <c r="G3309" s="26"/>
      <c r="H3309" s="26"/>
      <c r="I3309" s="26"/>
    </row>
    <row r="3310" spans="7:9" x14ac:dyDescent="0.3">
      <c r="G3310" s="26"/>
      <c r="H3310" s="26"/>
      <c r="I3310" s="26"/>
    </row>
    <row r="3311" spans="7:9" x14ac:dyDescent="0.3">
      <c r="G3311" s="26"/>
      <c r="H3311" s="26"/>
      <c r="I3311" s="26"/>
    </row>
    <row r="3312" spans="7:9" x14ac:dyDescent="0.3">
      <c r="G3312" s="26"/>
      <c r="H3312" s="26"/>
      <c r="I3312" s="26"/>
    </row>
    <row r="3313" spans="7:9" x14ac:dyDescent="0.3">
      <c r="G3313" s="26"/>
      <c r="H3313" s="26"/>
      <c r="I3313" s="26"/>
    </row>
    <row r="3314" spans="7:9" x14ac:dyDescent="0.3">
      <c r="G3314" s="26"/>
      <c r="H3314" s="26"/>
      <c r="I3314" s="26"/>
    </row>
    <row r="3315" spans="7:9" x14ac:dyDescent="0.3">
      <c r="G3315" s="26"/>
      <c r="H3315" s="26"/>
      <c r="I3315" s="26"/>
    </row>
    <row r="3316" spans="7:9" x14ac:dyDescent="0.3">
      <c r="G3316" s="26"/>
      <c r="H3316" s="26"/>
      <c r="I3316" s="26"/>
    </row>
    <row r="3317" spans="7:9" x14ac:dyDescent="0.3">
      <c r="G3317" s="26"/>
      <c r="H3317" s="26"/>
      <c r="I3317" s="26"/>
    </row>
    <row r="3318" spans="7:9" x14ac:dyDescent="0.3">
      <c r="G3318" s="26"/>
      <c r="H3318" s="26"/>
      <c r="I3318" s="26"/>
    </row>
    <row r="3319" spans="7:9" x14ac:dyDescent="0.3">
      <c r="G3319" s="26"/>
      <c r="H3319" s="26"/>
      <c r="I3319" s="26"/>
    </row>
    <row r="3320" spans="7:9" x14ac:dyDescent="0.3">
      <c r="G3320" s="26"/>
      <c r="H3320" s="26"/>
      <c r="I3320" s="26"/>
    </row>
    <row r="3321" spans="7:9" x14ac:dyDescent="0.3">
      <c r="G3321" s="26"/>
      <c r="H3321" s="26"/>
      <c r="I3321" s="26"/>
    </row>
    <row r="3322" spans="7:9" x14ac:dyDescent="0.3">
      <c r="G3322" s="26"/>
      <c r="H3322" s="26"/>
      <c r="I3322" s="26"/>
    </row>
    <row r="3323" spans="7:9" x14ac:dyDescent="0.3">
      <c r="G3323" s="26"/>
      <c r="H3323" s="26"/>
      <c r="I3323" s="26"/>
    </row>
    <row r="3324" spans="7:9" x14ac:dyDescent="0.3">
      <c r="G3324" s="26"/>
      <c r="H3324" s="26"/>
      <c r="I3324" s="26"/>
    </row>
    <row r="3325" spans="7:9" x14ac:dyDescent="0.3">
      <c r="G3325" s="26"/>
      <c r="H3325" s="26"/>
      <c r="I3325" s="26"/>
    </row>
    <row r="3326" spans="7:9" x14ac:dyDescent="0.3">
      <c r="G3326" s="26"/>
      <c r="H3326" s="26"/>
      <c r="I3326" s="26"/>
    </row>
    <row r="3327" spans="7:9" x14ac:dyDescent="0.3">
      <c r="G3327" s="26"/>
      <c r="H3327" s="26"/>
      <c r="I3327" s="26"/>
    </row>
    <row r="3328" spans="7:9" x14ac:dyDescent="0.3">
      <c r="G3328" s="26"/>
      <c r="H3328" s="26"/>
      <c r="I3328" s="26"/>
    </row>
    <row r="3329" spans="7:9" x14ac:dyDescent="0.3">
      <c r="G3329" s="26"/>
      <c r="H3329" s="26"/>
      <c r="I3329" s="26"/>
    </row>
    <row r="3330" spans="7:9" x14ac:dyDescent="0.3">
      <c r="G3330" s="26"/>
      <c r="H3330" s="26"/>
      <c r="I3330" s="26"/>
    </row>
    <row r="3331" spans="7:9" x14ac:dyDescent="0.3">
      <c r="G3331" s="26"/>
      <c r="H3331" s="26"/>
      <c r="I3331" s="26"/>
    </row>
    <row r="3332" spans="7:9" x14ac:dyDescent="0.3">
      <c r="G3332" s="26"/>
      <c r="H3332" s="26"/>
      <c r="I3332" s="26"/>
    </row>
    <row r="3333" spans="7:9" x14ac:dyDescent="0.3">
      <c r="G3333" s="26"/>
      <c r="H3333" s="26"/>
      <c r="I3333" s="26"/>
    </row>
    <row r="3334" spans="7:9" x14ac:dyDescent="0.3">
      <c r="G3334" s="26"/>
      <c r="H3334" s="26"/>
      <c r="I3334" s="26"/>
    </row>
    <row r="3335" spans="7:9" x14ac:dyDescent="0.3">
      <c r="G3335" s="26"/>
      <c r="H3335" s="26"/>
      <c r="I3335" s="26"/>
    </row>
    <row r="3336" spans="7:9" x14ac:dyDescent="0.3">
      <c r="G3336" s="26"/>
      <c r="H3336" s="26"/>
      <c r="I3336" s="26"/>
    </row>
    <row r="3337" spans="7:9" x14ac:dyDescent="0.3">
      <c r="G3337" s="26"/>
      <c r="H3337" s="26"/>
      <c r="I3337" s="26"/>
    </row>
    <row r="3338" spans="7:9" x14ac:dyDescent="0.3">
      <c r="G3338" s="26"/>
      <c r="H3338" s="26"/>
      <c r="I3338" s="26"/>
    </row>
    <row r="3339" spans="7:9" x14ac:dyDescent="0.3">
      <c r="G3339" s="26"/>
      <c r="H3339" s="26"/>
      <c r="I3339" s="26"/>
    </row>
    <row r="3340" spans="7:9" x14ac:dyDescent="0.3">
      <c r="G3340" s="26"/>
      <c r="H3340" s="26"/>
      <c r="I3340" s="26"/>
    </row>
    <row r="3341" spans="7:9" x14ac:dyDescent="0.3">
      <c r="G3341" s="26"/>
      <c r="H3341" s="26"/>
      <c r="I3341" s="26"/>
    </row>
    <row r="3342" spans="7:9" x14ac:dyDescent="0.3">
      <c r="G3342" s="26"/>
      <c r="H3342" s="26"/>
      <c r="I3342" s="26"/>
    </row>
    <row r="3343" spans="7:9" x14ac:dyDescent="0.3">
      <c r="G3343" s="26"/>
      <c r="H3343" s="26"/>
      <c r="I3343" s="26"/>
    </row>
    <row r="3344" spans="7:9" x14ac:dyDescent="0.3">
      <c r="G3344" s="26"/>
      <c r="H3344" s="26"/>
      <c r="I3344" s="26"/>
    </row>
    <row r="3345" spans="7:9" x14ac:dyDescent="0.3">
      <c r="G3345" s="26"/>
      <c r="H3345" s="26"/>
      <c r="I3345" s="26"/>
    </row>
    <row r="3346" spans="7:9" x14ac:dyDescent="0.3">
      <c r="G3346" s="26"/>
      <c r="H3346" s="26"/>
      <c r="I3346" s="26"/>
    </row>
    <row r="3347" spans="7:9" x14ac:dyDescent="0.3">
      <c r="G3347" s="26"/>
      <c r="H3347" s="26"/>
      <c r="I3347" s="26"/>
    </row>
    <row r="3348" spans="7:9" x14ac:dyDescent="0.3">
      <c r="G3348" s="26"/>
      <c r="H3348" s="26"/>
      <c r="I3348" s="26"/>
    </row>
    <row r="3349" spans="7:9" x14ac:dyDescent="0.3">
      <c r="G3349" s="26"/>
      <c r="H3349" s="26"/>
      <c r="I3349" s="26"/>
    </row>
    <row r="3350" spans="7:9" x14ac:dyDescent="0.3">
      <c r="G3350" s="26"/>
      <c r="H3350" s="26"/>
      <c r="I3350" s="26"/>
    </row>
    <row r="3351" spans="7:9" x14ac:dyDescent="0.3">
      <c r="G3351" s="26"/>
      <c r="H3351" s="26"/>
      <c r="I3351" s="26"/>
    </row>
    <row r="3352" spans="7:9" x14ac:dyDescent="0.3">
      <c r="G3352" s="26"/>
      <c r="H3352" s="26"/>
      <c r="I3352" s="26"/>
    </row>
    <row r="3353" spans="7:9" x14ac:dyDescent="0.3">
      <c r="G3353" s="26"/>
      <c r="H3353" s="26"/>
      <c r="I3353" s="26"/>
    </row>
    <row r="3354" spans="7:9" x14ac:dyDescent="0.3">
      <c r="G3354" s="26"/>
      <c r="H3354" s="26"/>
      <c r="I3354" s="26"/>
    </row>
    <row r="3355" spans="7:9" x14ac:dyDescent="0.3">
      <c r="G3355" s="26"/>
      <c r="H3355" s="26"/>
      <c r="I3355" s="26"/>
    </row>
    <row r="3356" spans="7:9" x14ac:dyDescent="0.3">
      <c r="G3356" s="26"/>
      <c r="H3356" s="26"/>
      <c r="I3356" s="26"/>
    </row>
    <row r="3357" spans="7:9" x14ac:dyDescent="0.3">
      <c r="G3357" s="26"/>
      <c r="H3357" s="26"/>
      <c r="I3357" s="26"/>
    </row>
    <row r="3358" spans="7:9" x14ac:dyDescent="0.3">
      <c r="G3358" s="26"/>
      <c r="H3358" s="26"/>
      <c r="I3358" s="26"/>
    </row>
    <row r="3359" spans="7:9" x14ac:dyDescent="0.3">
      <c r="G3359" s="26"/>
      <c r="H3359" s="26"/>
      <c r="I3359" s="26"/>
    </row>
    <row r="3360" spans="7:9" x14ac:dyDescent="0.3">
      <c r="G3360" s="26"/>
      <c r="H3360" s="26"/>
      <c r="I3360" s="26"/>
    </row>
    <row r="3361" spans="7:9" x14ac:dyDescent="0.3">
      <c r="G3361" s="26"/>
      <c r="H3361" s="26"/>
      <c r="I3361" s="26"/>
    </row>
    <row r="3362" spans="7:9" x14ac:dyDescent="0.3">
      <c r="G3362" s="26"/>
      <c r="H3362" s="26"/>
      <c r="I3362" s="26"/>
    </row>
    <row r="3363" spans="7:9" x14ac:dyDescent="0.3">
      <c r="G3363" s="26"/>
      <c r="H3363" s="26"/>
      <c r="I3363" s="26"/>
    </row>
    <row r="3364" spans="7:9" x14ac:dyDescent="0.3">
      <c r="G3364" s="26"/>
      <c r="H3364" s="26"/>
      <c r="I3364" s="26"/>
    </row>
    <row r="3365" spans="7:9" x14ac:dyDescent="0.3">
      <c r="G3365" s="26"/>
      <c r="H3365" s="26"/>
      <c r="I3365" s="26"/>
    </row>
    <row r="3366" spans="7:9" x14ac:dyDescent="0.3">
      <c r="G3366" s="26"/>
      <c r="H3366" s="26"/>
      <c r="I3366" s="26"/>
    </row>
    <row r="3367" spans="7:9" x14ac:dyDescent="0.3">
      <c r="G3367" s="26"/>
      <c r="H3367" s="26"/>
      <c r="I3367" s="26"/>
    </row>
    <row r="3368" spans="7:9" x14ac:dyDescent="0.3">
      <c r="G3368" s="26"/>
      <c r="H3368" s="26"/>
      <c r="I3368" s="26"/>
    </row>
    <row r="3369" spans="7:9" x14ac:dyDescent="0.3">
      <c r="G3369" s="26"/>
      <c r="H3369" s="26"/>
      <c r="I3369" s="26"/>
    </row>
    <row r="3370" spans="7:9" x14ac:dyDescent="0.3">
      <c r="G3370" s="26"/>
      <c r="H3370" s="26"/>
      <c r="I3370" s="26"/>
    </row>
    <row r="3371" spans="7:9" x14ac:dyDescent="0.3">
      <c r="G3371" s="26"/>
      <c r="H3371" s="26"/>
      <c r="I3371" s="26"/>
    </row>
    <row r="3372" spans="7:9" x14ac:dyDescent="0.3">
      <c r="G3372" s="26"/>
      <c r="H3372" s="26"/>
      <c r="I3372" s="26"/>
    </row>
    <row r="3373" spans="7:9" x14ac:dyDescent="0.3">
      <c r="G3373" s="26"/>
      <c r="H3373" s="26"/>
      <c r="I3373" s="26"/>
    </row>
    <row r="3374" spans="7:9" x14ac:dyDescent="0.3">
      <c r="G3374" s="26"/>
      <c r="H3374" s="26"/>
      <c r="I3374" s="26"/>
    </row>
    <row r="3375" spans="7:9" x14ac:dyDescent="0.3">
      <c r="G3375" s="26"/>
      <c r="H3375" s="26"/>
      <c r="I3375" s="26"/>
    </row>
    <row r="3376" spans="7:9" x14ac:dyDescent="0.3">
      <c r="G3376" s="26"/>
      <c r="H3376" s="26"/>
      <c r="I3376" s="26"/>
    </row>
    <row r="3377" spans="7:9" x14ac:dyDescent="0.3">
      <c r="G3377" s="26"/>
      <c r="H3377" s="26"/>
      <c r="I3377" s="26"/>
    </row>
    <row r="3378" spans="7:9" x14ac:dyDescent="0.3">
      <c r="G3378" s="26"/>
      <c r="H3378" s="26"/>
      <c r="I3378" s="26"/>
    </row>
    <row r="3379" spans="7:9" x14ac:dyDescent="0.3">
      <c r="G3379" s="26"/>
      <c r="H3379" s="26"/>
      <c r="I3379" s="26"/>
    </row>
    <row r="3380" spans="7:9" x14ac:dyDescent="0.3">
      <c r="G3380" s="26"/>
      <c r="H3380" s="26"/>
      <c r="I3380" s="26"/>
    </row>
    <row r="3381" spans="7:9" x14ac:dyDescent="0.3">
      <c r="G3381" s="26"/>
      <c r="H3381" s="26"/>
      <c r="I3381" s="26"/>
    </row>
    <row r="3382" spans="7:9" x14ac:dyDescent="0.3">
      <c r="G3382" s="26"/>
      <c r="H3382" s="26"/>
      <c r="I3382" s="26"/>
    </row>
    <row r="3383" spans="7:9" x14ac:dyDescent="0.3">
      <c r="G3383" s="26"/>
      <c r="H3383" s="26"/>
      <c r="I3383" s="26"/>
    </row>
    <row r="3384" spans="7:9" x14ac:dyDescent="0.3">
      <c r="G3384" s="26"/>
      <c r="H3384" s="26"/>
      <c r="I3384" s="26"/>
    </row>
    <row r="3385" spans="7:9" x14ac:dyDescent="0.3">
      <c r="G3385" s="26"/>
      <c r="H3385" s="26"/>
      <c r="I3385" s="26"/>
    </row>
    <row r="3386" spans="7:9" x14ac:dyDescent="0.3">
      <c r="G3386" s="26"/>
      <c r="H3386" s="26"/>
      <c r="I3386" s="26"/>
    </row>
    <row r="3387" spans="7:9" x14ac:dyDescent="0.3">
      <c r="G3387" s="26"/>
      <c r="H3387" s="26"/>
      <c r="I3387" s="26"/>
    </row>
    <row r="3388" spans="7:9" x14ac:dyDescent="0.3">
      <c r="G3388" s="26"/>
      <c r="H3388" s="26"/>
      <c r="I3388" s="26"/>
    </row>
    <row r="3389" spans="7:9" x14ac:dyDescent="0.3">
      <c r="G3389" s="26"/>
      <c r="H3389" s="26"/>
      <c r="I3389" s="26"/>
    </row>
    <row r="3390" spans="7:9" x14ac:dyDescent="0.3">
      <c r="G3390" s="26"/>
      <c r="H3390" s="26"/>
      <c r="I3390" s="26"/>
    </row>
    <row r="3391" spans="7:9" x14ac:dyDescent="0.3">
      <c r="G3391" s="26"/>
      <c r="H3391" s="26"/>
      <c r="I3391" s="26"/>
    </row>
    <row r="3392" spans="7:9" x14ac:dyDescent="0.3">
      <c r="G3392" s="26"/>
      <c r="H3392" s="26"/>
      <c r="I3392" s="26"/>
    </row>
    <row r="3393" spans="7:9" x14ac:dyDescent="0.3">
      <c r="G3393" s="26"/>
      <c r="H3393" s="26"/>
      <c r="I3393" s="26"/>
    </row>
    <row r="3394" spans="7:9" x14ac:dyDescent="0.3">
      <c r="G3394" s="26"/>
      <c r="H3394" s="26"/>
      <c r="I3394" s="26"/>
    </row>
    <row r="3395" spans="7:9" x14ac:dyDescent="0.3">
      <c r="G3395" s="26"/>
      <c r="H3395" s="26"/>
      <c r="I3395" s="26"/>
    </row>
    <row r="3396" spans="7:9" x14ac:dyDescent="0.3">
      <c r="G3396" s="26"/>
      <c r="H3396" s="26"/>
      <c r="I3396" s="26"/>
    </row>
    <row r="3397" spans="7:9" x14ac:dyDescent="0.3">
      <c r="G3397" s="26"/>
      <c r="H3397" s="26"/>
      <c r="I3397" s="26"/>
    </row>
    <row r="3398" spans="7:9" x14ac:dyDescent="0.3">
      <c r="G3398" s="26"/>
      <c r="H3398" s="26"/>
      <c r="I3398" s="26"/>
    </row>
    <row r="3399" spans="7:9" x14ac:dyDescent="0.3">
      <c r="G3399" s="26"/>
      <c r="H3399" s="26"/>
      <c r="I3399" s="26"/>
    </row>
    <row r="3400" spans="7:9" x14ac:dyDescent="0.3">
      <c r="G3400" s="26"/>
      <c r="H3400" s="26"/>
      <c r="I3400" s="26"/>
    </row>
    <row r="3401" spans="7:9" x14ac:dyDescent="0.3">
      <c r="G3401" s="26"/>
      <c r="H3401" s="26"/>
      <c r="I3401" s="26"/>
    </row>
    <row r="3402" spans="7:9" x14ac:dyDescent="0.3">
      <c r="G3402" s="26"/>
      <c r="H3402" s="26"/>
      <c r="I3402" s="26"/>
    </row>
    <row r="3403" spans="7:9" x14ac:dyDescent="0.3">
      <c r="G3403" s="26"/>
      <c r="H3403" s="26"/>
      <c r="I3403" s="26"/>
    </row>
    <row r="3404" spans="7:9" x14ac:dyDescent="0.3">
      <c r="G3404" s="26"/>
      <c r="H3404" s="26"/>
      <c r="I3404" s="26"/>
    </row>
    <row r="3405" spans="7:9" x14ac:dyDescent="0.3">
      <c r="G3405" s="26"/>
      <c r="H3405" s="26"/>
      <c r="I3405" s="26"/>
    </row>
    <row r="3406" spans="7:9" x14ac:dyDescent="0.3">
      <c r="G3406" s="26"/>
      <c r="H3406" s="26"/>
      <c r="I3406" s="26"/>
    </row>
    <row r="3407" spans="7:9" x14ac:dyDescent="0.3">
      <c r="G3407" s="26"/>
      <c r="H3407" s="26"/>
      <c r="I3407" s="26"/>
    </row>
    <row r="3408" spans="7:9" x14ac:dyDescent="0.3">
      <c r="G3408" s="26"/>
      <c r="H3408" s="26"/>
      <c r="I3408" s="26"/>
    </row>
    <row r="3409" spans="7:9" x14ac:dyDescent="0.3">
      <c r="G3409" s="26"/>
      <c r="H3409" s="26"/>
      <c r="I3409" s="26"/>
    </row>
    <row r="3410" spans="7:9" x14ac:dyDescent="0.3">
      <c r="G3410" s="26"/>
      <c r="H3410" s="26"/>
      <c r="I3410" s="26"/>
    </row>
    <row r="3411" spans="7:9" x14ac:dyDescent="0.3">
      <c r="G3411" s="26"/>
      <c r="H3411" s="26"/>
      <c r="I3411" s="26"/>
    </row>
    <row r="3412" spans="7:9" x14ac:dyDescent="0.3">
      <c r="G3412" s="26"/>
      <c r="H3412" s="26"/>
      <c r="I3412" s="26"/>
    </row>
    <row r="3413" spans="7:9" x14ac:dyDescent="0.3">
      <c r="G3413" s="26"/>
      <c r="H3413" s="26"/>
      <c r="I3413" s="26"/>
    </row>
    <row r="3414" spans="7:9" x14ac:dyDescent="0.3">
      <c r="G3414" s="26"/>
      <c r="H3414" s="26"/>
      <c r="I3414" s="26"/>
    </row>
    <row r="3415" spans="7:9" x14ac:dyDescent="0.3">
      <c r="G3415" s="26"/>
      <c r="H3415" s="26"/>
      <c r="I3415" s="26"/>
    </row>
    <row r="3416" spans="7:9" x14ac:dyDescent="0.3">
      <c r="G3416" s="26"/>
      <c r="H3416" s="26"/>
      <c r="I3416" s="26"/>
    </row>
    <row r="3417" spans="7:9" x14ac:dyDescent="0.3">
      <c r="G3417" s="26"/>
      <c r="H3417" s="26"/>
      <c r="I3417" s="26"/>
    </row>
    <row r="3418" spans="7:9" x14ac:dyDescent="0.3">
      <c r="G3418" s="26"/>
      <c r="H3418" s="26"/>
      <c r="I3418" s="26"/>
    </row>
    <row r="3419" spans="7:9" x14ac:dyDescent="0.3">
      <c r="G3419" s="26"/>
      <c r="H3419" s="26"/>
      <c r="I3419" s="26"/>
    </row>
    <row r="3420" spans="7:9" x14ac:dyDescent="0.3">
      <c r="G3420" s="26"/>
      <c r="H3420" s="26"/>
      <c r="I3420" s="26"/>
    </row>
    <row r="3421" spans="7:9" x14ac:dyDescent="0.3">
      <c r="G3421" s="26"/>
      <c r="H3421" s="26"/>
      <c r="I3421" s="26"/>
    </row>
    <row r="3422" spans="7:9" x14ac:dyDescent="0.3">
      <c r="G3422" s="26"/>
      <c r="H3422" s="26"/>
      <c r="I3422" s="26"/>
    </row>
    <row r="3423" spans="7:9" x14ac:dyDescent="0.3">
      <c r="G3423" s="26"/>
      <c r="H3423" s="26"/>
      <c r="I3423" s="26"/>
    </row>
    <row r="3424" spans="7:9" x14ac:dyDescent="0.3">
      <c r="G3424" s="26"/>
      <c r="H3424" s="26"/>
      <c r="I3424" s="26"/>
    </row>
    <row r="3425" spans="7:9" x14ac:dyDescent="0.3">
      <c r="G3425" s="26"/>
      <c r="H3425" s="26"/>
      <c r="I3425" s="26"/>
    </row>
    <row r="3426" spans="7:9" x14ac:dyDescent="0.3">
      <c r="G3426" s="26"/>
      <c r="H3426" s="26"/>
      <c r="I3426" s="26"/>
    </row>
    <row r="3427" spans="7:9" x14ac:dyDescent="0.3">
      <c r="G3427" s="26"/>
      <c r="H3427" s="26"/>
      <c r="I3427" s="26"/>
    </row>
    <row r="3428" spans="7:9" x14ac:dyDescent="0.3">
      <c r="G3428" s="26"/>
      <c r="H3428" s="26"/>
      <c r="I3428" s="26"/>
    </row>
    <row r="3429" spans="7:9" x14ac:dyDescent="0.3">
      <c r="G3429" s="26"/>
      <c r="H3429" s="26"/>
      <c r="I3429" s="26"/>
    </row>
    <row r="3430" spans="7:9" x14ac:dyDescent="0.3">
      <c r="G3430" s="26"/>
      <c r="H3430" s="26"/>
      <c r="I3430" s="26"/>
    </row>
    <row r="3431" spans="7:9" x14ac:dyDescent="0.3">
      <c r="G3431" s="26"/>
      <c r="H3431" s="26"/>
      <c r="I3431" s="26"/>
    </row>
    <row r="3432" spans="7:9" x14ac:dyDescent="0.3">
      <c r="G3432" s="26"/>
      <c r="H3432" s="26"/>
      <c r="I3432" s="26"/>
    </row>
    <row r="3433" spans="7:9" x14ac:dyDescent="0.3">
      <c r="G3433" s="26"/>
      <c r="H3433" s="26"/>
      <c r="I3433" s="26"/>
    </row>
    <row r="3434" spans="7:9" x14ac:dyDescent="0.3">
      <c r="G3434" s="26"/>
      <c r="H3434" s="26"/>
      <c r="I3434" s="26"/>
    </row>
    <row r="3435" spans="7:9" x14ac:dyDescent="0.3">
      <c r="G3435" s="26"/>
      <c r="H3435" s="26"/>
      <c r="I3435" s="26"/>
    </row>
    <row r="3436" spans="7:9" x14ac:dyDescent="0.3">
      <c r="G3436" s="26"/>
      <c r="H3436" s="26"/>
      <c r="I3436" s="26"/>
    </row>
    <row r="3437" spans="7:9" x14ac:dyDescent="0.3">
      <c r="G3437" s="26"/>
      <c r="H3437" s="26"/>
      <c r="I3437" s="26"/>
    </row>
    <row r="3438" spans="7:9" x14ac:dyDescent="0.3">
      <c r="G3438" s="26"/>
      <c r="H3438" s="26"/>
      <c r="I3438" s="26"/>
    </row>
    <row r="3439" spans="7:9" x14ac:dyDescent="0.3">
      <c r="G3439" s="26"/>
      <c r="H3439" s="26"/>
      <c r="I3439" s="26"/>
    </row>
    <row r="3440" spans="7:9" x14ac:dyDescent="0.3">
      <c r="G3440" s="26"/>
      <c r="H3440" s="26"/>
      <c r="I3440" s="26"/>
    </row>
    <row r="3441" spans="7:9" x14ac:dyDescent="0.3">
      <c r="G3441" s="26"/>
      <c r="H3441" s="26"/>
      <c r="I3441" s="26"/>
    </row>
    <row r="3442" spans="7:9" x14ac:dyDescent="0.3">
      <c r="G3442" s="26"/>
      <c r="H3442" s="26"/>
      <c r="I3442" s="26"/>
    </row>
    <row r="3443" spans="7:9" x14ac:dyDescent="0.3">
      <c r="G3443" s="26"/>
      <c r="H3443" s="26"/>
      <c r="I3443" s="26"/>
    </row>
    <row r="3444" spans="7:9" x14ac:dyDescent="0.3">
      <c r="G3444" s="26"/>
      <c r="H3444" s="26"/>
      <c r="I3444" s="26"/>
    </row>
    <row r="3445" spans="7:9" x14ac:dyDescent="0.3">
      <c r="G3445" s="26"/>
      <c r="H3445" s="26"/>
      <c r="I3445" s="26"/>
    </row>
    <row r="3446" spans="7:9" x14ac:dyDescent="0.3">
      <c r="G3446" s="26"/>
      <c r="H3446" s="26"/>
      <c r="I3446" s="26"/>
    </row>
    <row r="3447" spans="7:9" x14ac:dyDescent="0.3">
      <c r="G3447" s="26"/>
      <c r="H3447" s="26"/>
      <c r="I3447" s="26"/>
    </row>
    <row r="3448" spans="7:9" x14ac:dyDescent="0.3">
      <c r="G3448" s="26"/>
      <c r="H3448" s="26"/>
      <c r="I3448" s="26"/>
    </row>
    <row r="3449" spans="7:9" x14ac:dyDescent="0.3">
      <c r="G3449" s="26"/>
      <c r="H3449" s="26"/>
      <c r="I3449" s="26"/>
    </row>
    <row r="3450" spans="7:9" x14ac:dyDescent="0.3">
      <c r="G3450" s="26"/>
      <c r="H3450" s="26"/>
      <c r="I3450" s="26"/>
    </row>
    <row r="3451" spans="7:9" x14ac:dyDescent="0.3">
      <c r="G3451" s="26"/>
      <c r="H3451" s="26"/>
      <c r="I3451" s="26"/>
    </row>
    <row r="3452" spans="7:9" x14ac:dyDescent="0.3">
      <c r="G3452" s="26"/>
      <c r="H3452" s="26"/>
      <c r="I3452" s="26"/>
    </row>
    <row r="3453" spans="7:9" x14ac:dyDescent="0.3">
      <c r="G3453" s="26"/>
      <c r="H3453" s="26"/>
      <c r="I3453" s="26"/>
    </row>
    <row r="3454" spans="7:9" x14ac:dyDescent="0.3">
      <c r="G3454" s="26"/>
      <c r="H3454" s="26"/>
      <c r="I3454" s="26"/>
    </row>
    <row r="3455" spans="7:9" x14ac:dyDescent="0.3">
      <c r="G3455" s="26"/>
      <c r="H3455" s="26"/>
      <c r="I3455" s="26"/>
    </row>
    <row r="3456" spans="7:9" x14ac:dyDescent="0.3">
      <c r="G3456" s="26"/>
      <c r="H3456" s="26"/>
      <c r="I3456" s="26"/>
    </row>
    <row r="3457" spans="7:9" x14ac:dyDescent="0.3">
      <c r="G3457" s="26"/>
      <c r="H3457" s="26"/>
      <c r="I3457" s="26"/>
    </row>
    <row r="3458" spans="7:9" x14ac:dyDescent="0.3">
      <c r="G3458" s="26"/>
      <c r="H3458" s="26"/>
      <c r="I3458" s="26"/>
    </row>
    <row r="3459" spans="7:9" x14ac:dyDescent="0.3">
      <c r="G3459" s="26"/>
      <c r="H3459" s="26"/>
      <c r="I3459" s="26"/>
    </row>
    <row r="3460" spans="7:9" x14ac:dyDescent="0.3">
      <c r="G3460" s="26"/>
      <c r="H3460" s="26"/>
      <c r="I3460" s="26"/>
    </row>
    <row r="3461" spans="7:9" x14ac:dyDescent="0.3">
      <c r="G3461" s="26"/>
      <c r="H3461" s="26"/>
      <c r="I3461" s="26"/>
    </row>
    <row r="3462" spans="7:9" x14ac:dyDescent="0.3">
      <c r="G3462" s="26"/>
      <c r="H3462" s="26"/>
      <c r="I3462" s="26"/>
    </row>
    <row r="3463" spans="7:9" x14ac:dyDescent="0.3">
      <c r="G3463" s="26"/>
      <c r="H3463" s="26"/>
      <c r="I3463" s="26"/>
    </row>
    <row r="3464" spans="7:9" x14ac:dyDescent="0.3">
      <c r="G3464" s="26"/>
      <c r="H3464" s="26"/>
      <c r="I3464" s="26"/>
    </row>
    <row r="3465" spans="7:9" x14ac:dyDescent="0.3">
      <c r="G3465" s="26"/>
      <c r="H3465" s="26"/>
      <c r="I3465" s="26"/>
    </row>
    <row r="3466" spans="7:9" x14ac:dyDescent="0.3">
      <c r="G3466" s="26"/>
      <c r="H3466" s="26"/>
      <c r="I3466" s="26"/>
    </row>
    <row r="3467" spans="7:9" x14ac:dyDescent="0.3">
      <c r="G3467" s="26"/>
      <c r="H3467" s="26"/>
      <c r="I3467" s="26"/>
    </row>
    <row r="3468" spans="7:9" x14ac:dyDescent="0.3">
      <c r="G3468" s="26"/>
      <c r="H3468" s="26"/>
      <c r="I3468" s="26"/>
    </row>
    <row r="3469" spans="7:9" x14ac:dyDescent="0.3">
      <c r="G3469" s="26"/>
      <c r="H3469" s="26"/>
      <c r="I3469" s="26"/>
    </row>
    <row r="3470" spans="7:9" x14ac:dyDescent="0.3">
      <c r="G3470" s="26"/>
      <c r="H3470" s="26"/>
      <c r="I3470" s="26"/>
    </row>
    <row r="3471" spans="7:9" x14ac:dyDescent="0.3">
      <c r="G3471" s="26"/>
      <c r="H3471" s="26"/>
      <c r="I3471" s="26"/>
    </row>
    <row r="3472" spans="7:9" x14ac:dyDescent="0.3">
      <c r="G3472" s="26"/>
      <c r="H3472" s="26"/>
      <c r="I3472" s="26"/>
    </row>
    <row r="3473" spans="7:9" x14ac:dyDescent="0.3">
      <c r="G3473" s="26"/>
      <c r="H3473" s="26"/>
      <c r="I3473" s="26"/>
    </row>
    <row r="3474" spans="7:9" x14ac:dyDescent="0.3">
      <c r="G3474" s="26"/>
      <c r="H3474" s="26"/>
      <c r="I3474" s="26"/>
    </row>
    <row r="3475" spans="7:9" x14ac:dyDescent="0.3">
      <c r="G3475" s="26"/>
      <c r="H3475" s="26"/>
      <c r="I3475" s="26"/>
    </row>
    <row r="3476" spans="7:9" x14ac:dyDescent="0.3">
      <c r="G3476" s="26"/>
      <c r="H3476" s="26"/>
      <c r="I3476" s="26"/>
    </row>
    <row r="3477" spans="7:9" x14ac:dyDescent="0.3">
      <c r="G3477" s="26"/>
      <c r="H3477" s="26"/>
      <c r="I3477" s="26"/>
    </row>
    <row r="3478" spans="7:9" x14ac:dyDescent="0.3">
      <c r="G3478" s="26"/>
      <c r="H3478" s="26"/>
      <c r="I3478" s="26"/>
    </row>
    <row r="3479" spans="7:9" x14ac:dyDescent="0.3">
      <c r="G3479" s="26"/>
      <c r="H3479" s="26"/>
      <c r="I3479" s="26"/>
    </row>
    <row r="3480" spans="7:9" x14ac:dyDescent="0.3">
      <c r="G3480" s="26"/>
      <c r="H3480" s="26"/>
      <c r="I3480" s="26"/>
    </row>
    <row r="3481" spans="7:9" x14ac:dyDescent="0.3">
      <c r="G3481" s="26"/>
      <c r="H3481" s="26"/>
      <c r="I3481" s="26"/>
    </row>
    <row r="3482" spans="7:9" x14ac:dyDescent="0.3">
      <c r="G3482" s="26"/>
      <c r="H3482" s="26"/>
      <c r="I3482" s="26"/>
    </row>
    <row r="3483" spans="7:9" x14ac:dyDescent="0.3">
      <c r="G3483" s="26"/>
      <c r="H3483" s="26"/>
      <c r="I3483" s="26"/>
    </row>
    <row r="3484" spans="7:9" x14ac:dyDescent="0.3">
      <c r="G3484" s="26"/>
      <c r="H3484" s="26"/>
      <c r="I3484" s="26"/>
    </row>
    <row r="3485" spans="7:9" x14ac:dyDescent="0.3">
      <c r="G3485" s="26"/>
      <c r="H3485" s="26"/>
      <c r="I3485" s="26"/>
    </row>
    <row r="3486" spans="7:9" x14ac:dyDescent="0.3">
      <c r="G3486" s="26"/>
      <c r="H3486" s="26"/>
      <c r="I3486" s="26"/>
    </row>
    <row r="3487" spans="7:9" x14ac:dyDescent="0.3">
      <c r="G3487" s="26"/>
      <c r="H3487" s="26"/>
      <c r="I3487" s="26"/>
    </row>
    <row r="3488" spans="7:9" x14ac:dyDescent="0.3">
      <c r="G3488" s="26"/>
      <c r="H3488" s="26"/>
      <c r="I3488" s="26"/>
    </row>
    <row r="3489" spans="7:9" x14ac:dyDescent="0.3">
      <c r="G3489" s="26"/>
      <c r="H3489" s="26"/>
      <c r="I3489" s="26"/>
    </row>
    <row r="3490" spans="7:9" x14ac:dyDescent="0.3">
      <c r="G3490" s="26"/>
      <c r="H3490" s="26"/>
      <c r="I3490" s="26"/>
    </row>
    <row r="3491" spans="7:9" x14ac:dyDescent="0.3">
      <c r="G3491" s="26"/>
      <c r="H3491" s="26"/>
      <c r="I3491" s="26"/>
    </row>
    <row r="3492" spans="7:9" x14ac:dyDescent="0.3">
      <c r="G3492" s="26"/>
      <c r="H3492" s="26"/>
      <c r="I3492" s="26"/>
    </row>
    <row r="3493" spans="7:9" x14ac:dyDescent="0.3">
      <c r="G3493" s="26"/>
      <c r="H3493" s="26"/>
      <c r="I3493" s="26"/>
    </row>
    <row r="3494" spans="7:9" x14ac:dyDescent="0.3">
      <c r="G3494" s="26"/>
      <c r="H3494" s="26"/>
      <c r="I3494" s="26"/>
    </row>
    <row r="3495" spans="7:9" x14ac:dyDescent="0.3">
      <c r="G3495" s="26"/>
      <c r="H3495" s="26"/>
      <c r="I3495" s="26"/>
    </row>
    <row r="3496" spans="7:9" x14ac:dyDescent="0.3">
      <c r="G3496" s="26"/>
      <c r="H3496" s="26"/>
      <c r="I3496" s="26"/>
    </row>
    <row r="3497" spans="7:9" x14ac:dyDescent="0.3">
      <c r="G3497" s="26"/>
      <c r="H3497" s="26"/>
      <c r="I3497" s="26"/>
    </row>
    <row r="3498" spans="7:9" x14ac:dyDescent="0.3">
      <c r="G3498" s="26"/>
      <c r="H3498" s="26"/>
      <c r="I3498" s="26"/>
    </row>
    <row r="3499" spans="7:9" x14ac:dyDescent="0.3">
      <c r="G3499" s="26"/>
      <c r="H3499" s="26"/>
      <c r="I3499" s="26"/>
    </row>
    <row r="3500" spans="7:9" x14ac:dyDescent="0.3">
      <c r="G3500" s="26"/>
      <c r="H3500" s="26"/>
      <c r="I3500" s="26"/>
    </row>
    <row r="3501" spans="7:9" x14ac:dyDescent="0.3">
      <c r="G3501" s="26"/>
      <c r="H3501" s="26"/>
      <c r="I3501" s="26"/>
    </row>
    <row r="3502" spans="7:9" x14ac:dyDescent="0.3">
      <c r="G3502" s="26"/>
      <c r="H3502" s="26"/>
      <c r="I3502" s="26"/>
    </row>
    <row r="3503" spans="7:9" x14ac:dyDescent="0.3">
      <c r="G3503" s="26"/>
      <c r="H3503" s="26"/>
      <c r="I3503" s="26"/>
    </row>
    <row r="3504" spans="7:9" x14ac:dyDescent="0.3">
      <c r="G3504" s="26"/>
      <c r="H3504" s="26"/>
      <c r="I3504" s="26"/>
    </row>
    <row r="3505" spans="7:9" x14ac:dyDescent="0.3">
      <c r="G3505" s="26"/>
      <c r="H3505" s="26"/>
      <c r="I3505" s="26"/>
    </row>
    <row r="3506" spans="7:9" x14ac:dyDescent="0.3">
      <c r="G3506" s="26"/>
      <c r="H3506" s="26"/>
      <c r="I3506" s="26"/>
    </row>
    <row r="3507" spans="7:9" x14ac:dyDescent="0.3">
      <c r="G3507" s="26"/>
      <c r="H3507" s="26"/>
      <c r="I3507" s="26"/>
    </row>
    <row r="3508" spans="7:9" x14ac:dyDescent="0.3">
      <c r="G3508" s="26"/>
      <c r="H3508" s="26"/>
      <c r="I3508" s="26"/>
    </row>
    <row r="3509" spans="7:9" x14ac:dyDescent="0.3">
      <c r="G3509" s="26"/>
      <c r="H3509" s="26"/>
      <c r="I3509" s="26"/>
    </row>
    <row r="3510" spans="7:9" x14ac:dyDescent="0.3">
      <c r="G3510" s="26"/>
      <c r="H3510" s="26"/>
      <c r="I3510" s="26"/>
    </row>
    <row r="3511" spans="7:9" x14ac:dyDescent="0.3">
      <c r="G3511" s="26"/>
      <c r="H3511" s="26"/>
      <c r="I3511" s="26"/>
    </row>
    <row r="3512" spans="7:9" x14ac:dyDescent="0.3">
      <c r="G3512" s="26"/>
      <c r="H3512" s="26"/>
      <c r="I3512" s="26"/>
    </row>
    <row r="3513" spans="7:9" x14ac:dyDescent="0.3">
      <c r="G3513" s="26"/>
      <c r="H3513" s="26"/>
      <c r="I3513" s="26"/>
    </row>
    <row r="3514" spans="7:9" x14ac:dyDescent="0.3">
      <c r="G3514" s="26"/>
      <c r="H3514" s="26"/>
      <c r="I3514" s="26"/>
    </row>
    <row r="3515" spans="7:9" x14ac:dyDescent="0.3">
      <c r="G3515" s="26"/>
      <c r="H3515" s="26"/>
      <c r="I3515" s="26"/>
    </row>
    <row r="3516" spans="7:9" x14ac:dyDescent="0.3">
      <c r="G3516" s="26"/>
      <c r="H3516" s="26"/>
      <c r="I3516" s="26"/>
    </row>
    <row r="3517" spans="7:9" x14ac:dyDescent="0.3">
      <c r="G3517" s="26"/>
      <c r="H3517" s="26"/>
      <c r="I3517" s="26"/>
    </row>
    <row r="3518" spans="7:9" x14ac:dyDescent="0.3">
      <c r="G3518" s="26"/>
      <c r="H3518" s="26"/>
      <c r="I3518" s="26"/>
    </row>
    <row r="3519" spans="7:9" x14ac:dyDescent="0.3">
      <c r="G3519" s="26"/>
      <c r="H3519" s="26"/>
      <c r="I3519" s="26"/>
    </row>
    <row r="3520" spans="7:9" x14ac:dyDescent="0.3">
      <c r="G3520" s="26"/>
      <c r="H3520" s="26"/>
      <c r="I3520" s="26"/>
    </row>
    <row r="3521" spans="7:9" x14ac:dyDescent="0.3">
      <c r="G3521" s="26"/>
      <c r="H3521" s="26"/>
      <c r="I3521" s="26"/>
    </row>
    <row r="3522" spans="7:9" x14ac:dyDescent="0.3">
      <c r="G3522" s="26"/>
      <c r="H3522" s="26"/>
      <c r="I3522" s="26"/>
    </row>
    <row r="3523" spans="7:9" x14ac:dyDescent="0.3">
      <c r="G3523" s="26"/>
      <c r="H3523" s="26"/>
      <c r="I3523" s="26"/>
    </row>
    <row r="3524" spans="7:9" x14ac:dyDescent="0.3">
      <c r="G3524" s="26"/>
      <c r="H3524" s="26"/>
      <c r="I3524" s="26"/>
    </row>
    <row r="3525" spans="7:9" x14ac:dyDescent="0.3">
      <c r="G3525" s="26"/>
      <c r="H3525" s="26"/>
      <c r="I3525" s="26"/>
    </row>
    <row r="3526" spans="7:9" x14ac:dyDescent="0.3">
      <c r="G3526" s="26"/>
      <c r="H3526" s="26"/>
      <c r="I3526" s="26"/>
    </row>
    <row r="3527" spans="7:9" x14ac:dyDescent="0.3">
      <c r="G3527" s="26"/>
      <c r="H3527" s="26"/>
      <c r="I3527" s="26"/>
    </row>
    <row r="3528" spans="7:9" x14ac:dyDescent="0.3">
      <c r="G3528" s="26"/>
      <c r="H3528" s="26"/>
      <c r="I3528" s="26"/>
    </row>
    <row r="3529" spans="7:9" x14ac:dyDescent="0.3">
      <c r="G3529" s="26"/>
      <c r="H3529" s="26"/>
      <c r="I3529" s="26"/>
    </row>
    <row r="3530" spans="7:9" x14ac:dyDescent="0.3">
      <c r="G3530" s="26"/>
      <c r="H3530" s="26"/>
      <c r="I3530" s="26"/>
    </row>
    <row r="3531" spans="7:9" x14ac:dyDescent="0.3">
      <c r="G3531" s="26"/>
      <c r="H3531" s="26"/>
      <c r="I3531" s="26"/>
    </row>
    <row r="3532" spans="7:9" x14ac:dyDescent="0.3">
      <c r="G3532" s="26"/>
      <c r="H3532" s="26"/>
      <c r="I3532" s="26"/>
    </row>
    <row r="3533" spans="7:9" x14ac:dyDescent="0.3">
      <c r="G3533" s="26"/>
      <c r="H3533" s="26"/>
      <c r="I3533" s="26"/>
    </row>
    <row r="3534" spans="7:9" x14ac:dyDescent="0.3">
      <c r="G3534" s="26"/>
      <c r="H3534" s="26"/>
      <c r="I3534" s="26"/>
    </row>
    <row r="3535" spans="7:9" x14ac:dyDescent="0.3">
      <c r="G3535" s="26"/>
      <c r="H3535" s="26"/>
      <c r="I3535" s="26"/>
    </row>
    <row r="3536" spans="7:9" x14ac:dyDescent="0.3">
      <c r="G3536" s="26"/>
      <c r="H3536" s="26"/>
      <c r="I3536" s="26"/>
    </row>
    <row r="3537" spans="7:9" x14ac:dyDescent="0.3">
      <c r="G3537" s="26"/>
      <c r="H3537" s="26"/>
      <c r="I3537" s="26"/>
    </row>
    <row r="3538" spans="7:9" x14ac:dyDescent="0.3">
      <c r="G3538" s="26"/>
      <c r="H3538" s="26"/>
      <c r="I3538" s="26"/>
    </row>
    <row r="3539" spans="7:9" x14ac:dyDescent="0.3">
      <c r="G3539" s="26"/>
      <c r="H3539" s="26"/>
      <c r="I3539" s="26"/>
    </row>
    <row r="3540" spans="7:9" x14ac:dyDescent="0.3">
      <c r="G3540" s="26"/>
      <c r="H3540" s="26"/>
      <c r="I3540" s="26"/>
    </row>
    <row r="3541" spans="7:9" x14ac:dyDescent="0.3">
      <c r="G3541" s="26"/>
      <c r="H3541" s="26"/>
      <c r="I3541" s="26"/>
    </row>
    <row r="3542" spans="7:9" x14ac:dyDescent="0.3">
      <c r="G3542" s="26"/>
      <c r="H3542" s="26"/>
      <c r="I3542" s="26"/>
    </row>
    <row r="3543" spans="7:9" x14ac:dyDescent="0.3">
      <c r="G3543" s="26"/>
      <c r="H3543" s="26"/>
      <c r="I3543" s="26"/>
    </row>
    <row r="3544" spans="7:9" x14ac:dyDescent="0.3">
      <c r="G3544" s="26"/>
      <c r="H3544" s="26"/>
      <c r="I3544" s="26"/>
    </row>
    <row r="3545" spans="7:9" x14ac:dyDescent="0.3">
      <c r="G3545" s="26"/>
      <c r="H3545" s="26"/>
      <c r="I3545" s="26"/>
    </row>
    <row r="3546" spans="7:9" x14ac:dyDescent="0.3">
      <c r="G3546" s="26"/>
      <c r="H3546" s="26"/>
      <c r="I3546" s="26"/>
    </row>
    <row r="3547" spans="7:9" x14ac:dyDescent="0.3">
      <c r="G3547" s="26"/>
      <c r="H3547" s="26"/>
      <c r="I3547" s="26"/>
    </row>
    <row r="3548" spans="7:9" x14ac:dyDescent="0.3">
      <c r="G3548" s="26"/>
      <c r="H3548" s="26"/>
      <c r="I3548" s="26"/>
    </row>
    <row r="3549" spans="7:9" x14ac:dyDescent="0.3">
      <c r="G3549" s="26"/>
      <c r="H3549" s="26"/>
      <c r="I3549" s="26"/>
    </row>
    <row r="3550" spans="7:9" x14ac:dyDescent="0.3">
      <c r="G3550" s="26"/>
      <c r="H3550" s="26"/>
      <c r="I3550" s="26"/>
    </row>
    <row r="3551" spans="7:9" x14ac:dyDescent="0.3">
      <c r="G3551" s="26"/>
      <c r="H3551" s="26"/>
      <c r="I3551" s="26"/>
    </row>
    <row r="3552" spans="7:9" x14ac:dyDescent="0.3">
      <c r="G3552" s="26"/>
      <c r="H3552" s="26"/>
      <c r="I3552" s="26"/>
    </row>
    <row r="3553" spans="7:9" x14ac:dyDescent="0.3">
      <c r="G3553" s="26"/>
      <c r="H3553" s="26"/>
      <c r="I3553" s="26"/>
    </row>
    <row r="3554" spans="7:9" x14ac:dyDescent="0.3">
      <c r="G3554" s="26"/>
      <c r="H3554" s="26"/>
      <c r="I3554" s="26"/>
    </row>
    <row r="3555" spans="7:9" x14ac:dyDescent="0.3">
      <c r="G3555" s="26"/>
      <c r="H3555" s="26"/>
      <c r="I3555" s="26"/>
    </row>
    <row r="3556" spans="7:9" x14ac:dyDescent="0.3">
      <c r="G3556" s="26"/>
      <c r="H3556" s="26"/>
      <c r="I3556" s="26"/>
    </row>
    <row r="3557" spans="7:9" x14ac:dyDescent="0.3">
      <c r="G3557" s="26"/>
      <c r="H3557" s="26"/>
      <c r="I3557" s="26"/>
    </row>
    <row r="3558" spans="7:9" x14ac:dyDescent="0.3">
      <c r="G3558" s="26"/>
      <c r="H3558" s="26"/>
      <c r="I3558" s="26"/>
    </row>
    <row r="3559" spans="7:9" x14ac:dyDescent="0.3">
      <c r="G3559" s="26"/>
      <c r="H3559" s="26"/>
      <c r="I3559" s="26"/>
    </row>
    <row r="3560" spans="7:9" x14ac:dyDescent="0.3">
      <c r="G3560" s="26"/>
      <c r="H3560" s="26"/>
      <c r="I3560" s="26"/>
    </row>
    <row r="3561" spans="7:9" x14ac:dyDescent="0.3">
      <c r="G3561" s="26"/>
      <c r="H3561" s="26"/>
      <c r="I3561" s="26"/>
    </row>
    <row r="3562" spans="7:9" x14ac:dyDescent="0.3">
      <c r="G3562" s="26"/>
      <c r="H3562" s="26"/>
      <c r="I3562" s="26"/>
    </row>
    <row r="3563" spans="7:9" x14ac:dyDescent="0.3">
      <c r="G3563" s="26"/>
      <c r="H3563" s="26"/>
      <c r="I3563" s="26"/>
    </row>
    <row r="3564" spans="7:9" x14ac:dyDescent="0.3">
      <c r="G3564" s="26"/>
      <c r="H3564" s="26"/>
      <c r="I3564" s="26"/>
    </row>
    <row r="3565" spans="7:9" x14ac:dyDescent="0.3">
      <c r="G3565" s="26"/>
      <c r="H3565" s="26"/>
      <c r="I3565" s="26"/>
    </row>
    <row r="3566" spans="7:9" x14ac:dyDescent="0.3">
      <c r="G3566" s="26"/>
      <c r="H3566" s="26"/>
      <c r="I3566" s="26"/>
    </row>
    <row r="3567" spans="7:9" x14ac:dyDescent="0.3">
      <c r="G3567" s="26"/>
      <c r="H3567" s="26"/>
      <c r="I3567" s="26"/>
    </row>
    <row r="3568" spans="7:9" x14ac:dyDescent="0.3">
      <c r="G3568" s="26"/>
      <c r="H3568" s="26"/>
      <c r="I3568" s="26"/>
    </row>
    <row r="3569" spans="7:9" x14ac:dyDescent="0.3">
      <c r="G3569" s="26"/>
      <c r="H3569" s="26"/>
      <c r="I3569" s="26"/>
    </row>
    <row r="3570" spans="7:9" x14ac:dyDescent="0.3">
      <c r="G3570" s="26"/>
      <c r="H3570" s="26"/>
      <c r="I3570" s="26"/>
    </row>
    <row r="3571" spans="7:9" x14ac:dyDescent="0.3">
      <c r="G3571" s="26"/>
      <c r="H3571" s="26"/>
      <c r="I3571" s="26"/>
    </row>
    <row r="3572" spans="7:9" x14ac:dyDescent="0.3">
      <c r="G3572" s="26"/>
      <c r="H3572" s="26"/>
      <c r="I3572" s="26"/>
    </row>
    <row r="3573" spans="7:9" x14ac:dyDescent="0.3">
      <c r="G3573" s="26"/>
      <c r="H3573" s="26"/>
      <c r="I3573" s="26"/>
    </row>
    <row r="3574" spans="7:9" x14ac:dyDescent="0.3">
      <c r="G3574" s="26"/>
      <c r="H3574" s="26"/>
      <c r="I3574" s="26"/>
    </row>
    <row r="3575" spans="7:9" x14ac:dyDescent="0.3">
      <c r="G3575" s="26"/>
      <c r="H3575" s="26"/>
      <c r="I3575" s="26"/>
    </row>
    <row r="3576" spans="7:9" x14ac:dyDescent="0.3">
      <c r="G3576" s="26"/>
      <c r="H3576" s="26"/>
      <c r="I3576" s="26"/>
    </row>
    <row r="3577" spans="7:9" x14ac:dyDescent="0.3">
      <c r="G3577" s="26"/>
      <c r="H3577" s="26"/>
      <c r="I3577" s="26"/>
    </row>
    <row r="3578" spans="7:9" x14ac:dyDescent="0.3">
      <c r="G3578" s="26"/>
      <c r="H3578" s="26"/>
      <c r="I3578" s="26"/>
    </row>
    <row r="3579" spans="7:9" x14ac:dyDescent="0.3">
      <c r="G3579" s="26"/>
      <c r="H3579" s="26"/>
      <c r="I3579" s="26"/>
    </row>
    <row r="3580" spans="7:9" x14ac:dyDescent="0.3">
      <c r="G3580" s="26"/>
      <c r="H3580" s="26"/>
      <c r="I3580" s="26"/>
    </row>
    <row r="3581" spans="7:9" x14ac:dyDescent="0.3">
      <c r="G3581" s="26"/>
      <c r="H3581" s="26"/>
      <c r="I3581" s="26"/>
    </row>
    <row r="3582" spans="7:9" x14ac:dyDescent="0.3">
      <c r="G3582" s="26"/>
      <c r="H3582" s="26"/>
      <c r="I3582" s="26"/>
    </row>
    <row r="3583" spans="7:9" x14ac:dyDescent="0.3">
      <c r="G3583" s="26"/>
      <c r="H3583" s="26"/>
      <c r="I3583" s="26"/>
    </row>
    <row r="3584" spans="7:9" x14ac:dyDescent="0.3">
      <c r="G3584" s="26"/>
      <c r="H3584" s="26"/>
      <c r="I3584" s="26"/>
    </row>
    <row r="3585" spans="7:9" x14ac:dyDescent="0.3">
      <c r="G3585" s="26"/>
      <c r="H3585" s="26"/>
      <c r="I3585" s="26"/>
    </row>
    <row r="3586" spans="7:9" x14ac:dyDescent="0.3">
      <c r="G3586" s="26"/>
      <c r="H3586" s="26"/>
      <c r="I3586" s="26"/>
    </row>
    <row r="3587" spans="7:9" x14ac:dyDescent="0.3">
      <c r="G3587" s="26"/>
      <c r="H3587" s="26"/>
      <c r="I3587" s="26"/>
    </row>
    <row r="3588" spans="7:9" x14ac:dyDescent="0.3">
      <c r="G3588" s="26"/>
      <c r="H3588" s="26"/>
      <c r="I3588" s="26"/>
    </row>
    <row r="3589" spans="7:9" x14ac:dyDescent="0.3">
      <c r="G3589" s="26"/>
      <c r="H3589" s="26"/>
      <c r="I3589" s="26"/>
    </row>
    <row r="3590" spans="7:9" x14ac:dyDescent="0.3">
      <c r="G3590" s="26"/>
      <c r="H3590" s="26"/>
      <c r="I3590" s="26"/>
    </row>
    <row r="3591" spans="7:9" x14ac:dyDescent="0.3">
      <c r="G3591" s="26"/>
      <c r="H3591" s="26"/>
      <c r="I3591" s="26"/>
    </row>
    <row r="3592" spans="7:9" x14ac:dyDescent="0.3">
      <c r="G3592" s="26"/>
      <c r="H3592" s="26"/>
      <c r="I3592" s="26"/>
    </row>
    <row r="3593" spans="7:9" x14ac:dyDescent="0.3">
      <c r="G3593" s="26"/>
      <c r="H3593" s="26"/>
      <c r="I3593" s="26"/>
    </row>
    <row r="3594" spans="7:9" x14ac:dyDescent="0.3">
      <c r="G3594" s="26"/>
      <c r="H3594" s="26"/>
      <c r="I3594" s="26"/>
    </row>
    <row r="3595" spans="7:9" x14ac:dyDescent="0.3">
      <c r="G3595" s="26"/>
      <c r="H3595" s="26"/>
      <c r="I3595" s="26"/>
    </row>
    <row r="3596" spans="7:9" x14ac:dyDescent="0.3">
      <c r="G3596" s="26"/>
      <c r="H3596" s="26"/>
      <c r="I3596" s="26"/>
    </row>
    <row r="3597" spans="7:9" x14ac:dyDescent="0.3">
      <c r="G3597" s="26"/>
      <c r="H3597" s="26"/>
      <c r="I3597" s="26"/>
    </row>
    <row r="3598" spans="7:9" x14ac:dyDescent="0.3">
      <c r="G3598" s="26"/>
      <c r="H3598" s="26"/>
      <c r="I3598" s="26"/>
    </row>
    <row r="3599" spans="7:9" x14ac:dyDescent="0.3">
      <c r="G3599" s="26"/>
      <c r="H3599" s="26"/>
      <c r="I3599" s="26"/>
    </row>
    <row r="3600" spans="7:9" x14ac:dyDescent="0.3">
      <c r="G3600" s="26"/>
      <c r="H3600" s="26"/>
      <c r="I3600" s="26"/>
    </row>
    <row r="3601" spans="7:9" x14ac:dyDescent="0.3">
      <c r="G3601" s="26"/>
      <c r="H3601" s="26"/>
      <c r="I3601" s="26"/>
    </row>
    <row r="3602" spans="7:9" x14ac:dyDescent="0.3">
      <c r="G3602" s="26"/>
      <c r="H3602" s="26"/>
      <c r="I3602" s="26"/>
    </row>
    <row r="3603" spans="7:9" x14ac:dyDescent="0.3">
      <c r="G3603" s="26"/>
      <c r="H3603" s="26"/>
      <c r="I3603" s="26"/>
    </row>
    <row r="3604" spans="7:9" x14ac:dyDescent="0.3">
      <c r="G3604" s="26"/>
      <c r="H3604" s="26"/>
      <c r="I3604" s="26"/>
    </row>
    <row r="3605" spans="7:9" x14ac:dyDescent="0.3">
      <c r="G3605" s="26"/>
      <c r="H3605" s="26"/>
      <c r="I3605" s="26"/>
    </row>
    <row r="3606" spans="7:9" x14ac:dyDescent="0.3">
      <c r="G3606" s="26"/>
      <c r="H3606" s="26"/>
      <c r="I3606" s="26"/>
    </row>
    <row r="3607" spans="7:9" x14ac:dyDescent="0.3">
      <c r="G3607" s="26"/>
      <c r="H3607" s="26"/>
      <c r="I3607" s="26"/>
    </row>
    <row r="3608" spans="7:9" x14ac:dyDescent="0.3">
      <c r="G3608" s="26"/>
      <c r="H3608" s="26"/>
      <c r="I3608" s="26"/>
    </row>
    <row r="3609" spans="7:9" x14ac:dyDescent="0.3">
      <c r="G3609" s="26"/>
      <c r="H3609" s="26"/>
      <c r="I3609" s="26"/>
    </row>
    <row r="3610" spans="7:9" x14ac:dyDescent="0.3">
      <c r="G3610" s="26"/>
      <c r="H3610" s="26"/>
      <c r="I3610" s="26"/>
    </row>
    <row r="3611" spans="7:9" x14ac:dyDescent="0.3">
      <c r="G3611" s="26"/>
      <c r="H3611" s="26"/>
      <c r="I3611" s="26"/>
    </row>
    <row r="3612" spans="7:9" x14ac:dyDescent="0.3">
      <c r="G3612" s="26"/>
      <c r="H3612" s="26"/>
      <c r="I3612" s="26"/>
    </row>
    <row r="3613" spans="7:9" x14ac:dyDescent="0.3">
      <c r="G3613" s="26"/>
      <c r="H3613" s="26"/>
      <c r="I3613" s="26"/>
    </row>
    <row r="3614" spans="7:9" x14ac:dyDescent="0.3">
      <c r="G3614" s="26"/>
      <c r="H3614" s="26"/>
      <c r="I3614" s="26"/>
    </row>
    <row r="3615" spans="7:9" x14ac:dyDescent="0.3">
      <c r="G3615" s="26"/>
      <c r="H3615" s="26"/>
      <c r="I3615" s="26"/>
    </row>
    <row r="3616" spans="7:9" x14ac:dyDescent="0.3">
      <c r="G3616" s="26"/>
      <c r="H3616" s="26"/>
      <c r="I3616" s="26"/>
    </row>
    <row r="3617" spans="7:9" x14ac:dyDescent="0.3">
      <c r="G3617" s="26"/>
      <c r="H3617" s="26"/>
      <c r="I3617" s="26"/>
    </row>
    <row r="3618" spans="7:9" x14ac:dyDescent="0.3">
      <c r="G3618" s="26"/>
      <c r="H3618" s="26"/>
      <c r="I3618" s="26"/>
    </row>
    <row r="3619" spans="7:9" x14ac:dyDescent="0.3">
      <c r="G3619" s="26"/>
      <c r="H3619" s="26"/>
      <c r="I3619" s="26"/>
    </row>
    <row r="3620" spans="7:9" x14ac:dyDescent="0.3">
      <c r="G3620" s="26"/>
      <c r="H3620" s="26"/>
      <c r="I3620" s="26"/>
    </row>
    <row r="3621" spans="7:9" x14ac:dyDescent="0.3">
      <c r="G3621" s="26"/>
      <c r="H3621" s="26"/>
      <c r="I3621" s="26"/>
    </row>
    <row r="3622" spans="7:9" x14ac:dyDescent="0.3">
      <c r="G3622" s="26"/>
      <c r="H3622" s="26"/>
      <c r="I3622" s="26"/>
    </row>
    <row r="3623" spans="7:9" x14ac:dyDescent="0.3">
      <c r="G3623" s="26"/>
      <c r="H3623" s="26"/>
      <c r="I3623" s="26"/>
    </row>
    <row r="3624" spans="7:9" x14ac:dyDescent="0.3">
      <c r="G3624" s="26"/>
      <c r="H3624" s="26"/>
      <c r="I3624" s="26"/>
    </row>
    <row r="3625" spans="7:9" x14ac:dyDescent="0.3">
      <c r="G3625" s="26"/>
      <c r="H3625" s="26"/>
      <c r="I3625" s="26"/>
    </row>
    <row r="3626" spans="7:9" x14ac:dyDescent="0.3">
      <c r="G3626" s="26"/>
      <c r="H3626" s="26"/>
      <c r="I3626" s="26"/>
    </row>
    <row r="3627" spans="7:9" x14ac:dyDescent="0.3">
      <c r="G3627" s="26"/>
      <c r="H3627" s="26"/>
      <c r="I3627" s="26"/>
    </row>
    <row r="3628" spans="7:9" x14ac:dyDescent="0.3">
      <c r="G3628" s="26"/>
      <c r="H3628" s="26"/>
      <c r="I3628" s="26"/>
    </row>
    <row r="3629" spans="7:9" x14ac:dyDescent="0.3">
      <c r="G3629" s="26"/>
      <c r="H3629" s="26"/>
      <c r="I3629" s="26"/>
    </row>
    <row r="3630" spans="7:9" x14ac:dyDescent="0.3">
      <c r="G3630" s="26"/>
      <c r="H3630" s="26"/>
      <c r="I3630" s="26"/>
    </row>
    <row r="3631" spans="7:9" x14ac:dyDescent="0.3">
      <c r="G3631" s="26"/>
      <c r="H3631" s="26"/>
      <c r="I3631" s="26"/>
    </row>
    <row r="3632" spans="7:9" x14ac:dyDescent="0.3">
      <c r="G3632" s="26"/>
      <c r="H3632" s="26"/>
      <c r="I3632" s="26"/>
    </row>
    <row r="3633" spans="7:9" x14ac:dyDescent="0.3">
      <c r="G3633" s="26"/>
      <c r="H3633" s="26"/>
      <c r="I3633" s="26"/>
    </row>
    <row r="3634" spans="7:9" x14ac:dyDescent="0.3">
      <c r="G3634" s="26"/>
      <c r="H3634" s="26"/>
      <c r="I3634" s="26"/>
    </row>
    <row r="3635" spans="7:9" x14ac:dyDescent="0.3">
      <c r="G3635" s="26"/>
      <c r="H3635" s="26"/>
      <c r="I3635" s="26"/>
    </row>
    <row r="3636" spans="7:9" x14ac:dyDescent="0.3">
      <c r="G3636" s="26"/>
      <c r="H3636" s="26"/>
      <c r="I3636" s="26"/>
    </row>
    <row r="3637" spans="7:9" x14ac:dyDescent="0.3">
      <c r="G3637" s="26"/>
      <c r="H3637" s="26"/>
      <c r="I3637" s="26"/>
    </row>
    <row r="3638" spans="7:9" x14ac:dyDescent="0.3">
      <c r="G3638" s="26"/>
      <c r="H3638" s="26"/>
      <c r="I3638" s="26"/>
    </row>
    <row r="3639" spans="7:9" x14ac:dyDescent="0.3">
      <c r="G3639" s="26"/>
      <c r="H3639" s="26"/>
      <c r="I3639" s="26"/>
    </row>
    <row r="3640" spans="7:9" x14ac:dyDescent="0.3">
      <c r="G3640" s="26"/>
      <c r="H3640" s="26"/>
      <c r="I3640" s="26"/>
    </row>
    <row r="3641" spans="7:9" x14ac:dyDescent="0.3">
      <c r="G3641" s="26"/>
      <c r="H3641" s="26"/>
      <c r="I3641" s="26"/>
    </row>
    <row r="3642" spans="7:9" x14ac:dyDescent="0.3">
      <c r="G3642" s="26"/>
      <c r="H3642" s="26"/>
      <c r="I3642" s="26"/>
    </row>
    <row r="3643" spans="7:9" x14ac:dyDescent="0.3">
      <c r="G3643" s="26"/>
      <c r="H3643" s="26"/>
      <c r="I3643" s="26"/>
    </row>
    <row r="3644" spans="7:9" x14ac:dyDescent="0.3">
      <c r="G3644" s="26"/>
      <c r="H3644" s="26"/>
      <c r="I3644" s="26"/>
    </row>
    <row r="3645" spans="7:9" x14ac:dyDescent="0.3">
      <c r="G3645" s="26"/>
      <c r="H3645" s="26"/>
      <c r="I3645" s="26"/>
    </row>
    <row r="3646" spans="7:9" x14ac:dyDescent="0.3">
      <c r="G3646" s="26"/>
      <c r="H3646" s="26"/>
      <c r="I3646" s="26"/>
    </row>
    <row r="3647" spans="7:9" x14ac:dyDescent="0.3">
      <c r="G3647" s="26"/>
      <c r="H3647" s="26"/>
      <c r="I3647" s="26"/>
    </row>
    <row r="3648" spans="7:9" x14ac:dyDescent="0.3">
      <c r="G3648" s="26"/>
      <c r="H3648" s="26"/>
      <c r="I3648" s="26"/>
    </row>
    <row r="3649" spans="7:9" x14ac:dyDescent="0.3">
      <c r="G3649" s="26"/>
      <c r="H3649" s="26"/>
      <c r="I3649" s="26"/>
    </row>
    <row r="3650" spans="7:9" x14ac:dyDescent="0.3">
      <c r="G3650" s="26"/>
      <c r="H3650" s="26"/>
      <c r="I3650" s="26"/>
    </row>
    <row r="3651" spans="7:9" x14ac:dyDescent="0.3">
      <c r="G3651" s="26"/>
      <c r="H3651" s="26"/>
      <c r="I3651" s="26"/>
    </row>
    <row r="3652" spans="7:9" x14ac:dyDescent="0.3">
      <c r="G3652" s="26"/>
      <c r="H3652" s="26"/>
      <c r="I3652" s="26"/>
    </row>
    <row r="3653" spans="7:9" x14ac:dyDescent="0.3">
      <c r="G3653" s="26"/>
      <c r="H3653" s="26"/>
      <c r="I3653" s="26"/>
    </row>
    <row r="3654" spans="7:9" x14ac:dyDescent="0.3">
      <c r="G3654" s="26"/>
      <c r="H3654" s="26"/>
      <c r="I3654" s="26"/>
    </row>
    <row r="3655" spans="7:9" x14ac:dyDescent="0.3">
      <c r="G3655" s="26"/>
      <c r="H3655" s="26"/>
      <c r="I3655" s="26"/>
    </row>
    <row r="3656" spans="7:9" x14ac:dyDescent="0.3">
      <c r="G3656" s="26"/>
      <c r="H3656" s="26"/>
      <c r="I3656" s="26"/>
    </row>
    <row r="3657" spans="7:9" x14ac:dyDescent="0.3">
      <c r="G3657" s="26"/>
      <c r="H3657" s="26"/>
      <c r="I3657" s="26"/>
    </row>
    <row r="3658" spans="7:9" x14ac:dyDescent="0.3">
      <c r="G3658" s="26"/>
      <c r="H3658" s="26"/>
      <c r="I3658" s="26"/>
    </row>
    <row r="3659" spans="7:9" x14ac:dyDescent="0.3">
      <c r="G3659" s="26"/>
      <c r="H3659" s="26"/>
      <c r="I3659" s="26"/>
    </row>
    <row r="3660" spans="7:9" x14ac:dyDescent="0.3">
      <c r="G3660" s="26"/>
      <c r="H3660" s="26"/>
      <c r="I3660" s="26"/>
    </row>
    <row r="3661" spans="7:9" x14ac:dyDescent="0.3">
      <c r="G3661" s="26"/>
      <c r="H3661" s="26"/>
      <c r="I3661" s="26"/>
    </row>
    <row r="3662" spans="7:9" x14ac:dyDescent="0.3">
      <c r="G3662" s="26"/>
      <c r="H3662" s="26"/>
      <c r="I3662" s="26"/>
    </row>
    <row r="3663" spans="7:9" x14ac:dyDescent="0.3">
      <c r="G3663" s="26"/>
      <c r="H3663" s="26"/>
      <c r="I3663" s="26"/>
    </row>
    <row r="3664" spans="7:9" x14ac:dyDescent="0.3">
      <c r="G3664" s="26"/>
      <c r="H3664" s="26"/>
      <c r="I3664" s="26"/>
    </row>
    <row r="3665" spans="7:9" x14ac:dyDescent="0.3">
      <c r="G3665" s="26"/>
      <c r="H3665" s="26"/>
      <c r="I3665" s="26"/>
    </row>
    <row r="3666" spans="7:9" x14ac:dyDescent="0.3">
      <c r="G3666" s="26"/>
      <c r="H3666" s="26"/>
      <c r="I3666" s="26"/>
    </row>
    <row r="3667" spans="7:9" x14ac:dyDescent="0.3">
      <c r="G3667" s="26"/>
      <c r="H3667" s="26"/>
      <c r="I3667" s="26"/>
    </row>
    <row r="3668" spans="7:9" x14ac:dyDescent="0.3">
      <c r="G3668" s="26"/>
      <c r="H3668" s="26"/>
      <c r="I3668" s="26"/>
    </row>
    <row r="3669" spans="7:9" x14ac:dyDescent="0.3">
      <c r="G3669" s="26"/>
      <c r="H3669" s="26"/>
      <c r="I3669" s="26"/>
    </row>
    <row r="3670" spans="7:9" x14ac:dyDescent="0.3">
      <c r="G3670" s="26"/>
      <c r="H3670" s="26"/>
      <c r="I3670" s="26"/>
    </row>
    <row r="3671" spans="7:9" x14ac:dyDescent="0.3">
      <c r="G3671" s="26"/>
      <c r="H3671" s="26"/>
      <c r="I3671" s="26"/>
    </row>
    <row r="3672" spans="7:9" x14ac:dyDescent="0.3">
      <c r="G3672" s="26"/>
      <c r="H3672" s="26"/>
      <c r="I3672" s="26"/>
    </row>
    <row r="3673" spans="7:9" x14ac:dyDescent="0.3">
      <c r="G3673" s="26"/>
      <c r="H3673" s="26"/>
      <c r="I3673" s="26"/>
    </row>
    <row r="3674" spans="7:9" x14ac:dyDescent="0.3">
      <c r="G3674" s="26"/>
      <c r="H3674" s="26"/>
      <c r="I3674" s="26"/>
    </row>
    <row r="3675" spans="7:9" x14ac:dyDescent="0.3">
      <c r="G3675" s="26"/>
      <c r="H3675" s="26"/>
      <c r="I3675" s="26"/>
    </row>
    <row r="3676" spans="7:9" x14ac:dyDescent="0.3">
      <c r="G3676" s="26"/>
      <c r="H3676" s="26"/>
      <c r="I3676" s="26"/>
    </row>
    <row r="3677" spans="7:9" x14ac:dyDescent="0.3">
      <c r="G3677" s="26"/>
      <c r="H3677" s="26"/>
      <c r="I3677" s="26"/>
    </row>
    <row r="3678" spans="7:9" x14ac:dyDescent="0.3">
      <c r="G3678" s="26"/>
      <c r="H3678" s="26"/>
      <c r="I3678" s="26"/>
    </row>
    <row r="3679" spans="7:9" x14ac:dyDescent="0.3">
      <c r="G3679" s="26"/>
      <c r="H3679" s="26"/>
      <c r="I3679" s="26"/>
    </row>
    <row r="3680" spans="7:9" x14ac:dyDescent="0.3">
      <c r="G3680" s="26"/>
      <c r="H3680" s="26"/>
      <c r="I3680" s="26"/>
    </row>
    <row r="3681" spans="7:9" x14ac:dyDescent="0.3">
      <c r="G3681" s="26"/>
      <c r="H3681" s="26"/>
      <c r="I3681" s="26"/>
    </row>
    <row r="3682" spans="7:9" x14ac:dyDescent="0.3">
      <c r="G3682" s="26"/>
      <c r="H3682" s="26"/>
      <c r="I3682" s="26"/>
    </row>
    <row r="3683" spans="7:9" x14ac:dyDescent="0.3">
      <c r="G3683" s="26"/>
      <c r="H3683" s="26"/>
      <c r="I3683" s="26"/>
    </row>
    <row r="3684" spans="7:9" x14ac:dyDescent="0.3">
      <c r="G3684" s="26"/>
      <c r="H3684" s="26"/>
      <c r="I3684" s="26"/>
    </row>
    <row r="3685" spans="7:9" x14ac:dyDescent="0.3">
      <c r="G3685" s="26"/>
      <c r="H3685" s="26"/>
      <c r="I3685" s="26"/>
    </row>
    <row r="3686" spans="7:9" x14ac:dyDescent="0.3">
      <c r="G3686" s="26"/>
      <c r="H3686" s="26"/>
      <c r="I3686" s="26"/>
    </row>
    <row r="3687" spans="7:9" x14ac:dyDescent="0.3">
      <c r="G3687" s="26"/>
      <c r="H3687" s="26"/>
      <c r="I3687" s="26"/>
    </row>
    <row r="3688" spans="7:9" x14ac:dyDescent="0.3">
      <c r="G3688" s="26"/>
      <c r="H3688" s="26"/>
      <c r="I3688" s="26"/>
    </row>
    <row r="3689" spans="7:9" x14ac:dyDescent="0.3">
      <c r="G3689" s="26"/>
      <c r="H3689" s="26"/>
      <c r="I3689" s="26"/>
    </row>
    <row r="3690" spans="7:9" x14ac:dyDescent="0.3">
      <c r="G3690" s="26"/>
      <c r="H3690" s="26"/>
      <c r="I3690" s="26"/>
    </row>
    <row r="3691" spans="7:9" x14ac:dyDescent="0.3">
      <c r="G3691" s="26"/>
      <c r="H3691" s="26"/>
      <c r="I3691" s="26"/>
    </row>
    <row r="3692" spans="7:9" x14ac:dyDescent="0.3">
      <c r="G3692" s="26"/>
      <c r="H3692" s="26"/>
      <c r="I3692" s="26"/>
    </row>
    <row r="3693" spans="7:9" x14ac:dyDescent="0.3">
      <c r="G3693" s="26"/>
      <c r="H3693" s="26"/>
      <c r="I3693" s="26"/>
    </row>
    <row r="3694" spans="7:9" x14ac:dyDescent="0.3">
      <c r="G3694" s="26"/>
      <c r="H3694" s="26"/>
      <c r="I3694" s="26"/>
    </row>
    <row r="3695" spans="7:9" x14ac:dyDescent="0.3">
      <c r="G3695" s="26"/>
      <c r="H3695" s="26"/>
      <c r="I3695" s="26"/>
    </row>
    <row r="3696" spans="7:9" x14ac:dyDescent="0.3">
      <c r="G3696" s="26"/>
      <c r="H3696" s="26"/>
      <c r="I3696" s="26"/>
    </row>
    <row r="3697" spans="7:9" x14ac:dyDescent="0.3">
      <c r="G3697" s="26"/>
      <c r="H3697" s="26"/>
      <c r="I3697" s="26"/>
    </row>
    <row r="3698" spans="7:9" x14ac:dyDescent="0.3">
      <c r="G3698" s="26"/>
      <c r="H3698" s="26"/>
      <c r="I3698" s="26"/>
    </row>
    <row r="3699" spans="7:9" x14ac:dyDescent="0.3">
      <c r="G3699" s="26"/>
      <c r="H3699" s="26"/>
      <c r="I3699" s="26"/>
    </row>
    <row r="3700" spans="7:9" x14ac:dyDescent="0.3">
      <c r="G3700" s="26"/>
      <c r="H3700" s="26"/>
      <c r="I3700" s="26"/>
    </row>
    <row r="3701" spans="7:9" x14ac:dyDescent="0.3">
      <c r="G3701" s="26"/>
      <c r="H3701" s="26"/>
      <c r="I3701" s="26"/>
    </row>
    <row r="3702" spans="7:9" x14ac:dyDescent="0.3">
      <c r="G3702" s="26"/>
      <c r="H3702" s="26"/>
      <c r="I3702" s="26"/>
    </row>
    <row r="3703" spans="7:9" x14ac:dyDescent="0.3">
      <c r="G3703" s="26"/>
      <c r="H3703" s="26"/>
      <c r="I3703" s="26"/>
    </row>
    <row r="3704" spans="7:9" x14ac:dyDescent="0.3">
      <c r="G3704" s="26"/>
      <c r="H3704" s="26"/>
      <c r="I3704" s="26"/>
    </row>
    <row r="3705" spans="7:9" x14ac:dyDescent="0.3">
      <c r="G3705" s="26"/>
      <c r="H3705" s="26"/>
      <c r="I3705" s="26"/>
    </row>
    <row r="3706" spans="7:9" x14ac:dyDescent="0.3">
      <c r="G3706" s="26"/>
      <c r="H3706" s="26"/>
      <c r="I3706" s="26"/>
    </row>
    <row r="3707" spans="7:9" x14ac:dyDescent="0.3">
      <c r="G3707" s="26"/>
      <c r="H3707" s="26"/>
      <c r="I3707" s="26"/>
    </row>
    <row r="3708" spans="7:9" x14ac:dyDescent="0.3">
      <c r="G3708" s="26"/>
      <c r="H3708" s="26"/>
      <c r="I3708" s="26"/>
    </row>
    <row r="3709" spans="7:9" x14ac:dyDescent="0.3">
      <c r="G3709" s="26"/>
      <c r="H3709" s="26"/>
      <c r="I3709" s="26"/>
    </row>
    <row r="3710" spans="7:9" x14ac:dyDescent="0.3">
      <c r="G3710" s="26"/>
      <c r="H3710" s="26"/>
      <c r="I3710" s="26"/>
    </row>
    <row r="3711" spans="7:9" x14ac:dyDescent="0.3">
      <c r="G3711" s="26"/>
      <c r="H3711" s="26"/>
      <c r="I3711" s="26"/>
    </row>
    <row r="3712" spans="7:9" x14ac:dyDescent="0.3">
      <c r="G3712" s="26"/>
      <c r="H3712" s="26"/>
      <c r="I3712" s="26"/>
    </row>
    <row r="3713" spans="7:9" x14ac:dyDescent="0.3">
      <c r="G3713" s="26"/>
      <c r="H3713" s="26"/>
      <c r="I3713" s="26"/>
    </row>
    <row r="3714" spans="7:9" x14ac:dyDescent="0.3">
      <c r="G3714" s="26"/>
      <c r="H3714" s="26"/>
      <c r="I3714" s="26"/>
    </row>
    <row r="3715" spans="7:9" x14ac:dyDescent="0.3">
      <c r="G3715" s="26"/>
      <c r="H3715" s="26"/>
      <c r="I3715" s="26"/>
    </row>
    <row r="3716" spans="7:9" x14ac:dyDescent="0.3">
      <c r="G3716" s="26"/>
      <c r="H3716" s="26"/>
      <c r="I3716" s="26"/>
    </row>
    <row r="3717" spans="7:9" x14ac:dyDescent="0.3">
      <c r="G3717" s="26"/>
      <c r="H3717" s="26"/>
      <c r="I3717" s="26"/>
    </row>
    <row r="3718" spans="7:9" x14ac:dyDescent="0.3">
      <c r="G3718" s="26"/>
      <c r="H3718" s="26"/>
      <c r="I3718" s="26"/>
    </row>
    <row r="3719" spans="7:9" x14ac:dyDescent="0.3">
      <c r="G3719" s="26"/>
      <c r="H3719" s="26"/>
      <c r="I3719" s="26"/>
    </row>
    <row r="3720" spans="7:9" x14ac:dyDescent="0.3">
      <c r="G3720" s="26"/>
      <c r="H3720" s="26"/>
      <c r="I3720" s="26"/>
    </row>
    <row r="3721" spans="7:9" x14ac:dyDescent="0.3">
      <c r="G3721" s="26"/>
      <c r="H3721" s="26"/>
      <c r="I3721" s="26"/>
    </row>
    <row r="3722" spans="7:9" x14ac:dyDescent="0.3">
      <c r="G3722" s="26"/>
      <c r="H3722" s="26"/>
      <c r="I3722" s="26"/>
    </row>
    <row r="3723" spans="7:9" x14ac:dyDescent="0.3">
      <c r="G3723" s="26"/>
      <c r="H3723" s="26"/>
      <c r="I3723" s="26"/>
    </row>
    <row r="3724" spans="7:9" x14ac:dyDescent="0.3">
      <c r="G3724" s="26"/>
      <c r="H3724" s="26"/>
      <c r="I3724" s="26"/>
    </row>
    <row r="3725" spans="7:9" x14ac:dyDescent="0.3">
      <c r="G3725" s="26"/>
      <c r="H3725" s="26"/>
      <c r="I3725" s="26"/>
    </row>
    <row r="3726" spans="7:9" x14ac:dyDescent="0.3">
      <c r="G3726" s="26"/>
      <c r="H3726" s="26"/>
      <c r="I3726" s="26"/>
    </row>
    <row r="3727" spans="7:9" x14ac:dyDescent="0.3">
      <c r="G3727" s="26"/>
      <c r="H3727" s="26"/>
      <c r="I3727" s="26"/>
    </row>
    <row r="3728" spans="7:9" x14ac:dyDescent="0.3">
      <c r="G3728" s="26"/>
      <c r="H3728" s="26"/>
      <c r="I3728" s="26"/>
    </row>
    <row r="3729" spans="7:9" x14ac:dyDescent="0.3">
      <c r="G3729" s="26"/>
      <c r="H3729" s="26"/>
      <c r="I3729" s="26"/>
    </row>
    <row r="3730" spans="7:9" x14ac:dyDescent="0.3">
      <c r="G3730" s="26"/>
      <c r="H3730" s="26"/>
      <c r="I3730" s="26"/>
    </row>
    <row r="3731" spans="7:9" x14ac:dyDescent="0.3">
      <c r="G3731" s="26"/>
      <c r="H3731" s="26"/>
      <c r="I3731" s="26"/>
    </row>
    <row r="3732" spans="7:9" x14ac:dyDescent="0.3">
      <c r="G3732" s="26"/>
      <c r="H3732" s="26"/>
      <c r="I3732" s="26"/>
    </row>
    <row r="3733" spans="7:9" x14ac:dyDescent="0.3">
      <c r="G3733" s="26"/>
      <c r="H3733" s="26"/>
      <c r="I3733" s="26"/>
    </row>
    <row r="3734" spans="7:9" x14ac:dyDescent="0.3">
      <c r="G3734" s="26"/>
      <c r="H3734" s="26"/>
      <c r="I3734" s="26"/>
    </row>
    <row r="3735" spans="7:9" x14ac:dyDescent="0.3">
      <c r="G3735" s="26"/>
      <c r="H3735" s="26"/>
      <c r="I3735" s="26"/>
    </row>
    <row r="3736" spans="7:9" x14ac:dyDescent="0.3">
      <c r="G3736" s="26"/>
      <c r="H3736" s="26"/>
      <c r="I3736" s="26"/>
    </row>
    <row r="3737" spans="7:9" x14ac:dyDescent="0.3">
      <c r="G3737" s="26"/>
      <c r="H3737" s="26"/>
      <c r="I3737" s="26"/>
    </row>
    <row r="3738" spans="7:9" x14ac:dyDescent="0.3">
      <c r="G3738" s="26"/>
      <c r="H3738" s="26"/>
      <c r="I3738" s="26"/>
    </row>
    <row r="3739" spans="7:9" x14ac:dyDescent="0.3">
      <c r="G3739" s="26"/>
      <c r="H3739" s="26"/>
      <c r="I3739" s="26"/>
    </row>
    <row r="3740" spans="7:9" x14ac:dyDescent="0.3">
      <c r="G3740" s="26"/>
      <c r="H3740" s="26"/>
      <c r="I3740" s="26"/>
    </row>
    <row r="3741" spans="7:9" x14ac:dyDescent="0.3">
      <c r="G3741" s="26"/>
      <c r="H3741" s="26"/>
      <c r="I3741" s="26"/>
    </row>
    <row r="3742" spans="7:9" x14ac:dyDescent="0.3">
      <c r="G3742" s="26"/>
      <c r="H3742" s="26"/>
      <c r="I3742" s="26"/>
    </row>
    <row r="3743" spans="7:9" x14ac:dyDescent="0.3">
      <c r="G3743" s="26"/>
      <c r="H3743" s="26"/>
      <c r="I3743" s="26"/>
    </row>
    <row r="3744" spans="7:9" x14ac:dyDescent="0.3">
      <c r="G3744" s="26"/>
      <c r="H3744" s="26"/>
      <c r="I3744" s="26"/>
    </row>
    <row r="3745" spans="7:9" x14ac:dyDescent="0.3">
      <c r="G3745" s="26"/>
      <c r="H3745" s="26"/>
      <c r="I3745" s="26"/>
    </row>
    <row r="3746" spans="7:9" x14ac:dyDescent="0.3">
      <c r="G3746" s="26"/>
      <c r="H3746" s="26"/>
      <c r="I3746" s="26"/>
    </row>
    <row r="3747" spans="7:9" x14ac:dyDescent="0.3">
      <c r="G3747" s="26"/>
      <c r="H3747" s="26"/>
      <c r="I3747" s="26"/>
    </row>
    <row r="3748" spans="7:9" x14ac:dyDescent="0.3">
      <c r="G3748" s="26"/>
      <c r="H3748" s="26"/>
      <c r="I3748" s="26"/>
    </row>
    <row r="3749" spans="7:9" x14ac:dyDescent="0.3">
      <c r="G3749" s="26"/>
      <c r="H3749" s="26"/>
      <c r="I3749" s="26"/>
    </row>
    <row r="3750" spans="7:9" x14ac:dyDescent="0.3">
      <c r="G3750" s="26"/>
      <c r="H3750" s="26"/>
      <c r="I3750" s="26"/>
    </row>
    <row r="3751" spans="7:9" x14ac:dyDescent="0.3">
      <c r="G3751" s="26"/>
      <c r="H3751" s="26"/>
      <c r="I3751" s="26"/>
    </row>
    <row r="3752" spans="7:9" x14ac:dyDescent="0.3">
      <c r="G3752" s="26"/>
      <c r="H3752" s="26"/>
      <c r="I3752" s="26"/>
    </row>
    <row r="3753" spans="7:9" x14ac:dyDescent="0.3">
      <c r="G3753" s="26"/>
      <c r="H3753" s="26"/>
      <c r="I3753" s="26"/>
    </row>
    <row r="3754" spans="7:9" x14ac:dyDescent="0.3">
      <c r="G3754" s="26"/>
      <c r="H3754" s="26"/>
      <c r="I3754" s="26"/>
    </row>
    <row r="3755" spans="7:9" x14ac:dyDescent="0.3">
      <c r="G3755" s="26"/>
      <c r="H3755" s="26"/>
      <c r="I3755" s="26"/>
    </row>
    <row r="3756" spans="7:9" x14ac:dyDescent="0.3">
      <c r="G3756" s="26"/>
      <c r="H3756" s="26"/>
      <c r="I3756" s="26"/>
    </row>
    <row r="3757" spans="7:9" x14ac:dyDescent="0.3">
      <c r="G3757" s="26"/>
      <c r="H3757" s="26"/>
      <c r="I3757" s="26"/>
    </row>
    <row r="3758" spans="7:9" x14ac:dyDescent="0.3">
      <c r="G3758" s="26"/>
      <c r="H3758" s="26"/>
      <c r="I3758" s="26"/>
    </row>
    <row r="3759" spans="7:9" x14ac:dyDescent="0.3">
      <c r="G3759" s="26"/>
      <c r="H3759" s="26"/>
      <c r="I3759" s="26"/>
    </row>
    <row r="3760" spans="7:9" x14ac:dyDescent="0.3">
      <c r="G3760" s="26"/>
      <c r="H3760" s="26"/>
      <c r="I3760" s="26"/>
    </row>
    <row r="3761" spans="7:9" x14ac:dyDescent="0.3">
      <c r="G3761" s="26"/>
      <c r="H3761" s="26"/>
      <c r="I3761" s="26"/>
    </row>
    <row r="3762" spans="7:9" x14ac:dyDescent="0.3">
      <c r="G3762" s="26"/>
      <c r="H3762" s="26"/>
      <c r="I3762" s="26"/>
    </row>
    <row r="3763" spans="7:9" x14ac:dyDescent="0.3">
      <c r="G3763" s="26"/>
      <c r="H3763" s="26"/>
      <c r="I3763" s="26"/>
    </row>
    <row r="3764" spans="7:9" x14ac:dyDescent="0.3">
      <c r="G3764" s="26"/>
      <c r="H3764" s="26"/>
      <c r="I3764" s="26"/>
    </row>
    <row r="3765" spans="7:9" x14ac:dyDescent="0.3">
      <c r="G3765" s="26"/>
      <c r="H3765" s="26"/>
      <c r="I3765" s="26"/>
    </row>
    <row r="3766" spans="7:9" x14ac:dyDescent="0.3">
      <c r="G3766" s="26"/>
      <c r="H3766" s="26"/>
      <c r="I3766" s="26"/>
    </row>
    <row r="3767" spans="7:9" x14ac:dyDescent="0.3">
      <c r="G3767" s="26"/>
      <c r="H3767" s="26"/>
      <c r="I3767" s="26"/>
    </row>
    <row r="3768" spans="7:9" x14ac:dyDescent="0.3">
      <c r="G3768" s="26"/>
      <c r="H3768" s="26"/>
      <c r="I3768" s="26"/>
    </row>
    <row r="3769" spans="7:9" x14ac:dyDescent="0.3">
      <c r="G3769" s="26"/>
      <c r="H3769" s="26"/>
      <c r="I3769" s="26"/>
    </row>
    <row r="3770" spans="7:9" x14ac:dyDescent="0.3">
      <c r="G3770" s="26"/>
      <c r="H3770" s="26"/>
      <c r="I3770" s="26"/>
    </row>
    <row r="3771" spans="7:9" x14ac:dyDescent="0.3">
      <c r="G3771" s="26"/>
      <c r="H3771" s="26"/>
      <c r="I3771" s="26"/>
    </row>
    <row r="3772" spans="7:9" x14ac:dyDescent="0.3">
      <c r="G3772" s="26"/>
      <c r="H3772" s="26"/>
      <c r="I3772" s="26"/>
    </row>
    <row r="3773" spans="7:9" x14ac:dyDescent="0.3">
      <c r="G3773" s="26"/>
      <c r="H3773" s="26"/>
      <c r="I3773" s="26"/>
    </row>
    <row r="3774" spans="7:9" x14ac:dyDescent="0.3">
      <c r="G3774" s="26"/>
      <c r="H3774" s="26"/>
      <c r="I3774" s="26"/>
    </row>
    <row r="3775" spans="7:9" x14ac:dyDescent="0.3">
      <c r="G3775" s="26"/>
      <c r="H3775" s="26"/>
      <c r="I3775" s="26"/>
    </row>
    <row r="3776" spans="7:9" x14ac:dyDescent="0.3">
      <c r="G3776" s="26"/>
      <c r="H3776" s="26"/>
      <c r="I3776" s="26"/>
    </row>
    <row r="3777" spans="7:9" x14ac:dyDescent="0.3">
      <c r="G3777" s="26"/>
      <c r="H3777" s="26"/>
      <c r="I3777" s="26"/>
    </row>
    <row r="3778" spans="7:9" x14ac:dyDescent="0.3">
      <c r="G3778" s="26"/>
      <c r="H3778" s="26"/>
      <c r="I3778" s="26"/>
    </row>
    <row r="3779" spans="7:9" x14ac:dyDescent="0.3">
      <c r="G3779" s="26"/>
      <c r="H3779" s="26"/>
      <c r="I3779" s="26"/>
    </row>
    <row r="3780" spans="7:9" x14ac:dyDescent="0.3">
      <c r="G3780" s="26"/>
      <c r="H3780" s="26"/>
      <c r="I3780" s="26"/>
    </row>
    <row r="3781" spans="7:9" x14ac:dyDescent="0.3">
      <c r="G3781" s="26"/>
      <c r="H3781" s="26"/>
      <c r="I3781" s="26"/>
    </row>
    <row r="3782" spans="7:9" x14ac:dyDescent="0.3">
      <c r="G3782" s="26"/>
      <c r="H3782" s="26"/>
      <c r="I3782" s="26"/>
    </row>
    <row r="3783" spans="7:9" x14ac:dyDescent="0.3">
      <c r="G3783" s="26"/>
      <c r="H3783" s="26"/>
      <c r="I3783" s="26"/>
    </row>
    <row r="3784" spans="7:9" x14ac:dyDescent="0.3">
      <c r="G3784" s="26"/>
      <c r="H3784" s="26"/>
      <c r="I3784" s="26"/>
    </row>
    <row r="3785" spans="7:9" x14ac:dyDescent="0.3">
      <c r="G3785" s="26"/>
      <c r="H3785" s="26"/>
      <c r="I3785" s="26"/>
    </row>
    <row r="3786" spans="7:9" x14ac:dyDescent="0.3">
      <c r="G3786" s="26"/>
      <c r="H3786" s="26"/>
      <c r="I3786" s="26"/>
    </row>
    <row r="3787" spans="7:9" x14ac:dyDescent="0.3">
      <c r="G3787" s="26"/>
      <c r="H3787" s="26"/>
      <c r="I3787" s="26"/>
    </row>
    <row r="3788" spans="7:9" x14ac:dyDescent="0.3">
      <c r="G3788" s="26"/>
      <c r="H3788" s="26"/>
      <c r="I3788" s="26"/>
    </row>
    <row r="3789" spans="7:9" x14ac:dyDescent="0.3">
      <c r="G3789" s="26"/>
      <c r="H3789" s="26"/>
      <c r="I3789" s="26"/>
    </row>
    <row r="3790" spans="7:9" x14ac:dyDescent="0.3">
      <c r="G3790" s="26"/>
      <c r="H3790" s="26"/>
      <c r="I3790" s="26"/>
    </row>
    <row r="3791" spans="7:9" x14ac:dyDescent="0.3">
      <c r="G3791" s="26"/>
      <c r="H3791" s="26"/>
      <c r="I3791" s="26"/>
    </row>
    <row r="3792" spans="7:9" x14ac:dyDescent="0.3">
      <c r="G3792" s="26"/>
      <c r="H3792" s="26"/>
      <c r="I3792" s="26"/>
    </row>
    <row r="3793" spans="7:9" x14ac:dyDescent="0.3">
      <c r="G3793" s="26"/>
      <c r="H3793" s="26"/>
      <c r="I3793" s="26"/>
    </row>
    <row r="3794" spans="7:9" x14ac:dyDescent="0.3">
      <c r="G3794" s="26"/>
      <c r="H3794" s="26"/>
      <c r="I3794" s="26"/>
    </row>
    <row r="3795" spans="7:9" x14ac:dyDescent="0.3">
      <c r="G3795" s="26"/>
      <c r="H3795" s="26"/>
      <c r="I3795" s="26"/>
    </row>
    <row r="3796" spans="7:9" x14ac:dyDescent="0.3">
      <c r="G3796" s="26"/>
      <c r="H3796" s="26"/>
      <c r="I3796" s="26"/>
    </row>
    <row r="3797" spans="7:9" x14ac:dyDescent="0.3">
      <c r="G3797" s="26"/>
      <c r="H3797" s="26"/>
      <c r="I3797" s="26"/>
    </row>
    <row r="3798" spans="7:9" x14ac:dyDescent="0.3">
      <c r="G3798" s="26"/>
      <c r="H3798" s="26"/>
      <c r="I3798" s="26"/>
    </row>
    <row r="3799" spans="7:9" x14ac:dyDescent="0.3">
      <c r="G3799" s="26"/>
      <c r="H3799" s="26"/>
      <c r="I3799" s="26"/>
    </row>
    <row r="3800" spans="7:9" x14ac:dyDescent="0.3">
      <c r="G3800" s="26"/>
      <c r="H3800" s="26"/>
      <c r="I3800" s="26"/>
    </row>
    <row r="3801" spans="7:9" x14ac:dyDescent="0.3">
      <c r="G3801" s="26"/>
      <c r="H3801" s="26"/>
      <c r="I3801" s="26"/>
    </row>
    <row r="3802" spans="7:9" x14ac:dyDescent="0.3">
      <c r="G3802" s="26"/>
      <c r="H3802" s="26"/>
      <c r="I3802" s="26"/>
    </row>
    <row r="3803" spans="7:9" x14ac:dyDescent="0.3">
      <c r="G3803" s="26"/>
      <c r="H3803" s="26"/>
      <c r="I3803" s="26"/>
    </row>
    <row r="3804" spans="7:9" x14ac:dyDescent="0.3">
      <c r="G3804" s="26"/>
      <c r="H3804" s="26"/>
      <c r="I3804" s="26"/>
    </row>
    <row r="3805" spans="7:9" x14ac:dyDescent="0.3">
      <c r="G3805" s="26"/>
      <c r="H3805" s="26"/>
      <c r="I3805" s="26"/>
    </row>
    <row r="3806" spans="7:9" x14ac:dyDescent="0.3">
      <c r="G3806" s="26"/>
      <c r="H3806" s="26"/>
      <c r="I3806" s="26"/>
    </row>
    <row r="3807" spans="7:9" x14ac:dyDescent="0.3">
      <c r="G3807" s="26"/>
      <c r="H3807" s="26"/>
      <c r="I3807" s="26"/>
    </row>
    <row r="3808" spans="7:9" x14ac:dyDescent="0.3">
      <c r="G3808" s="26"/>
      <c r="H3808" s="26"/>
      <c r="I3808" s="26"/>
    </row>
    <row r="3809" spans="7:9" x14ac:dyDescent="0.3">
      <c r="G3809" s="26"/>
      <c r="H3809" s="26"/>
      <c r="I3809" s="26"/>
    </row>
    <row r="3810" spans="7:9" x14ac:dyDescent="0.3">
      <c r="G3810" s="26"/>
      <c r="H3810" s="26"/>
      <c r="I3810" s="26"/>
    </row>
    <row r="3811" spans="7:9" x14ac:dyDescent="0.3">
      <c r="G3811" s="26"/>
      <c r="H3811" s="26"/>
      <c r="I3811" s="26"/>
    </row>
    <row r="3812" spans="7:9" x14ac:dyDescent="0.3">
      <c r="G3812" s="26"/>
      <c r="H3812" s="26"/>
      <c r="I3812" s="26"/>
    </row>
    <row r="3813" spans="7:9" x14ac:dyDescent="0.3">
      <c r="G3813" s="26"/>
      <c r="H3813" s="26"/>
      <c r="I3813" s="26"/>
    </row>
    <row r="3814" spans="7:9" x14ac:dyDescent="0.3">
      <c r="G3814" s="26"/>
      <c r="H3814" s="26"/>
      <c r="I3814" s="26"/>
    </row>
    <row r="3815" spans="7:9" x14ac:dyDescent="0.3">
      <c r="G3815" s="26"/>
      <c r="H3815" s="26"/>
      <c r="I3815" s="26"/>
    </row>
    <row r="3816" spans="7:9" x14ac:dyDescent="0.3">
      <c r="G3816" s="26"/>
      <c r="H3816" s="26"/>
      <c r="I3816" s="26"/>
    </row>
    <row r="3817" spans="7:9" x14ac:dyDescent="0.3">
      <c r="G3817" s="26"/>
      <c r="H3817" s="26"/>
      <c r="I3817" s="26"/>
    </row>
    <row r="3818" spans="7:9" x14ac:dyDescent="0.3">
      <c r="G3818" s="26"/>
      <c r="H3818" s="26"/>
      <c r="I3818" s="26"/>
    </row>
    <row r="3819" spans="7:9" x14ac:dyDescent="0.3">
      <c r="G3819" s="26"/>
      <c r="H3819" s="26"/>
      <c r="I3819" s="26"/>
    </row>
    <row r="3820" spans="7:9" x14ac:dyDescent="0.3">
      <c r="G3820" s="26"/>
      <c r="H3820" s="26"/>
      <c r="I3820" s="26"/>
    </row>
    <row r="3821" spans="7:9" x14ac:dyDescent="0.3">
      <c r="G3821" s="26"/>
      <c r="H3821" s="26"/>
      <c r="I3821" s="26"/>
    </row>
    <row r="3822" spans="7:9" x14ac:dyDescent="0.3">
      <c r="G3822" s="26"/>
      <c r="H3822" s="26"/>
      <c r="I3822" s="26"/>
    </row>
    <row r="3823" spans="7:9" x14ac:dyDescent="0.3">
      <c r="G3823" s="26"/>
      <c r="H3823" s="26"/>
      <c r="I3823" s="26"/>
    </row>
    <row r="3824" spans="7:9" x14ac:dyDescent="0.3">
      <c r="G3824" s="26"/>
      <c r="H3824" s="26"/>
      <c r="I3824" s="26"/>
    </row>
    <row r="3825" spans="7:9" x14ac:dyDescent="0.3">
      <c r="G3825" s="26"/>
      <c r="H3825" s="26"/>
      <c r="I3825" s="26"/>
    </row>
    <row r="3826" spans="7:9" x14ac:dyDescent="0.3">
      <c r="G3826" s="26"/>
      <c r="H3826" s="26"/>
      <c r="I3826" s="26"/>
    </row>
    <row r="3827" spans="7:9" x14ac:dyDescent="0.3">
      <c r="G3827" s="26"/>
      <c r="H3827" s="26"/>
      <c r="I3827" s="26"/>
    </row>
    <row r="3828" spans="7:9" x14ac:dyDescent="0.3">
      <c r="G3828" s="26"/>
      <c r="H3828" s="26"/>
      <c r="I3828" s="26"/>
    </row>
    <row r="3829" spans="7:9" x14ac:dyDescent="0.3">
      <c r="G3829" s="26"/>
      <c r="H3829" s="26"/>
      <c r="I3829" s="26"/>
    </row>
    <row r="3830" spans="7:9" x14ac:dyDescent="0.3">
      <c r="G3830" s="26"/>
      <c r="H3830" s="26"/>
      <c r="I3830" s="26"/>
    </row>
    <row r="3831" spans="7:9" x14ac:dyDescent="0.3">
      <c r="G3831" s="26"/>
      <c r="H3831" s="26"/>
      <c r="I3831" s="26"/>
    </row>
    <row r="3832" spans="7:9" x14ac:dyDescent="0.3">
      <c r="G3832" s="26"/>
      <c r="H3832" s="26"/>
      <c r="I3832" s="26"/>
    </row>
    <row r="3833" spans="7:9" x14ac:dyDescent="0.3">
      <c r="G3833" s="26"/>
      <c r="H3833" s="26"/>
      <c r="I3833" s="26"/>
    </row>
    <row r="3834" spans="7:9" x14ac:dyDescent="0.3">
      <c r="G3834" s="26"/>
      <c r="H3834" s="26"/>
      <c r="I3834" s="26"/>
    </row>
    <row r="3835" spans="7:9" x14ac:dyDescent="0.3">
      <c r="G3835" s="26"/>
      <c r="H3835" s="26"/>
      <c r="I3835" s="26"/>
    </row>
    <row r="3836" spans="7:9" x14ac:dyDescent="0.3">
      <c r="G3836" s="26"/>
      <c r="H3836" s="26"/>
      <c r="I3836" s="26"/>
    </row>
    <row r="3837" spans="7:9" x14ac:dyDescent="0.3">
      <c r="G3837" s="26"/>
      <c r="H3837" s="26"/>
      <c r="I3837" s="26"/>
    </row>
    <row r="3838" spans="7:9" x14ac:dyDescent="0.3">
      <c r="G3838" s="26"/>
      <c r="H3838" s="26"/>
      <c r="I3838" s="26"/>
    </row>
    <row r="3839" spans="7:9" x14ac:dyDescent="0.3">
      <c r="G3839" s="26"/>
      <c r="H3839" s="26"/>
      <c r="I3839" s="26"/>
    </row>
    <row r="3840" spans="7:9" x14ac:dyDescent="0.3">
      <c r="G3840" s="26"/>
      <c r="H3840" s="26"/>
      <c r="I3840" s="26"/>
    </row>
    <row r="3841" spans="7:9" x14ac:dyDescent="0.3">
      <c r="G3841" s="26"/>
      <c r="H3841" s="26"/>
      <c r="I3841" s="26"/>
    </row>
    <row r="3842" spans="7:9" x14ac:dyDescent="0.3">
      <c r="G3842" s="26"/>
      <c r="H3842" s="26"/>
      <c r="I3842" s="26"/>
    </row>
    <row r="3843" spans="7:9" x14ac:dyDescent="0.3">
      <c r="G3843" s="26"/>
      <c r="H3843" s="26"/>
      <c r="I3843" s="26"/>
    </row>
    <row r="3844" spans="7:9" x14ac:dyDescent="0.3">
      <c r="G3844" s="26"/>
      <c r="H3844" s="26"/>
      <c r="I3844" s="26"/>
    </row>
    <row r="3845" spans="7:9" x14ac:dyDescent="0.3">
      <c r="G3845" s="26"/>
      <c r="H3845" s="26"/>
      <c r="I3845" s="26"/>
    </row>
    <row r="3846" spans="7:9" x14ac:dyDescent="0.3">
      <c r="G3846" s="26"/>
      <c r="H3846" s="26"/>
      <c r="I3846" s="26"/>
    </row>
    <row r="3847" spans="7:9" x14ac:dyDescent="0.3">
      <c r="G3847" s="26"/>
      <c r="H3847" s="26"/>
      <c r="I3847" s="26"/>
    </row>
    <row r="3848" spans="7:9" x14ac:dyDescent="0.3">
      <c r="G3848" s="26"/>
      <c r="H3848" s="26"/>
      <c r="I3848" s="26"/>
    </row>
    <row r="3849" spans="7:9" x14ac:dyDescent="0.3">
      <c r="G3849" s="26"/>
      <c r="H3849" s="26"/>
      <c r="I3849" s="26"/>
    </row>
    <row r="3850" spans="7:9" x14ac:dyDescent="0.3">
      <c r="G3850" s="26"/>
      <c r="H3850" s="26"/>
      <c r="I3850" s="26"/>
    </row>
    <row r="3851" spans="7:9" x14ac:dyDescent="0.3">
      <c r="G3851" s="26"/>
      <c r="H3851" s="26"/>
      <c r="I3851" s="26"/>
    </row>
    <row r="3852" spans="7:9" x14ac:dyDescent="0.3">
      <c r="G3852" s="26"/>
      <c r="H3852" s="26"/>
      <c r="I3852" s="26"/>
    </row>
    <row r="3853" spans="7:9" x14ac:dyDescent="0.3">
      <c r="G3853" s="26"/>
      <c r="H3853" s="26"/>
      <c r="I3853" s="26"/>
    </row>
    <row r="3854" spans="7:9" x14ac:dyDescent="0.3">
      <c r="G3854" s="26"/>
      <c r="H3854" s="26"/>
      <c r="I3854" s="26"/>
    </row>
    <row r="3855" spans="7:9" x14ac:dyDescent="0.3">
      <c r="G3855" s="26"/>
      <c r="H3855" s="26"/>
      <c r="I3855" s="26"/>
    </row>
    <row r="3856" spans="7:9" x14ac:dyDescent="0.3">
      <c r="G3856" s="26"/>
      <c r="H3856" s="26"/>
      <c r="I3856" s="26"/>
    </row>
    <row r="3857" spans="7:9" x14ac:dyDescent="0.3">
      <c r="G3857" s="26"/>
      <c r="H3857" s="26"/>
      <c r="I3857" s="26"/>
    </row>
    <row r="3858" spans="7:9" x14ac:dyDescent="0.3">
      <c r="G3858" s="26"/>
      <c r="H3858" s="26"/>
      <c r="I3858" s="26"/>
    </row>
    <row r="3859" spans="7:9" x14ac:dyDescent="0.3">
      <c r="G3859" s="26"/>
      <c r="H3859" s="26"/>
      <c r="I3859" s="26"/>
    </row>
    <row r="3860" spans="7:9" x14ac:dyDescent="0.3">
      <c r="G3860" s="26"/>
      <c r="H3860" s="26"/>
      <c r="I3860" s="26"/>
    </row>
    <row r="3861" spans="7:9" x14ac:dyDescent="0.3">
      <c r="G3861" s="26"/>
      <c r="H3861" s="26"/>
      <c r="I3861" s="26"/>
    </row>
    <row r="3862" spans="7:9" x14ac:dyDescent="0.3">
      <c r="G3862" s="26"/>
      <c r="H3862" s="26"/>
      <c r="I3862" s="26"/>
    </row>
    <row r="3863" spans="7:9" x14ac:dyDescent="0.3">
      <c r="G3863" s="26"/>
      <c r="H3863" s="26"/>
      <c r="I3863" s="26"/>
    </row>
    <row r="3864" spans="7:9" x14ac:dyDescent="0.3">
      <c r="G3864" s="26"/>
      <c r="H3864" s="26"/>
      <c r="I3864" s="26"/>
    </row>
    <row r="3865" spans="7:9" x14ac:dyDescent="0.3">
      <c r="G3865" s="26"/>
      <c r="H3865" s="26"/>
      <c r="I3865" s="26"/>
    </row>
    <row r="3866" spans="7:9" x14ac:dyDescent="0.3">
      <c r="G3866" s="26"/>
      <c r="H3866" s="26"/>
      <c r="I3866" s="26"/>
    </row>
    <row r="3867" spans="7:9" x14ac:dyDescent="0.3">
      <c r="G3867" s="26"/>
      <c r="H3867" s="26"/>
      <c r="I3867" s="26"/>
    </row>
    <row r="3868" spans="7:9" x14ac:dyDescent="0.3">
      <c r="G3868" s="26"/>
      <c r="H3868" s="26"/>
      <c r="I3868" s="26"/>
    </row>
    <row r="3869" spans="7:9" x14ac:dyDescent="0.3">
      <c r="G3869" s="26"/>
      <c r="H3869" s="26"/>
      <c r="I3869" s="26"/>
    </row>
    <row r="3870" spans="7:9" x14ac:dyDescent="0.3">
      <c r="G3870" s="26"/>
      <c r="H3870" s="26"/>
      <c r="I3870" s="26"/>
    </row>
    <row r="3871" spans="7:9" x14ac:dyDescent="0.3">
      <c r="G3871" s="26"/>
      <c r="H3871" s="26"/>
      <c r="I3871" s="26"/>
    </row>
    <row r="3872" spans="7:9" x14ac:dyDescent="0.3">
      <c r="G3872" s="26"/>
      <c r="H3872" s="26"/>
      <c r="I3872" s="26"/>
    </row>
    <row r="3873" spans="7:9" x14ac:dyDescent="0.3">
      <c r="G3873" s="26"/>
      <c r="H3873" s="26"/>
      <c r="I3873" s="26"/>
    </row>
    <row r="3874" spans="7:9" x14ac:dyDescent="0.3">
      <c r="G3874" s="26"/>
      <c r="H3874" s="26"/>
      <c r="I3874" s="26"/>
    </row>
    <row r="3875" spans="7:9" x14ac:dyDescent="0.3">
      <c r="G3875" s="26"/>
      <c r="H3875" s="26"/>
      <c r="I3875" s="26"/>
    </row>
    <row r="3876" spans="7:9" x14ac:dyDescent="0.3">
      <c r="G3876" s="26"/>
      <c r="H3876" s="26"/>
      <c r="I3876" s="26"/>
    </row>
    <row r="3877" spans="7:9" x14ac:dyDescent="0.3">
      <c r="G3877" s="26"/>
      <c r="H3877" s="26"/>
      <c r="I3877" s="26"/>
    </row>
    <row r="3878" spans="7:9" x14ac:dyDescent="0.3">
      <c r="G3878" s="26"/>
      <c r="H3878" s="26"/>
      <c r="I3878" s="26"/>
    </row>
    <row r="3879" spans="7:9" x14ac:dyDescent="0.3">
      <c r="G3879" s="26"/>
      <c r="H3879" s="26"/>
      <c r="I3879" s="26"/>
    </row>
    <row r="3880" spans="7:9" x14ac:dyDescent="0.3">
      <c r="G3880" s="26"/>
      <c r="H3880" s="26"/>
      <c r="I3880" s="26"/>
    </row>
    <row r="3881" spans="7:9" x14ac:dyDescent="0.3">
      <c r="G3881" s="26"/>
      <c r="H3881" s="26"/>
      <c r="I3881" s="26"/>
    </row>
    <row r="3882" spans="7:9" x14ac:dyDescent="0.3">
      <c r="G3882" s="26"/>
      <c r="H3882" s="26"/>
      <c r="I3882" s="26"/>
    </row>
    <row r="3883" spans="7:9" x14ac:dyDescent="0.3">
      <c r="G3883" s="26"/>
      <c r="H3883" s="26"/>
      <c r="I3883" s="26"/>
    </row>
    <row r="3884" spans="7:9" x14ac:dyDescent="0.3">
      <c r="G3884" s="26"/>
      <c r="H3884" s="26"/>
      <c r="I3884" s="26"/>
    </row>
    <row r="3885" spans="7:9" x14ac:dyDescent="0.3">
      <c r="G3885" s="26"/>
      <c r="H3885" s="26"/>
      <c r="I3885" s="26"/>
    </row>
    <row r="3886" spans="7:9" x14ac:dyDescent="0.3">
      <c r="G3886" s="26"/>
      <c r="H3886" s="26"/>
      <c r="I3886" s="26"/>
    </row>
    <row r="3887" spans="7:9" x14ac:dyDescent="0.3">
      <c r="G3887" s="26"/>
      <c r="H3887" s="26"/>
      <c r="I3887" s="26"/>
    </row>
    <row r="3888" spans="7:9" x14ac:dyDescent="0.3">
      <c r="G3888" s="26"/>
      <c r="H3888" s="26"/>
      <c r="I3888" s="26"/>
    </row>
    <row r="3889" spans="7:9" x14ac:dyDescent="0.3">
      <c r="G3889" s="26"/>
      <c r="H3889" s="26"/>
      <c r="I3889" s="26"/>
    </row>
    <row r="3890" spans="7:9" x14ac:dyDescent="0.3">
      <c r="G3890" s="26"/>
      <c r="H3890" s="26"/>
      <c r="I3890" s="26"/>
    </row>
    <row r="3891" spans="7:9" x14ac:dyDescent="0.3">
      <c r="G3891" s="26"/>
      <c r="H3891" s="26"/>
      <c r="I3891" s="26"/>
    </row>
    <row r="3892" spans="7:9" x14ac:dyDescent="0.3">
      <c r="G3892" s="26"/>
      <c r="H3892" s="26"/>
      <c r="I3892" s="26"/>
    </row>
    <row r="3893" spans="7:9" x14ac:dyDescent="0.3">
      <c r="G3893" s="26"/>
      <c r="H3893" s="26"/>
      <c r="I3893" s="26"/>
    </row>
    <row r="3894" spans="7:9" x14ac:dyDescent="0.3">
      <c r="G3894" s="26"/>
      <c r="H3894" s="26"/>
      <c r="I3894" s="26"/>
    </row>
    <row r="3895" spans="7:9" x14ac:dyDescent="0.3">
      <c r="G3895" s="26"/>
      <c r="H3895" s="26"/>
      <c r="I3895" s="26"/>
    </row>
    <row r="3896" spans="7:9" x14ac:dyDescent="0.3">
      <c r="G3896" s="26"/>
      <c r="H3896" s="26"/>
      <c r="I3896" s="26"/>
    </row>
    <row r="3897" spans="7:9" x14ac:dyDescent="0.3">
      <c r="G3897" s="26"/>
      <c r="H3897" s="26"/>
      <c r="I3897" s="26"/>
    </row>
    <row r="3898" spans="7:9" x14ac:dyDescent="0.3">
      <c r="G3898" s="26"/>
      <c r="H3898" s="26"/>
      <c r="I3898" s="26"/>
    </row>
    <row r="3899" spans="7:9" x14ac:dyDescent="0.3">
      <c r="G3899" s="26"/>
      <c r="H3899" s="26"/>
      <c r="I3899" s="26"/>
    </row>
    <row r="3900" spans="7:9" x14ac:dyDescent="0.3">
      <c r="G3900" s="26"/>
      <c r="H3900" s="26"/>
      <c r="I3900" s="26"/>
    </row>
    <row r="3901" spans="7:9" x14ac:dyDescent="0.3">
      <c r="G3901" s="26"/>
      <c r="H3901" s="26"/>
      <c r="I3901" s="26"/>
    </row>
    <row r="3902" spans="7:9" x14ac:dyDescent="0.3">
      <c r="G3902" s="26"/>
      <c r="H3902" s="26"/>
      <c r="I3902" s="26"/>
    </row>
    <row r="3903" spans="7:9" x14ac:dyDescent="0.3">
      <c r="G3903" s="26"/>
      <c r="H3903" s="26"/>
      <c r="I3903" s="26"/>
    </row>
    <row r="3904" spans="7:9" x14ac:dyDescent="0.3">
      <c r="G3904" s="26"/>
      <c r="H3904" s="26"/>
      <c r="I3904" s="26"/>
    </row>
    <row r="3905" spans="7:9" x14ac:dyDescent="0.3">
      <c r="G3905" s="26"/>
      <c r="H3905" s="26"/>
      <c r="I3905" s="26"/>
    </row>
    <row r="3906" spans="7:9" x14ac:dyDescent="0.3">
      <c r="G3906" s="26"/>
      <c r="H3906" s="26"/>
      <c r="I3906" s="26"/>
    </row>
    <row r="3907" spans="7:9" x14ac:dyDescent="0.3">
      <c r="G3907" s="26"/>
      <c r="H3907" s="26"/>
      <c r="I3907" s="26"/>
    </row>
    <row r="3908" spans="7:9" x14ac:dyDescent="0.3">
      <c r="G3908" s="26"/>
      <c r="H3908" s="26"/>
      <c r="I3908" s="26"/>
    </row>
    <row r="3909" spans="7:9" x14ac:dyDescent="0.3">
      <c r="G3909" s="26"/>
      <c r="H3909" s="26"/>
      <c r="I3909" s="26"/>
    </row>
    <row r="3910" spans="7:9" x14ac:dyDescent="0.3">
      <c r="G3910" s="26"/>
      <c r="H3910" s="26"/>
      <c r="I3910" s="26"/>
    </row>
    <row r="3911" spans="7:9" x14ac:dyDescent="0.3">
      <c r="G3911" s="26"/>
      <c r="H3911" s="26"/>
      <c r="I3911" s="26"/>
    </row>
    <row r="3912" spans="7:9" x14ac:dyDescent="0.3">
      <c r="G3912" s="26"/>
      <c r="H3912" s="26"/>
      <c r="I3912" s="26"/>
    </row>
    <row r="3913" spans="7:9" x14ac:dyDescent="0.3">
      <c r="G3913" s="26"/>
      <c r="H3913" s="26"/>
      <c r="I3913" s="26"/>
    </row>
    <row r="3914" spans="7:9" x14ac:dyDescent="0.3">
      <c r="G3914" s="26"/>
      <c r="H3914" s="26"/>
      <c r="I3914" s="26"/>
    </row>
    <row r="3915" spans="7:9" x14ac:dyDescent="0.3">
      <c r="G3915" s="26"/>
      <c r="H3915" s="26"/>
      <c r="I3915" s="26"/>
    </row>
    <row r="3916" spans="7:9" x14ac:dyDescent="0.3">
      <c r="G3916" s="26"/>
      <c r="H3916" s="26"/>
      <c r="I3916" s="26"/>
    </row>
    <row r="3917" spans="7:9" x14ac:dyDescent="0.3">
      <c r="G3917" s="26"/>
      <c r="H3917" s="26"/>
      <c r="I3917" s="26"/>
    </row>
    <row r="3918" spans="7:9" x14ac:dyDescent="0.3">
      <c r="G3918" s="26"/>
      <c r="H3918" s="26"/>
      <c r="I3918" s="26"/>
    </row>
    <row r="3919" spans="7:9" x14ac:dyDescent="0.3">
      <c r="G3919" s="26"/>
      <c r="H3919" s="26"/>
      <c r="I3919" s="26"/>
    </row>
    <row r="3920" spans="7:9" x14ac:dyDescent="0.3">
      <c r="G3920" s="26"/>
      <c r="H3920" s="26"/>
      <c r="I3920" s="26"/>
    </row>
    <row r="3921" spans="7:9" x14ac:dyDescent="0.3">
      <c r="G3921" s="26"/>
      <c r="H3921" s="26"/>
      <c r="I3921" s="26"/>
    </row>
    <row r="3922" spans="7:9" x14ac:dyDescent="0.3">
      <c r="G3922" s="26"/>
      <c r="H3922" s="26"/>
      <c r="I3922" s="26"/>
    </row>
    <row r="3923" spans="7:9" x14ac:dyDescent="0.3">
      <c r="G3923" s="26"/>
      <c r="H3923" s="26"/>
      <c r="I3923" s="26"/>
    </row>
    <row r="3924" spans="7:9" x14ac:dyDescent="0.3">
      <c r="G3924" s="26"/>
      <c r="H3924" s="26"/>
      <c r="I3924" s="26"/>
    </row>
    <row r="3925" spans="7:9" x14ac:dyDescent="0.3">
      <c r="G3925" s="26"/>
      <c r="H3925" s="26"/>
      <c r="I3925" s="26"/>
    </row>
    <row r="3926" spans="7:9" x14ac:dyDescent="0.3">
      <c r="G3926" s="26"/>
      <c r="H3926" s="26"/>
      <c r="I3926" s="26"/>
    </row>
    <row r="3927" spans="7:9" x14ac:dyDescent="0.3">
      <c r="G3927" s="26"/>
      <c r="H3927" s="26"/>
      <c r="I3927" s="26"/>
    </row>
    <row r="3928" spans="7:9" x14ac:dyDescent="0.3">
      <c r="G3928" s="26"/>
      <c r="H3928" s="26"/>
      <c r="I3928" s="26"/>
    </row>
    <row r="3929" spans="7:9" x14ac:dyDescent="0.3">
      <c r="G3929" s="26"/>
      <c r="H3929" s="26"/>
      <c r="I3929" s="26"/>
    </row>
    <row r="3930" spans="7:9" x14ac:dyDescent="0.3">
      <c r="G3930" s="26"/>
      <c r="H3930" s="26"/>
      <c r="I3930" s="26"/>
    </row>
    <row r="3931" spans="7:9" x14ac:dyDescent="0.3">
      <c r="G3931" s="26"/>
      <c r="H3931" s="26"/>
      <c r="I3931" s="26"/>
    </row>
    <row r="3932" spans="7:9" x14ac:dyDescent="0.3">
      <c r="G3932" s="26"/>
      <c r="H3932" s="26"/>
      <c r="I3932" s="26"/>
    </row>
    <row r="3933" spans="7:9" x14ac:dyDescent="0.3">
      <c r="G3933" s="26"/>
      <c r="H3933" s="26"/>
      <c r="I3933" s="26"/>
    </row>
    <row r="3934" spans="7:9" x14ac:dyDescent="0.3">
      <c r="G3934" s="26"/>
      <c r="H3934" s="26"/>
      <c r="I3934" s="26"/>
    </row>
    <row r="3935" spans="7:9" x14ac:dyDescent="0.3">
      <c r="G3935" s="26"/>
      <c r="H3935" s="26"/>
      <c r="I3935" s="26"/>
    </row>
    <row r="3936" spans="7:9" x14ac:dyDescent="0.3">
      <c r="G3936" s="26"/>
      <c r="H3936" s="26"/>
      <c r="I3936" s="26"/>
    </row>
    <row r="3937" spans="7:9" x14ac:dyDescent="0.3">
      <c r="G3937" s="26"/>
      <c r="H3937" s="26"/>
      <c r="I3937" s="26"/>
    </row>
    <row r="3938" spans="7:9" x14ac:dyDescent="0.3">
      <c r="G3938" s="26"/>
      <c r="H3938" s="26"/>
      <c r="I3938" s="26"/>
    </row>
    <row r="3939" spans="7:9" x14ac:dyDescent="0.3">
      <c r="G3939" s="26"/>
      <c r="H3939" s="26"/>
      <c r="I3939" s="26"/>
    </row>
    <row r="3940" spans="7:9" x14ac:dyDescent="0.3">
      <c r="G3940" s="26"/>
      <c r="H3940" s="26"/>
      <c r="I3940" s="26"/>
    </row>
    <row r="3941" spans="7:9" x14ac:dyDescent="0.3">
      <c r="G3941" s="26"/>
      <c r="H3941" s="26"/>
      <c r="I3941" s="26"/>
    </row>
    <row r="3942" spans="7:9" x14ac:dyDescent="0.3">
      <c r="G3942" s="26"/>
      <c r="H3942" s="26"/>
      <c r="I3942" s="26"/>
    </row>
    <row r="3943" spans="7:9" x14ac:dyDescent="0.3">
      <c r="G3943" s="26"/>
      <c r="H3943" s="26"/>
      <c r="I3943" s="26"/>
    </row>
    <row r="3944" spans="7:9" x14ac:dyDescent="0.3">
      <c r="G3944" s="26"/>
      <c r="H3944" s="26"/>
      <c r="I3944" s="26"/>
    </row>
    <row r="3945" spans="7:9" x14ac:dyDescent="0.3">
      <c r="G3945" s="26"/>
      <c r="H3945" s="26"/>
      <c r="I3945" s="26"/>
    </row>
    <row r="3946" spans="7:9" x14ac:dyDescent="0.3">
      <c r="G3946" s="26"/>
      <c r="H3946" s="26"/>
      <c r="I3946" s="26"/>
    </row>
    <row r="3947" spans="7:9" x14ac:dyDescent="0.3">
      <c r="G3947" s="26"/>
      <c r="H3947" s="26"/>
      <c r="I3947" s="26"/>
    </row>
    <row r="3948" spans="7:9" x14ac:dyDescent="0.3">
      <c r="G3948" s="26"/>
      <c r="H3948" s="26"/>
      <c r="I3948" s="26"/>
    </row>
    <row r="3949" spans="7:9" x14ac:dyDescent="0.3">
      <c r="G3949" s="26"/>
      <c r="H3949" s="26"/>
      <c r="I3949" s="26"/>
    </row>
    <row r="3950" spans="7:9" x14ac:dyDescent="0.3">
      <c r="G3950" s="26"/>
      <c r="H3950" s="26"/>
      <c r="I3950" s="26"/>
    </row>
    <row r="3951" spans="7:9" x14ac:dyDescent="0.3">
      <c r="G3951" s="26"/>
      <c r="H3951" s="26"/>
      <c r="I3951" s="26"/>
    </row>
    <row r="3952" spans="7:9" x14ac:dyDescent="0.3">
      <c r="G3952" s="26"/>
      <c r="H3952" s="26"/>
      <c r="I3952" s="26"/>
    </row>
    <row r="3953" spans="7:9" x14ac:dyDescent="0.3">
      <c r="G3953" s="26"/>
      <c r="H3953" s="26"/>
      <c r="I3953" s="26"/>
    </row>
    <row r="3954" spans="7:9" x14ac:dyDescent="0.3">
      <c r="G3954" s="26"/>
      <c r="H3954" s="26"/>
      <c r="I3954" s="26"/>
    </row>
    <row r="3955" spans="7:9" x14ac:dyDescent="0.3">
      <c r="G3955" s="26"/>
      <c r="H3955" s="26"/>
      <c r="I3955" s="26"/>
    </row>
    <row r="3956" spans="7:9" x14ac:dyDescent="0.3">
      <c r="G3956" s="26"/>
      <c r="H3956" s="26"/>
      <c r="I3956" s="26"/>
    </row>
    <row r="3957" spans="7:9" x14ac:dyDescent="0.3">
      <c r="G3957" s="26"/>
      <c r="H3957" s="26"/>
      <c r="I3957" s="26"/>
    </row>
    <row r="3958" spans="7:9" x14ac:dyDescent="0.3">
      <c r="G3958" s="26"/>
      <c r="H3958" s="26"/>
      <c r="I3958" s="26"/>
    </row>
    <row r="3959" spans="7:9" x14ac:dyDescent="0.3">
      <c r="G3959" s="26"/>
      <c r="H3959" s="26"/>
      <c r="I3959" s="26"/>
    </row>
    <row r="3960" spans="7:9" x14ac:dyDescent="0.3">
      <c r="G3960" s="26"/>
      <c r="H3960" s="26"/>
      <c r="I3960" s="26"/>
    </row>
    <row r="3961" spans="7:9" x14ac:dyDescent="0.3">
      <c r="G3961" s="26"/>
      <c r="H3961" s="26"/>
      <c r="I3961" s="26"/>
    </row>
    <row r="3962" spans="7:9" x14ac:dyDescent="0.3">
      <c r="G3962" s="26"/>
      <c r="H3962" s="26"/>
      <c r="I3962" s="26"/>
    </row>
    <row r="3963" spans="7:9" x14ac:dyDescent="0.3">
      <c r="G3963" s="26"/>
      <c r="H3963" s="26"/>
      <c r="I3963" s="26"/>
    </row>
    <row r="3964" spans="7:9" x14ac:dyDescent="0.3">
      <c r="G3964" s="26"/>
      <c r="H3964" s="26"/>
      <c r="I3964" s="26"/>
    </row>
    <row r="3965" spans="7:9" x14ac:dyDescent="0.3">
      <c r="G3965" s="26"/>
      <c r="H3965" s="26"/>
      <c r="I3965" s="26"/>
    </row>
    <row r="3966" spans="7:9" x14ac:dyDescent="0.3">
      <c r="G3966" s="26"/>
      <c r="H3966" s="26"/>
      <c r="I3966" s="26"/>
    </row>
    <row r="3967" spans="7:9" x14ac:dyDescent="0.3">
      <c r="G3967" s="26"/>
      <c r="H3967" s="26"/>
      <c r="I3967" s="26"/>
    </row>
    <row r="3968" spans="7:9" x14ac:dyDescent="0.3">
      <c r="G3968" s="26"/>
      <c r="H3968" s="26"/>
      <c r="I3968" s="26"/>
    </row>
    <row r="3969" spans="7:9" x14ac:dyDescent="0.3">
      <c r="G3969" s="26"/>
      <c r="H3969" s="26"/>
      <c r="I3969" s="26"/>
    </row>
    <row r="3970" spans="7:9" x14ac:dyDescent="0.3">
      <c r="G3970" s="26"/>
      <c r="H3970" s="26"/>
      <c r="I3970" s="26"/>
    </row>
    <row r="3971" spans="7:9" x14ac:dyDescent="0.3">
      <c r="G3971" s="26"/>
      <c r="H3971" s="26"/>
      <c r="I3971" s="26"/>
    </row>
    <row r="3972" spans="7:9" x14ac:dyDescent="0.3">
      <c r="G3972" s="26"/>
      <c r="H3972" s="26"/>
      <c r="I3972" s="26"/>
    </row>
    <row r="3973" spans="7:9" x14ac:dyDescent="0.3">
      <c r="G3973" s="26"/>
      <c r="H3973" s="26"/>
      <c r="I3973" s="26"/>
    </row>
    <row r="3974" spans="7:9" x14ac:dyDescent="0.3">
      <c r="G3974" s="26"/>
      <c r="H3974" s="26"/>
      <c r="I3974" s="26"/>
    </row>
    <row r="3975" spans="7:9" x14ac:dyDescent="0.3">
      <c r="G3975" s="26"/>
      <c r="H3975" s="26"/>
      <c r="I3975" s="26"/>
    </row>
    <row r="3976" spans="7:9" x14ac:dyDescent="0.3">
      <c r="G3976" s="26"/>
      <c r="H3976" s="26"/>
      <c r="I3976" s="26"/>
    </row>
    <row r="3977" spans="7:9" x14ac:dyDescent="0.3">
      <c r="G3977" s="26"/>
      <c r="H3977" s="26"/>
      <c r="I3977" s="26"/>
    </row>
    <row r="3978" spans="7:9" x14ac:dyDescent="0.3">
      <c r="G3978" s="26"/>
      <c r="H3978" s="26"/>
      <c r="I3978" s="26"/>
    </row>
    <row r="3979" spans="7:9" x14ac:dyDescent="0.3">
      <c r="G3979" s="26"/>
      <c r="H3979" s="26"/>
      <c r="I3979" s="26"/>
    </row>
    <row r="3980" spans="7:9" x14ac:dyDescent="0.3">
      <c r="G3980" s="26"/>
      <c r="H3980" s="26"/>
      <c r="I3980" s="26"/>
    </row>
    <row r="3981" spans="7:9" x14ac:dyDescent="0.3">
      <c r="G3981" s="26"/>
      <c r="H3981" s="26"/>
      <c r="I3981" s="26"/>
    </row>
    <row r="3982" spans="7:9" x14ac:dyDescent="0.3">
      <c r="G3982" s="26"/>
      <c r="H3982" s="26"/>
      <c r="I3982" s="26"/>
    </row>
    <row r="3983" spans="7:9" x14ac:dyDescent="0.3">
      <c r="G3983" s="26"/>
      <c r="H3983" s="26"/>
      <c r="I3983" s="26"/>
    </row>
    <row r="3984" spans="7:9" x14ac:dyDescent="0.3">
      <c r="G3984" s="26"/>
      <c r="H3984" s="26"/>
      <c r="I3984" s="26"/>
    </row>
    <row r="3985" spans="7:9" x14ac:dyDescent="0.3">
      <c r="G3985" s="26"/>
      <c r="H3985" s="26"/>
      <c r="I3985" s="26"/>
    </row>
    <row r="3986" spans="7:9" x14ac:dyDescent="0.3">
      <c r="G3986" s="26"/>
      <c r="H3986" s="26"/>
      <c r="I3986" s="26"/>
    </row>
    <row r="3987" spans="7:9" x14ac:dyDescent="0.3">
      <c r="G3987" s="26"/>
      <c r="H3987" s="26"/>
      <c r="I3987" s="26"/>
    </row>
    <row r="3988" spans="7:9" x14ac:dyDescent="0.3">
      <c r="G3988" s="26"/>
      <c r="H3988" s="26"/>
      <c r="I3988" s="26"/>
    </row>
    <row r="3989" spans="7:9" x14ac:dyDescent="0.3">
      <c r="G3989" s="26"/>
      <c r="H3989" s="26"/>
      <c r="I3989" s="26"/>
    </row>
    <row r="3990" spans="7:9" x14ac:dyDescent="0.3">
      <c r="G3990" s="26"/>
      <c r="H3990" s="26"/>
      <c r="I3990" s="26"/>
    </row>
    <row r="3991" spans="7:9" x14ac:dyDescent="0.3">
      <c r="G3991" s="26"/>
      <c r="H3991" s="26"/>
      <c r="I3991" s="26"/>
    </row>
    <row r="3992" spans="7:9" x14ac:dyDescent="0.3">
      <c r="G3992" s="26"/>
      <c r="H3992" s="26"/>
      <c r="I3992" s="26"/>
    </row>
    <row r="3993" spans="7:9" x14ac:dyDescent="0.3">
      <c r="G3993" s="26"/>
      <c r="H3993" s="26"/>
      <c r="I3993" s="26"/>
    </row>
    <row r="3994" spans="7:9" x14ac:dyDescent="0.3">
      <c r="G3994" s="26"/>
      <c r="H3994" s="26"/>
      <c r="I3994" s="26"/>
    </row>
    <row r="3995" spans="7:9" x14ac:dyDescent="0.3">
      <c r="G3995" s="26"/>
      <c r="H3995" s="26"/>
      <c r="I3995" s="26"/>
    </row>
    <row r="3996" spans="7:9" x14ac:dyDescent="0.3">
      <c r="G3996" s="26"/>
      <c r="H3996" s="26"/>
      <c r="I3996" s="26"/>
    </row>
    <row r="3997" spans="7:9" x14ac:dyDescent="0.3">
      <c r="G3997" s="26"/>
      <c r="H3997" s="26"/>
      <c r="I3997" s="26"/>
    </row>
    <row r="3998" spans="7:9" x14ac:dyDescent="0.3">
      <c r="G3998" s="26"/>
      <c r="H3998" s="26"/>
      <c r="I3998" s="26"/>
    </row>
    <row r="3999" spans="7:9" x14ac:dyDescent="0.3">
      <c r="G3999" s="26"/>
      <c r="H3999" s="26"/>
      <c r="I3999" s="26"/>
    </row>
    <row r="4000" spans="7:9" x14ac:dyDescent="0.3">
      <c r="G4000" s="26"/>
      <c r="H4000" s="26"/>
      <c r="I4000" s="26"/>
    </row>
    <row r="4001" spans="7:9" x14ac:dyDescent="0.3">
      <c r="G4001" s="26"/>
      <c r="H4001" s="26"/>
      <c r="I4001" s="26"/>
    </row>
    <row r="4002" spans="7:9" x14ac:dyDescent="0.3">
      <c r="G4002" s="26"/>
      <c r="H4002" s="26"/>
      <c r="I4002" s="26"/>
    </row>
    <row r="4003" spans="7:9" x14ac:dyDescent="0.3">
      <c r="G4003" s="26"/>
      <c r="H4003" s="26"/>
      <c r="I4003" s="26"/>
    </row>
    <row r="4004" spans="7:9" x14ac:dyDescent="0.3">
      <c r="G4004" s="26"/>
      <c r="H4004" s="26"/>
      <c r="I4004" s="26"/>
    </row>
    <row r="4005" spans="7:9" x14ac:dyDescent="0.3">
      <c r="G4005" s="26"/>
      <c r="H4005" s="26"/>
      <c r="I4005" s="26"/>
    </row>
    <row r="4006" spans="7:9" x14ac:dyDescent="0.3">
      <c r="G4006" s="26"/>
      <c r="H4006" s="26"/>
      <c r="I4006" s="26"/>
    </row>
    <row r="4007" spans="7:9" x14ac:dyDescent="0.3">
      <c r="G4007" s="26"/>
      <c r="H4007" s="26"/>
      <c r="I4007" s="26"/>
    </row>
    <row r="4008" spans="7:9" x14ac:dyDescent="0.3">
      <c r="G4008" s="26"/>
      <c r="H4008" s="26"/>
      <c r="I4008" s="26"/>
    </row>
    <row r="4009" spans="7:9" x14ac:dyDescent="0.3">
      <c r="G4009" s="26"/>
      <c r="H4009" s="26"/>
      <c r="I4009" s="26"/>
    </row>
    <row r="4010" spans="7:9" x14ac:dyDescent="0.3">
      <c r="G4010" s="26"/>
      <c r="H4010" s="26"/>
      <c r="I4010" s="26"/>
    </row>
    <row r="4011" spans="7:9" x14ac:dyDescent="0.3">
      <c r="G4011" s="26"/>
      <c r="H4011" s="26"/>
      <c r="I4011" s="26"/>
    </row>
    <row r="4012" spans="7:9" x14ac:dyDescent="0.3">
      <c r="G4012" s="26"/>
      <c r="H4012" s="26"/>
      <c r="I4012" s="26"/>
    </row>
    <row r="4013" spans="7:9" x14ac:dyDescent="0.3">
      <c r="G4013" s="26"/>
      <c r="H4013" s="26"/>
      <c r="I4013" s="26"/>
    </row>
    <row r="4014" spans="7:9" x14ac:dyDescent="0.3">
      <c r="G4014" s="26"/>
      <c r="H4014" s="26"/>
      <c r="I4014" s="26"/>
    </row>
    <row r="4015" spans="7:9" x14ac:dyDescent="0.3">
      <c r="G4015" s="26"/>
      <c r="H4015" s="26"/>
      <c r="I4015" s="26"/>
    </row>
    <row r="4016" spans="7:9" x14ac:dyDescent="0.3">
      <c r="G4016" s="26"/>
      <c r="H4016" s="26"/>
      <c r="I4016" s="26"/>
    </row>
    <row r="4017" spans="7:9" x14ac:dyDescent="0.3">
      <c r="G4017" s="26"/>
      <c r="H4017" s="26"/>
      <c r="I4017" s="26"/>
    </row>
    <row r="4018" spans="7:9" x14ac:dyDescent="0.3">
      <c r="G4018" s="26"/>
      <c r="H4018" s="26"/>
      <c r="I4018" s="26"/>
    </row>
    <row r="4019" spans="7:9" x14ac:dyDescent="0.3">
      <c r="G4019" s="26"/>
      <c r="H4019" s="26"/>
      <c r="I4019" s="26"/>
    </row>
    <row r="4020" spans="7:9" x14ac:dyDescent="0.3">
      <c r="G4020" s="26"/>
      <c r="H4020" s="26"/>
      <c r="I4020" s="26"/>
    </row>
    <row r="4021" spans="7:9" x14ac:dyDescent="0.3">
      <c r="G4021" s="26"/>
      <c r="H4021" s="26"/>
      <c r="I4021" s="26"/>
    </row>
    <row r="4022" spans="7:9" x14ac:dyDescent="0.3">
      <c r="G4022" s="26"/>
      <c r="H4022" s="26"/>
      <c r="I4022" s="26"/>
    </row>
    <row r="4023" spans="7:9" x14ac:dyDescent="0.3">
      <c r="G4023" s="26"/>
      <c r="H4023" s="26"/>
      <c r="I4023" s="26"/>
    </row>
    <row r="4024" spans="7:9" x14ac:dyDescent="0.3">
      <c r="G4024" s="26"/>
      <c r="H4024" s="26"/>
      <c r="I4024" s="26"/>
    </row>
    <row r="4025" spans="7:9" x14ac:dyDescent="0.3">
      <c r="G4025" s="26"/>
      <c r="H4025" s="26"/>
      <c r="I4025" s="26"/>
    </row>
    <row r="4026" spans="7:9" x14ac:dyDescent="0.3">
      <c r="G4026" s="26"/>
      <c r="H4026" s="26"/>
      <c r="I4026" s="26"/>
    </row>
    <row r="4027" spans="7:9" x14ac:dyDescent="0.3">
      <c r="G4027" s="26"/>
      <c r="H4027" s="26"/>
      <c r="I4027" s="26"/>
    </row>
    <row r="4028" spans="7:9" x14ac:dyDescent="0.3">
      <c r="G4028" s="26"/>
      <c r="H4028" s="26"/>
      <c r="I4028" s="26"/>
    </row>
    <row r="4029" spans="7:9" x14ac:dyDescent="0.3">
      <c r="G4029" s="26"/>
      <c r="H4029" s="26"/>
      <c r="I4029" s="26"/>
    </row>
    <row r="4030" spans="7:9" x14ac:dyDescent="0.3">
      <c r="G4030" s="26"/>
      <c r="H4030" s="26"/>
      <c r="I4030" s="26"/>
    </row>
    <row r="4031" spans="7:9" x14ac:dyDescent="0.3">
      <c r="G4031" s="26"/>
      <c r="H4031" s="26"/>
      <c r="I4031" s="26"/>
    </row>
    <row r="4032" spans="7:9" x14ac:dyDescent="0.3">
      <c r="G4032" s="26"/>
      <c r="H4032" s="26"/>
      <c r="I4032" s="26"/>
    </row>
    <row r="4033" spans="7:9" x14ac:dyDescent="0.3">
      <c r="G4033" s="26"/>
      <c r="H4033" s="26"/>
      <c r="I4033" s="26"/>
    </row>
    <row r="4034" spans="7:9" x14ac:dyDescent="0.3">
      <c r="G4034" s="26"/>
      <c r="H4034" s="26"/>
      <c r="I4034" s="26"/>
    </row>
    <row r="4035" spans="7:9" x14ac:dyDescent="0.3">
      <c r="G4035" s="26"/>
      <c r="H4035" s="26"/>
      <c r="I4035" s="26"/>
    </row>
    <row r="4036" spans="7:9" x14ac:dyDescent="0.3">
      <c r="G4036" s="26"/>
      <c r="H4036" s="26"/>
      <c r="I4036" s="26"/>
    </row>
    <row r="4037" spans="7:9" x14ac:dyDescent="0.3">
      <c r="G4037" s="26"/>
      <c r="H4037" s="26"/>
      <c r="I4037" s="26"/>
    </row>
    <row r="4038" spans="7:9" x14ac:dyDescent="0.3">
      <c r="G4038" s="26"/>
      <c r="H4038" s="26"/>
      <c r="I4038" s="26"/>
    </row>
    <row r="4039" spans="7:9" x14ac:dyDescent="0.3">
      <c r="G4039" s="26"/>
      <c r="H4039" s="26"/>
      <c r="I4039" s="26"/>
    </row>
    <row r="4040" spans="7:9" x14ac:dyDescent="0.3">
      <c r="G4040" s="26"/>
      <c r="H4040" s="26"/>
      <c r="I4040" s="26"/>
    </row>
    <row r="4041" spans="7:9" x14ac:dyDescent="0.3">
      <c r="G4041" s="26"/>
      <c r="H4041" s="26"/>
      <c r="I4041" s="26"/>
    </row>
    <row r="4042" spans="7:9" x14ac:dyDescent="0.3">
      <c r="G4042" s="26"/>
      <c r="H4042" s="26"/>
      <c r="I4042" s="26"/>
    </row>
    <row r="4043" spans="7:9" x14ac:dyDescent="0.3">
      <c r="G4043" s="26"/>
      <c r="H4043" s="26"/>
      <c r="I4043" s="26"/>
    </row>
    <row r="4044" spans="7:9" x14ac:dyDescent="0.3">
      <c r="G4044" s="26"/>
      <c r="H4044" s="26"/>
      <c r="I4044" s="26"/>
    </row>
    <row r="4045" spans="7:9" x14ac:dyDescent="0.3">
      <c r="G4045" s="26"/>
      <c r="H4045" s="26"/>
      <c r="I4045" s="26"/>
    </row>
    <row r="4046" spans="7:9" x14ac:dyDescent="0.3">
      <c r="G4046" s="26"/>
      <c r="H4046" s="26"/>
      <c r="I4046" s="26"/>
    </row>
    <row r="4047" spans="7:9" x14ac:dyDescent="0.3">
      <c r="G4047" s="26"/>
      <c r="H4047" s="26"/>
      <c r="I4047" s="26"/>
    </row>
    <row r="4048" spans="7:9" x14ac:dyDescent="0.3">
      <c r="G4048" s="26"/>
      <c r="H4048" s="26"/>
      <c r="I4048" s="26"/>
    </row>
    <row r="4049" spans="7:9" x14ac:dyDescent="0.3">
      <c r="G4049" s="26"/>
      <c r="H4049" s="26"/>
      <c r="I4049" s="26"/>
    </row>
    <row r="4050" spans="7:9" x14ac:dyDescent="0.3">
      <c r="G4050" s="26"/>
      <c r="H4050" s="26"/>
      <c r="I4050" s="26"/>
    </row>
    <row r="4051" spans="7:9" x14ac:dyDescent="0.3">
      <c r="G4051" s="26"/>
      <c r="H4051" s="26"/>
      <c r="I4051" s="26"/>
    </row>
    <row r="4052" spans="7:9" x14ac:dyDescent="0.3">
      <c r="G4052" s="26"/>
      <c r="H4052" s="26"/>
      <c r="I4052" s="26"/>
    </row>
    <row r="4053" spans="7:9" x14ac:dyDescent="0.3">
      <c r="G4053" s="26"/>
      <c r="H4053" s="26"/>
      <c r="I4053" s="26"/>
    </row>
    <row r="4054" spans="7:9" x14ac:dyDescent="0.3">
      <c r="G4054" s="26"/>
      <c r="H4054" s="26"/>
      <c r="I4054" s="26"/>
    </row>
    <row r="4055" spans="7:9" x14ac:dyDescent="0.3">
      <c r="G4055" s="26"/>
      <c r="H4055" s="26"/>
      <c r="I4055" s="26"/>
    </row>
    <row r="4056" spans="7:9" x14ac:dyDescent="0.3">
      <c r="G4056" s="26"/>
      <c r="H4056" s="26"/>
      <c r="I4056" s="26"/>
    </row>
    <row r="4057" spans="7:9" x14ac:dyDescent="0.3">
      <c r="G4057" s="26"/>
      <c r="H4057" s="26"/>
      <c r="I4057" s="26"/>
    </row>
    <row r="4058" spans="7:9" x14ac:dyDescent="0.3">
      <c r="G4058" s="26"/>
      <c r="H4058" s="26"/>
      <c r="I4058" s="26"/>
    </row>
    <row r="4059" spans="7:9" x14ac:dyDescent="0.3">
      <c r="G4059" s="26"/>
      <c r="H4059" s="26"/>
      <c r="I4059" s="26"/>
    </row>
    <row r="4060" spans="7:9" x14ac:dyDescent="0.3">
      <c r="G4060" s="26"/>
      <c r="H4060" s="26"/>
      <c r="I4060" s="26"/>
    </row>
    <row r="4061" spans="7:9" x14ac:dyDescent="0.3">
      <c r="G4061" s="26"/>
      <c r="H4061" s="26"/>
      <c r="I4061" s="26"/>
    </row>
    <row r="4062" spans="7:9" x14ac:dyDescent="0.3">
      <c r="G4062" s="26"/>
      <c r="H4062" s="26"/>
      <c r="I4062" s="26"/>
    </row>
    <row r="4063" spans="7:9" x14ac:dyDescent="0.3">
      <c r="G4063" s="26"/>
      <c r="H4063" s="26"/>
      <c r="I4063" s="26"/>
    </row>
    <row r="4064" spans="7:9" x14ac:dyDescent="0.3">
      <c r="G4064" s="26"/>
      <c r="H4064" s="26"/>
      <c r="I4064" s="26"/>
    </row>
    <row r="4065" spans="7:9" x14ac:dyDescent="0.3">
      <c r="G4065" s="26"/>
      <c r="H4065" s="26"/>
      <c r="I4065" s="26"/>
    </row>
    <row r="4066" spans="7:9" x14ac:dyDescent="0.3">
      <c r="G4066" s="26"/>
      <c r="H4066" s="26"/>
      <c r="I4066" s="26"/>
    </row>
    <row r="4067" spans="7:9" x14ac:dyDescent="0.3">
      <c r="G4067" s="26"/>
      <c r="H4067" s="26"/>
      <c r="I4067" s="26"/>
    </row>
    <row r="4068" spans="7:9" x14ac:dyDescent="0.3">
      <c r="G4068" s="26"/>
      <c r="H4068" s="26"/>
      <c r="I4068" s="26"/>
    </row>
    <row r="4069" spans="7:9" x14ac:dyDescent="0.3">
      <c r="G4069" s="26"/>
      <c r="H4069" s="26"/>
      <c r="I4069" s="26"/>
    </row>
    <row r="4070" spans="7:9" x14ac:dyDescent="0.3">
      <c r="G4070" s="26"/>
      <c r="H4070" s="26"/>
      <c r="I4070" s="26"/>
    </row>
    <row r="4071" spans="7:9" x14ac:dyDescent="0.3">
      <c r="G4071" s="26"/>
      <c r="H4071" s="26"/>
      <c r="I4071" s="26"/>
    </row>
    <row r="4072" spans="7:9" x14ac:dyDescent="0.3">
      <c r="G4072" s="26"/>
      <c r="H4072" s="26"/>
      <c r="I4072" s="26"/>
    </row>
    <row r="4073" spans="7:9" x14ac:dyDescent="0.3">
      <c r="G4073" s="26"/>
      <c r="H4073" s="26"/>
      <c r="I4073" s="26"/>
    </row>
    <row r="4074" spans="7:9" x14ac:dyDescent="0.3">
      <c r="G4074" s="26"/>
      <c r="H4074" s="26"/>
      <c r="I4074" s="26"/>
    </row>
    <row r="4075" spans="7:9" x14ac:dyDescent="0.3">
      <c r="G4075" s="26"/>
      <c r="H4075" s="26"/>
      <c r="I4075" s="26"/>
    </row>
    <row r="4076" spans="7:9" x14ac:dyDescent="0.3">
      <c r="G4076" s="26"/>
      <c r="H4076" s="26"/>
      <c r="I4076" s="26"/>
    </row>
    <row r="4077" spans="7:9" x14ac:dyDescent="0.3">
      <c r="G4077" s="26"/>
      <c r="H4077" s="26"/>
      <c r="I4077" s="26"/>
    </row>
    <row r="4078" spans="7:9" x14ac:dyDescent="0.3">
      <c r="G4078" s="26"/>
      <c r="H4078" s="26"/>
      <c r="I4078" s="26"/>
    </row>
    <row r="4079" spans="7:9" x14ac:dyDescent="0.3">
      <c r="G4079" s="26"/>
      <c r="H4079" s="26"/>
      <c r="I4079" s="26"/>
    </row>
    <row r="4080" spans="7:9" x14ac:dyDescent="0.3">
      <c r="G4080" s="26"/>
      <c r="H4080" s="26"/>
      <c r="I4080" s="26"/>
    </row>
    <row r="4081" spans="7:9" x14ac:dyDescent="0.3">
      <c r="G4081" s="26"/>
      <c r="H4081" s="26"/>
      <c r="I4081" s="26"/>
    </row>
    <row r="4082" spans="7:9" x14ac:dyDescent="0.3">
      <c r="G4082" s="26"/>
      <c r="H4082" s="26"/>
      <c r="I4082" s="26"/>
    </row>
    <row r="4083" spans="7:9" x14ac:dyDescent="0.3">
      <c r="G4083" s="26"/>
      <c r="H4083" s="26"/>
      <c r="I4083" s="26"/>
    </row>
    <row r="4084" spans="7:9" x14ac:dyDescent="0.3">
      <c r="G4084" s="26"/>
      <c r="H4084" s="26"/>
      <c r="I4084" s="26"/>
    </row>
    <row r="4085" spans="7:9" x14ac:dyDescent="0.3">
      <c r="G4085" s="26"/>
      <c r="H4085" s="26"/>
      <c r="I4085" s="26"/>
    </row>
    <row r="4086" spans="7:9" x14ac:dyDescent="0.3">
      <c r="G4086" s="26"/>
      <c r="H4086" s="26"/>
      <c r="I4086" s="26"/>
    </row>
    <row r="4087" spans="7:9" x14ac:dyDescent="0.3">
      <c r="G4087" s="26"/>
      <c r="H4087" s="26"/>
      <c r="I4087" s="26"/>
    </row>
    <row r="4088" spans="7:9" x14ac:dyDescent="0.3">
      <c r="G4088" s="26"/>
      <c r="H4088" s="26"/>
      <c r="I4088" s="26"/>
    </row>
    <row r="4089" spans="7:9" x14ac:dyDescent="0.3">
      <c r="G4089" s="26"/>
      <c r="H4089" s="26"/>
      <c r="I4089" s="26"/>
    </row>
    <row r="4090" spans="7:9" x14ac:dyDescent="0.3">
      <c r="G4090" s="26"/>
      <c r="H4090" s="26"/>
      <c r="I4090" s="26"/>
    </row>
    <row r="4091" spans="7:9" x14ac:dyDescent="0.3">
      <c r="G4091" s="26"/>
      <c r="H4091" s="26"/>
      <c r="I4091" s="26"/>
    </row>
    <row r="4092" spans="7:9" x14ac:dyDescent="0.3">
      <c r="G4092" s="26"/>
      <c r="H4092" s="26"/>
      <c r="I4092" s="26"/>
    </row>
    <row r="4093" spans="7:9" x14ac:dyDescent="0.3">
      <c r="G4093" s="26"/>
      <c r="H4093" s="26"/>
      <c r="I4093" s="26"/>
    </row>
    <row r="4094" spans="7:9" x14ac:dyDescent="0.3">
      <c r="G4094" s="26"/>
      <c r="H4094" s="26"/>
      <c r="I4094" s="26"/>
    </row>
    <row r="4095" spans="7:9" x14ac:dyDescent="0.3">
      <c r="G4095" s="26"/>
      <c r="H4095" s="26"/>
      <c r="I4095" s="26"/>
    </row>
    <row r="4096" spans="7:9" x14ac:dyDescent="0.3">
      <c r="G4096" s="26"/>
      <c r="H4096" s="26"/>
      <c r="I4096" s="26"/>
    </row>
    <row r="4097" spans="7:9" x14ac:dyDescent="0.3">
      <c r="G4097" s="26"/>
      <c r="H4097" s="26"/>
      <c r="I4097" s="26"/>
    </row>
    <row r="4098" spans="7:9" x14ac:dyDescent="0.3">
      <c r="G4098" s="26"/>
      <c r="H4098" s="26"/>
      <c r="I4098" s="26"/>
    </row>
    <row r="4099" spans="7:9" x14ac:dyDescent="0.3">
      <c r="G4099" s="26"/>
      <c r="H4099" s="26"/>
      <c r="I4099" s="26"/>
    </row>
    <row r="4100" spans="7:9" x14ac:dyDescent="0.3">
      <c r="G4100" s="26"/>
      <c r="H4100" s="26"/>
      <c r="I4100" s="26"/>
    </row>
    <row r="4101" spans="7:9" x14ac:dyDescent="0.3">
      <c r="G4101" s="26"/>
      <c r="H4101" s="26"/>
      <c r="I4101" s="26"/>
    </row>
    <row r="4102" spans="7:9" x14ac:dyDescent="0.3">
      <c r="G4102" s="26"/>
      <c r="H4102" s="26"/>
      <c r="I4102" s="26"/>
    </row>
    <row r="4103" spans="7:9" x14ac:dyDescent="0.3">
      <c r="G4103" s="26"/>
      <c r="H4103" s="26"/>
      <c r="I4103" s="26"/>
    </row>
    <row r="4104" spans="7:9" x14ac:dyDescent="0.3">
      <c r="G4104" s="26"/>
      <c r="H4104" s="26"/>
      <c r="I4104" s="26"/>
    </row>
    <row r="4105" spans="7:9" x14ac:dyDescent="0.3">
      <c r="G4105" s="26"/>
      <c r="H4105" s="26"/>
      <c r="I4105" s="26"/>
    </row>
    <row r="4106" spans="7:9" x14ac:dyDescent="0.3">
      <c r="G4106" s="26"/>
      <c r="H4106" s="26"/>
      <c r="I4106" s="26"/>
    </row>
    <row r="4107" spans="7:9" x14ac:dyDescent="0.3">
      <c r="G4107" s="26"/>
      <c r="H4107" s="26"/>
      <c r="I4107" s="26"/>
    </row>
    <row r="4108" spans="7:9" x14ac:dyDescent="0.3">
      <c r="G4108" s="26"/>
      <c r="H4108" s="26"/>
      <c r="I4108" s="26"/>
    </row>
    <row r="4109" spans="7:9" x14ac:dyDescent="0.3">
      <c r="G4109" s="26"/>
      <c r="H4109" s="26"/>
      <c r="I4109" s="26"/>
    </row>
    <row r="4110" spans="7:9" x14ac:dyDescent="0.3">
      <c r="G4110" s="26"/>
      <c r="H4110" s="26"/>
      <c r="I4110" s="26"/>
    </row>
    <row r="4111" spans="7:9" x14ac:dyDescent="0.3">
      <c r="G4111" s="26"/>
      <c r="H4111" s="26"/>
      <c r="I4111" s="26"/>
    </row>
    <row r="4112" spans="7:9" x14ac:dyDescent="0.3">
      <c r="G4112" s="26"/>
      <c r="H4112" s="26"/>
      <c r="I4112" s="26"/>
    </row>
    <row r="4113" spans="7:9" x14ac:dyDescent="0.3">
      <c r="G4113" s="26"/>
      <c r="H4113" s="26"/>
      <c r="I4113" s="26"/>
    </row>
    <row r="4114" spans="7:9" x14ac:dyDescent="0.3">
      <c r="G4114" s="26"/>
      <c r="H4114" s="26"/>
      <c r="I4114" s="26"/>
    </row>
    <row r="4115" spans="7:9" x14ac:dyDescent="0.3">
      <c r="G4115" s="26"/>
      <c r="H4115" s="26"/>
      <c r="I4115" s="26"/>
    </row>
    <row r="4116" spans="7:9" x14ac:dyDescent="0.3">
      <c r="G4116" s="26"/>
      <c r="H4116" s="26"/>
      <c r="I4116" s="26"/>
    </row>
    <row r="4117" spans="7:9" x14ac:dyDescent="0.3">
      <c r="G4117" s="26"/>
      <c r="H4117" s="26"/>
      <c r="I4117" s="26"/>
    </row>
    <row r="4118" spans="7:9" x14ac:dyDescent="0.3">
      <c r="G4118" s="26"/>
      <c r="H4118" s="26"/>
      <c r="I4118" s="26"/>
    </row>
    <row r="4119" spans="7:9" x14ac:dyDescent="0.3">
      <c r="G4119" s="26"/>
      <c r="H4119" s="26"/>
      <c r="I4119" s="26"/>
    </row>
    <row r="4120" spans="7:9" x14ac:dyDescent="0.3">
      <c r="G4120" s="26"/>
      <c r="H4120" s="26"/>
      <c r="I4120" s="26"/>
    </row>
    <row r="4121" spans="7:9" x14ac:dyDescent="0.3">
      <c r="G4121" s="26"/>
      <c r="H4121" s="26"/>
      <c r="I4121" s="26"/>
    </row>
    <row r="4122" spans="7:9" x14ac:dyDescent="0.3">
      <c r="G4122" s="26"/>
      <c r="H4122" s="26"/>
      <c r="I4122" s="26"/>
    </row>
    <row r="4123" spans="7:9" x14ac:dyDescent="0.3">
      <c r="G4123" s="26"/>
      <c r="H4123" s="26"/>
      <c r="I4123" s="26"/>
    </row>
    <row r="4124" spans="7:9" x14ac:dyDescent="0.3">
      <c r="G4124" s="26"/>
      <c r="H4124" s="26"/>
      <c r="I4124" s="26"/>
    </row>
    <row r="4125" spans="7:9" x14ac:dyDescent="0.3">
      <c r="G4125" s="26"/>
      <c r="H4125" s="26"/>
      <c r="I4125" s="26"/>
    </row>
    <row r="4126" spans="7:9" x14ac:dyDescent="0.3">
      <c r="G4126" s="26"/>
      <c r="H4126" s="26"/>
      <c r="I4126" s="26"/>
    </row>
    <row r="4127" spans="7:9" x14ac:dyDescent="0.3">
      <c r="G4127" s="26"/>
      <c r="H4127" s="26"/>
      <c r="I4127" s="26"/>
    </row>
    <row r="4128" spans="7:9" x14ac:dyDescent="0.3">
      <c r="G4128" s="26"/>
      <c r="H4128" s="26"/>
      <c r="I4128" s="26"/>
    </row>
    <row r="4129" spans="7:9" x14ac:dyDescent="0.3">
      <c r="G4129" s="26"/>
      <c r="H4129" s="26"/>
      <c r="I4129" s="26"/>
    </row>
    <row r="4130" spans="7:9" x14ac:dyDescent="0.3">
      <c r="G4130" s="26"/>
      <c r="H4130" s="26"/>
      <c r="I4130" s="26"/>
    </row>
    <row r="4131" spans="7:9" x14ac:dyDescent="0.3">
      <c r="G4131" s="26"/>
      <c r="H4131" s="26"/>
      <c r="I4131" s="26"/>
    </row>
    <row r="4132" spans="7:9" x14ac:dyDescent="0.3">
      <c r="G4132" s="26"/>
      <c r="H4132" s="26"/>
      <c r="I4132" s="26"/>
    </row>
    <row r="4133" spans="7:9" x14ac:dyDescent="0.3">
      <c r="G4133" s="26"/>
      <c r="H4133" s="26"/>
      <c r="I4133" s="26"/>
    </row>
    <row r="4134" spans="7:9" x14ac:dyDescent="0.3">
      <c r="G4134" s="26"/>
      <c r="H4134" s="26"/>
      <c r="I4134" s="26"/>
    </row>
    <row r="4135" spans="7:9" x14ac:dyDescent="0.3">
      <c r="G4135" s="26"/>
      <c r="H4135" s="26"/>
      <c r="I4135" s="26"/>
    </row>
    <row r="4136" spans="7:9" x14ac:dyDescent="0.3">
      <c r="G4136" s="26"/>
      <c r="H4136" s="26"/>
      <c r="I4136" s="26"/>
    </row>
    <row r="4137" spans="7:9" x14ac:dyDescent="0.3">
      <c r="G4137" s="26"/>
      <c r="H4137" s="26"/>
      <c r="I4137" s="26"/>
    </row>
    <row r="4138" spans="7:9" x14ac:dyDescent="0.3">
      <c r="G4138" s="26"/>
      <c r="H4138" s="26"/>
      <c r="I4138" s="26"/>
    </row>
    <row r="4139" spans="7:9" x14ac:dyDescent="0.3">
      <c r="G4139" s="26"/>
      <c r="H4139" s="26"/>
      <c r="I4139" s="26"/>
    </row>
    <row r="4140" spans="7:9" x14ac:dyDescent="0.3">
      <c r="G4140" s="26"/>
      <c r="H4140" s="26"/>
      <c r="I4140" s="26"/>
    </row>
    <row r="4141" spans="7:9" x14ac:dyDescent="0.3">
      <c r="G4141" s="26"/>
      <c r="H4141" s="26"/>
      <c r="I4141" s="26"/>
    </row>
    <row r="4142" spans="7:9" x14ac:dyDescent="0.3">
      <c r="G4142" s="26"/>
      <c r="H4142" s="26"/>
      <c r="I4142" s="26"/>
    </row>
    <row r="4143" spans="7:9" x14ac:dyDescent="0.3">
      <c r="G4143" s="26"/>
      <c r="H4143" s="26"/>
      <c r="I4143" s="26"/>
    </row>
    <row r="4144" spans="7:9" x14ac:dyDescent="0.3">
      <c r="G4144" s="26"/>
      <c r="H4144" s="26"/>
      <c r="I4144" s="26"/>
    </row>
    <row r="4145" spans="7:9" x14ac:dyDescent="0.3">
      <c r="G4145" s="26"/>
      <c r="H4145" s="26"/>
      <c r="I4145" s="26"/>
    </row>
    <row r="4146" spans="7:9" x14ac:dyDescent="0.3">
      <c r="G4146" s="26"/>
      <c r="H4146" s="26"/>
      <c r="I4146" s="26"/>
    </row>
    <row r="4147" spans="7:9" x14ac:dyDescent="0.3">
      <c r="G4147" s="26"/>
      <c r="H4147" s="26"/>
      <c r="I4147" s="26"/>
    </row>
    <row r="4148" spans="7:9" x14ac:dyDescent="0.3">
      <c r="G4148" s="26"/>
      <c r="H4148" s="26"/>
      <c r="I4148" s="26"/>
    </row>
    <row r="4149" spans="7:9" x14ac:dyDescent="0.3">
      <c r="G4149" s="26"/>
      <c r="H4149" s="26"/>
      <c r="I4149" s="26"/>
    </row>
    <row r="4150" spans="7:9" x14ac:dyDescent="0.3">
      <c r="G4150" s="26"/>
      <c r="H4150" s="26"/>
      <c r="I4150" s="26"/>
    </row>
    <row r="4151" spans="7:9" x14ac:dyDescent="0.3">
      <c r="G4151" s="26"/>
      <c r="H4151" s="26"/>
      <c r="I4151" s="26"/>
    </row>
    <row r="4152" spans="7:9" x14ac:dyDescent="0.3">
      <c r="G4152" s="26"/>
      <c r="H4152" s="26"/>
      <c r="I4152" s="26"/>
    </row>
    <row r="4153" spans="7:9" x14ac:dyDescent="0.3">
      <c r="G4153" s="26"/>
      <c r="H4153" s="26"/>
      <c r="I4153" s="26"/>
    </row>
    <row r="4154" spans="7:9" x14ac:dyDescent="0.3">
      <c r="G4154" s="26"/>
      <c r="H4154" s="26"/>
      <c r="I4154" s="26"/>
    </row>
    <row r="4155" spans="7:9" x14ac:dyDescent="0.3">
      <c r="G4155" s="26"/>
      <c r="H4155" s="26"/>
      <c r="I4155" s="26"/>
    </row>
    <row r="4156" spans="7:9" x14ac:dyDescent="0.3">
      <c r="G4156" s="26"/>
      <c r="H4156" s="26"/>
      <c r="I4156" s="26"/>
    </row>
    <row r="4157" spans="7:9" x14ac:dyDescent="0.3">
      <c r="G4157" s="26"/>
      <c r="H4157" s="26"/>
      <c r="I4157" s="26"/>
    </row>
    <row r="4158" spans="7:9" x14ac:dyDescent="0.3">
      <c r="G4158" s="26"/>
      <c r="H4158" s="26"/>
      <c r="I4158" s="26"/>
    </row>
    <row r="4159" spans="7:9" x14ac:dyDescent="0.3">
      <c r="G4159" s="26"/>
      <c r="H4159" s="26"/>
      <c r="I4159" s="26"/>
    </row>
    <row r="4160" spans="7:9" x14ac:dyDescent="0.3">
      <c r="G4160" s="26"/>
      <c r="H4160" s="26"/>
      <c r="I4160" s="26"/>
    </row>
    <row r="4161" spans="7:9" x14ac:dyDescent="0.3">
      <c r="G4161" s="26"/>
      <c r="H4161" s="26"/>
      <c r="I4161" s="26"/>
    </row>
    <row r="4162" spans="7:9" x14ac:dyDescent="0.3">
      <c r="G4162" s="26"/>
      <c r="H4162" s="26"/>
      <c r="I4162" s="26"/>
    </row>
    <row r="4163" spans="7:9" x14ac:dyDescent="0.3">
      <c r="G4163" s="26"/>
      <c r="H4163" s="26"/>
      <c r="I4163" s="26"/>
    </row>
    <row r="4164" spans="7:9" x14ac:dyDescent="0.3">
      <c r="G4164" s="26"/>
      <c r="H4164" s="26"/>
      <c r="I4164" s="26"/>
    </row>
    <row r="4165" spans="7:9" x14ac:dyDescent="0.3">
      <c r="G4165" s="26"/>
      <c r="H4165" s="26"/>
      <c r="I4165" s="26"/>
    </row>
    <row r="4166" spans="7:9" x14ac:dyDescent="0.3">
      <c r="G4166" s="26"/>
      <c r="H4166" s="26"/>
      <c r="I4166" s="26"/>
    </row>
    <row r="4167" spans="7:9" x14ac:dyDescent="0.3">
      <c r="G4167" s="26"/>
      <c r="H4167" s="26"/>
      <c r="I4167" s="26"/>
    </row>
    <row r="4168" spans="7:9" x14ac:dyDescent="0.3">
      <c r="G4168" s="26"/>
      <c r="H4168" s="26"/>
      <c r="I4168" s="26"/>
    </row>
    <row r="4169" spans="7:9" x14ac:dyDescent="0.3">
      <c r="G4169" s="26"/>
      <c r="H4169" s="26"/>
      <c r="I4169" s="26"/>
    </row>
    <row r="4170" spans="7:9" x14ac:dyDescent="0.3">
      <c r="G4170" s="26"/>
      <c r="H4170" s="26"/>
      <c r="I4170" s="26"/>
    </row>
    <row r="4171" spans="7:9" x14ac:dyDescent="0.3">
      <c r="G4171" s="26"/>
      <c r="H4171" s="26"/>
      <c r="I4171" s="26"/>
    </row>
    <row r="4172" spans="7:9" x14ac:dyDescent="0.3">
      <c r="G4172" s="26"/>
      <c r="H4172" s="26"/>
      <c r="I4172" s="26"/>
    </row>
    <row r="4173" spans="7:9" x14ac:dyDescent="0.3">
      <c r="G4173" s="26"/>
      <c r="H4173" s="26"/>
      <c r="I4173" s="26"/>
    </row>
    <row r="4174" spans="7:9" x14ac:dyDescent="0.3">
      <c r="G4174" s="26"/>
      <c r="H4174" s="26"/>
      <c r="I4174" s="26"/>
    </row>
    <row r="4175" spans="7:9" x14ac:dyDescent="0.3">
      <c r="G4175" s="26"/>
      <c r="H4175" s="26"/>
      <c r="I4175" s="26"/>
    </row>
    <row r="4176" spans="7:9" x14ac:dyDescent="0.3">
      <c r="G4176" s="26"/>
      <c r="H4176" s="26"/>
      <c r="I4176" s="26"/>
    </row>
    <row r="4177" spans="7:9" x14ac:dyDescent="0.3">
      <c r="G4177" s="26"/>
      <c r="H4177" s="26"/>
      <c r="I4177" s="26"/>
    </row>
    <row r="4178" spans="7:9" x14ac:dyDescent="0.3">
      <c r="G4178" s="26"/>
      <c r="H4178" s="26"/>
      <c r="I4178" s="26"/>
    </row>
    <row r="4179" spans="7:9" x14ac:dyDescent="0.3">
      <c r="G4179" s="26"/>
      <c r="H4179" s="26"/>
      <c r="I4179" s="26"/>
    </row>
    <row r="4180" spans="7:9" x14ac:dyDescent="0.3">
      <c r="G4180" s="26"/>
      <c r="H4180" s="26"/>
      <c r="I4180" s="26"/>
    </row>
    <row r="4181" spans="7:9" x14ac:dyDescent="0.3">
      <c r="G4181" s="26"/>
      <c r="H4181" s="26"/>
      <c r="I4181" s="26"/>
    </row>
    <row r="4182" spans="7:9" x14ac:dyDescent="0.3">
      <c r="G4182" s="26"/>
      <c r="H4182" s="26"/>
      <c r="I4182" s="26"/>
    </row>
    <row r="4183" spans="7:9" x14ac:dyDescent="0.3">
      <c r="G4183" s="26"/>
      <c r="H4183" s="26"/>
      <c r="I4183" s="26"/>
    </row>
    <row r="4184" spans="7:9" x14ac:dyDescent="0.3">
      <c r="G4184" s="26"/>
      <c r="H4184" s="26"/>
      <c r="I4184" s="26"/>
    </row>
    <row r="4185" spans="7:9" x14ac:dyDescent="0.3">
      <c r="G4185" s="26"/>
      <c r="H4185" s="26"/>
      <c r="I4185" s="26"/>
    </row>
    <row r="4186" spans="7:9" x14ac:dyDescent="0.3">
      <c r="G4186" s="26"/>
      <c r="H4186" s="26"/>
      <c r="I4186" s="26"/>
    </row>
    <row r="4187" spans="7:9" x14ac:dyDescent="0.3">
      <c r="G4187" s="26"/>
      <c r="H4187" s="26"/>
      <c r="I4187" s="26"/>
    </row>
    <row r="4188" spans="7:9" x14ac:dyDescent="0.3">
      <c r="G4188" s="26"/>
      <c r="H4188" s="26"/>
      <c r="I4188" s="26"/>
    </row>
    <row r="4189" spans="7:9" x14ac:dyDescent="0.3">
      <c r="G4189" s="26"/>
      <c r="H4189" s="26"/>
      <c r="I4189" s="26"/>
    </row>
    <row r="4190" spans="7:9" x14ac:dyDescent="0.3">
      <c r="G4190" s="26"/>
      <c r="H4190" s="26"/>
      <c r="I4190" s="26"/>
    </row>
    <row r="4191" spans="7:9" x14ac:dyDescent="0.3">
      <c r="G4191" s="26"/>
      <c r="H4191" s="26"/>
      <c r="I4191" s="26"/>
    </row>
    <row r="4192" spans="7:9" x14ac:dyDescent="0.3">
      <c r="G4192" s="26"/>
      <c r="H4192" s="26"/>
      <c r="I4192" s="26"/>
    </row>
    <row r="4193" spans="7:9" x14ac:dyDescent="0.3">
      <c r="G4193" s="26"/>
      <c r="H4193" s="26"/>
      <c r="I4193" s="26"/>
    </row>
    <row r="4194" spans="7:9" x14ac:dyDescent="0.3">
      <c r="G4194" s="26"/>
      <c r="H4194" s="26"/>
      <c r="I4194" s="26"/>
    </row>
    <row r="4195" spans="7:9" x14ac:dyDescent="0.3">
      <c r="G4195" s="26"/>
      <c r="H4195" s="26"/>
      <c r="I4195" s="26"/>
    </row>
    <row r="4196" spans="7:9" x14ac:dyDescent="0.3">
      <c r="G4196" s="26"/>
      <c r="H4196" s="26"/>
      <c r="I4196" s="26"/>
    </row>
    <row r="4197" spans="7:9" x14ac:dyDescent="0.3">
      <c r="G4197" s="26"/>
      <c r="H4197" s="26"/>
      <c r="I4197" s="26"/>
    </row>
    <row r="4198" spans="7:9" x14ac:dyDescent="0.3">
      <c r="G4198" s="26"/>
      <c r="H4198" s="26"/>
      <c r="I4198" s="26"/>
    </row>
    <row r="4199" spans="7:9" x14ac:dyDescent="0.3">
      <c r="G4199" s="26"/>
      <c r="H4199" s="26"/>
      <c r="I4199" s="26"/>
    </row>
    <row r="4200" spans="7:9" x14ac:dyDescent="0.3">
      <c r="G4200" s="26"/>
      <c r="H4200" s="26"/>
      <c r="I4200" s="26"/>
    </row>
    <row r="4201" spans="7:9" x14ac:dyDescent="0.3">
      <c r="G4201" s="26"/>
      <c r="H4201" s="26"/>
      <c r="I4201" s="26"/>
    </row>
    <row r="4202" spans="7:9" x14ac:dyDescent="0.3">
      <c r="G4202" s="26"/>
      <c r="H4202" s="26"/>
      <c r="I4202" s="26"/>
    </row>
    <row r="4203" spans="7:9" x14ac:dyDescent="0.3">
      <c r="G4203" s="26"/>
      <c r="H4203" s="26"/>
      <c r="I4203" s="26"/>
    </row>
    <row r="4204" spans="7:9" x14ac:dyDescent="0.3">
      <c r="G4204" s="26"/>
      <c r="H4204" s="26"/>
      <c r="I4204" s="26"/>
    </row>
    <row r="4205" spans="7:9" x14ac:dyDescent="0.3">
      <c r="G4205" s="26"/>
      <c r="H4205" s="26"/>
      <c r="I4205" s="26"/>
    </row>
    <row r="4206" spans="7:9" x14ac:dyDescent="0.3">
      <c r="G4206" s="26"/>
      <c r="H4206" s="26"/>
      <c r="I4206" s="26"/>
    </row>
    <row r="4207" spans="7:9" x14ac:dyDescent="0.3">
      <c r="G4207" s="26"/>
      <c r="H4207" s="26"/>
      <c r="I4207" s="26"/>
    </row>
    <row r="4208" spans="7:9" x14ac:dyDescent="0.3">
      <c r="G4208" s="26"/>
      <c r="H4208" s="26"/>
      <c r="I4208" s="26"/>
    </row>
    <row r="4209" spans="7:9" x14ac:dyDescent="0.3">
      <c r="G4209" s="26"/>
      <c r="H4209" s="26"/>
      <c r="I4209" s="26"/>
    </row>
    <row r="4210" spans="7:9" x14ac:dyDescent="0.3">
      <c r="G4210" s="26"/>
      <c r="H4210" s="26"/>
      <c r="I4210" s="26"/>
    </row>
    <row r="4211" spans="7:9" x14ac:dyDescent="0.3">
      <c r="G4211" s="26"/>
      <c r="H4211" s="26"/>
      <c r="I4211" s="26"/>
    </row>
    <row r="4212" spans="7:9" x14ac:dyDescent="0.3">
      <c r="G4212" s="26"/>
      <c r="H4212" s="26"/>
      <c r="I4212" s="26"/>
    </row>
    <row r="4213" spans="7:9" x14ac:dyDescent="0.3">
      <c r="G4213" s="26"/>
      <c r="H4213" s="26"/>
      <c r="I4213" s="26"/>
    </row>
    <row r="4214" spans="7:9" x14ac:dyDescent="0.3">
      <c r="G4214" s="26"/>
      <c r="H4214" s="26"/>
      <c r="I4214" s="26"/>
    </row>
    <row r="4215" spans="7:9" x14ac:dyDescent="0.3">
      <c r="G4215" s="26"/>
      <c r="H4215" s="26"/>
      <c r="I4215" s="26"/>
    </row>
    <row r="4216" spans="7:9" x14ac:dyDescent="0.3">
      <c r="G4216" s="26"/>
      <c r="H4216" s="26"/>
      <c r="I4216" s="26"/>
    </row>
    <row r="4217" spans="7:9" x14ac:dyDescent="0.3">
      <c r="G4217" s="26"/>
      <c r="H4217" s="26"/>
      <c r="I4217" s="26"/>
    </row>
    <row r="4218" spans="7:9" x14ac:dyDescent="0.3">
      <c r="G4218" s="26"/>
      <c r="H4218" s="26"/>
      <c r="I4218" s="26"/>
    </row>
    <row r="4219" spans="7:9" x14ac:dyDescent="0.3">
      <c r="G4219" s="26"/>
      <c r="H4219" s="26"/>
      <c r="I4219" s="26"/>
    </row>
    <row r="4220" spans="7:9" x14ac:dyDescent="0.3">
      <c r="G4220" s="26"/>
      <c r="H4220" s="26"/>
      <c r="I4220" s="26"/>
    </row>
    <row r="4221" spans="7:9" x14ac:dyDescent="0.3">
      <c r="G4221" s="26"/>
      <c r="H4221" s="26"/>
      <c r="I4221" s="26"/>
    </row>
    <row r="4222" spans="7:9" x14ac:dyDescent="0.3">
      <c r="G4222" s="26"/>
      <c r="H4222" s="26"/>
      <c r="I4222" s="26"/>
    </row>
    <row r="4223" spans="7:9" x14ac:dyDescent="0.3">
      <c r="G4223" s="26"/>
      <c r="H4223" s="26"/>
      <c r="I4223" s="26"/>
    </row>
    <row r="4224" spans="7:9" x14ac:dyDescent="0.3">
      <c r="G4224" s="26"/>
      <c r="H4224" s="26"/>
      <c r="I4224" s="26"/>
    </row>
    <row r="4225" spans="7:9" x14ac:dyDescent="0.3">
      <c r="G4225" s="26"/>
      <c r="H4225" s="26"/>
      <c r="I4225" s="26"/>
    </row>
    <row r="4226" spans="7:9" x14ac:dyDescent="0.3">
      <c r="G4226" s="26"/>
      <c r="H4226" s="26"/>
      <c r="I4226" s="26"/>
    </row>
    <row r="4227" spans="7:9" x14ac:dyDescent="0.3">
      <c r="G4227" s="26"/>
      <c r="H4227" s="26"/>
      <c r="I4227" s="26"/>
    </row>
    <row r="4228" spans="7:9" x14ac:dyDescent="0.3">
      <c r="G4228" s="26"/>
      <c r="H4228" s="26"/>
      <c r="I4228" s="26"/>
    </row>
    <row r="4229" spans="7:9" x14ac:dyDescent="0.3">
      <c r="G4229" s="26"/>
      <c r="H4229" s="26"/>
      <c r="I4229" s="26"/>
    </row>
    <row r="4230" spans="7:9" x14ac:dyDescent="0.3">
      <c r="G4230" s="26"/>
      <c r="H4230" s="26"/>
      <c r="I4230" s="26"/>
    </row>
    <row r="4231" spans="7:9" x14ac:dyDescent="0.3">
      <c r="G4231" s="26"/>
      <c r="H4231" s="26"/>
      <c r="I4231" s="26"/>
    </row>
    <row r="4232" spans="7:9" x14ac:dyDescent="0.3">
      <c r="G4232" s="26"/>
      <c r="H4232" s="26"/>
      <c r="I4232" s="26"/>
    </row>
    <row r="4233" spans="7:9" x14ac:dyDescent="0.3">
      <c r="G4233" s="26"/>
      <c r="H4233" s="26"/>
      <c r="I4233" s="26"/>
    </row>
    <row r="4234" spans="7:9" x14ac:dyDescent="0.3">
      <c r="G4234" s="26"/>
      <c r="H4234" s="26"/>
      <c r="I4234" s="26"/>
    </row>
    <row r="4235" spans="7:9" x14ac:dyDescent="0.3">
      <c r="G4235" s="26"/>
      <c r="H4235" s="26"/>
      <c r="I4235" s="26"/>
    </row>
    <row r="4236" spans="7:9" x14ac:dyDescent="0.3">
      <c r="G4236" s="26"/>
      <c r="H4236" s="26"/>
      <c r="I4236" s="26"/>
    </row>
    <row r="4237" spans="7:9" x14ac:dyDescent="0.3">
      <c r="G4237" s="26"/>
      <c r="H4237" s="26"/>
      <c r="I4237" s="26"/>
    </row>
    <row r="4238" spans="7:9" x14ac:dyDescent="0.3">
      <c r="G4238" s="26"/>
      <c r="H4238" s="26"/>
      <c r="I4238" s="26"/>
    </row>
    <row r="4239" spans="7:9" x14ac:dyDescent="0.3">
      <c r="G4239" s="26"/>
      <c r="H4239" s="26"/>
      <c r="I4239" s="26"/>
    </row>
    <row r="4240" spans="7:9" x14ac:dyDescent="0.3">
      <c r="G4240" s="26"/>
      <c r="H4240" s="26"/>
      <c r="I4240" s="26"/>
    </row>
    <row r="4241" spans="7:9" x14ac:dyDescent="0.3">
      <c r="G4241" s="26"/>
      <c r="H4241" s="26"/>
      <c r="I4241" s="26"/>
    </row>
    <row r="4242" spans="7:9" x14ac:dyDescent="0.3">
      <c r="G4242" s="26"/>
      <c r="H4242" s="26"/>
      <c r="I4242" s="26"/>
    </row>
    <row r="4243" spans="7:9" x14ac:dyDescent="0.3">
      <c r="G4243" s="26"/>
      <c r="H4243" s="26"/>
      <c r="I4243" s="26"/>
    </row>
    <row r="4244" spans="7:9" x14ac:dyDescent="0.3">
      <c r="G4244" s="26"/>
      <c r="H4244" s="26"/>
      <c r="I4244" s="26"/>
    </row>
    <row r="4245" spans="7:9" x14ac:dyDescent="0.3">
      <c r="G4245" s="26"/>
      <c r="H4245" s="26"/>
      <c r="I4245" s="26"/>
    </row>
    <row r="4246" spans="7:9" x14ac:dyDescent="0.3">
      <c r="G4246" s="26"/>
      <c r="H4246" s="26"/>
      <c r="I4246" s="26"/>
    </row>
    <row r="4247" spans="7:9" x14ac:dyDescent="0.3">
      <c r="G4247" s="26"/>
      <c r="H4247" s="26"/>
      <c r="I4247" s="26"/>
    </row>
    <row r="4248" spans="7:9" x14ac:dyDescent="0.3">
      <c r="G4248" s="26"/>
      <c r="H4248" s="26"/>
      <c r="I4248" s="26"/>
    </row>
    <row r="4249" spans="7:9" x14ac:dyDescent="0.3">
      <c r="G4249" s="26"/>
      <c r="H4249" s="26"/>
      <c r="I4249" s="26"/>
    </row>
    <row r="4250" spans="7:9" x14ac:dyDescent="0.3">
      <c r="G4250" s="26"/>
      <c r="H4250" s="26"/>
      <c r="I4250" s="26"/>
    </row>
    <row r="4251" spans="7:9" x14ac:dyDescent="0.3">
      <c r="G4251" s="26"/>
      <c r="H4251" s="26"/>
      <c r="I4251" s="26"/>
    </row>
    <row r="4252" spans="7:9" x14ac:dyDescent="0.3">
      <c r="G4252" s="26"/>
      <c r="H4252" s="26"/>
      <c r="I4252" s="26"/>
    </row>
    <row r="4253" spans="7:9" x14ac:dyDescent="0.3">
      <c r="G4253" s="26"/>
      <c r="H4253" s="26"/>
      <c r="I4253" s="26"/>
    </row>
    <row r="4254" spans="7:9" x14ac:dyDescent="0.3">
      <c r="G4254" s="26"/>
      <c r="H4254" s="26"/>
      <c r="I4254" s="26"/>
    </row>
    <row r="4255" spans="7:9" x14ac:dyDescent="0.3">
      <c r="G4255" s="26"/>
      <c r="H4255" s="26"/>
      <c r="I4255" s="26"/>
    </row>
    <row r="4256" spans="7:9" x14ac:dyDescent="0.3">
      <c r="G4256" s="26"/>
      <c r="H4256" s="26"/>
      <c r="I4256" s="26"/>
    </row>
    <row r="4257" spans="7:9" x14ac:dyDescent="0.3">
      <c r="G4257" s="26"/>
      <c r="H4257" s="26"/>
      <c r="I4257" s="26"/>
    </row>
    <row r="4258" spans="7:9" x14ac:dyDescent="0.3">
      <c r="G4258" s="26"/>
      <c r="H4258" s="26"/>
      <c r="I4258" s="26"/>
    </row>
    <row r="4259" spans="7:9" x14ac:dyDescent="0.3">
      <c r="G4259" s="26"/>
      <c r="H4259" s="26"/>
      <c r="I4259" s="26"/>
    </row>
    <row r="4260" spans="7:9" x14ac:dyDescent="0.3">
      <c r="G4260" s="26"/>
      <c r="H4260" s="26"/>
      <c r="I4260" s="26"/>
    </row>
    <row r="4261" spans="7:9" x14ac:dyDescent="0.3">
      <c r="G4261" s="26"/>
      <c r="H4261" s="26"/>
      <c r="I4261" s="26"/>
    </row>
    <row r="4262" spans="7:9" x14ac:dyDescent="0.3">
      <c r="G4262" s="26"/>
      <c r="H4262" s="26"/>
      <c r="I4262" s="26"/>
    </row>
    <row r="4263" spans="7:9" x14ac:dyDescent="0.3">
      <c r="G4263" s="26"/>
      <c r="H4263" s="26"/>
      <c r="I4263" s="26"/>
    </row>
    <row r="4264" spans="7:9" x14ac:dyDescent="0.3">
      <c r="G4264" s="26"/>
      <c r="H4264" s="26"/>
      <c r="I4264" s="26"/>
    </row>
    <row r="4265" spans="7:9" x14ac:dyDescent="0.3">
      <c r="G4265" s="26"/>
      <c r="H4265" s="26"/>
      <c r="I4265" s="26"/>
    </row>
    <row r="4266" spans="7:9" x14ac:dyDescent="0.3">
      <c r="G4266" s="26"/>
      <c r="H4266" s="26"/>
      <c r="I4266" s="26"/>
    </row>
    <row r="4267" spans="7:9" x14ac:dyDescent="0.3">
      <c r="G4267" s="26"/>
      <c r="H4267" s="26"/>
      <c r="I4267" s="26"/>
    </row>
    <row r="4268" spans="7:9" x14ac:dyDescent="0.3">
      <c r="G4268" s="26"/>
      <c r="H4268" s="26"/>
      <c r="I4268" s="26"/>
    </row>
    <row r="4269" spans="7:9" x14ac:dyDescent="0.3">
      <c r="G4269" s="26"/>
      <c r="H4269" s="26"/>
      <c r="I4269" s="26"/>
    </row>
    <row r="4270" spans="7:9" x14ac:dyDescent="0.3">
      <c r="G4270" s="26"/>
      <c r="H4270" s="26"/>
      <c r="I4270" s="26"/>
    </row>
    <row r="4271" spans="7:9" x14ac:dyDescent="0.3">
      <c r="G4271" s="26"/>
      <c r="H4271" s="26"/>
      <c r="I4271" s="26"/>
    </row>
    <row r="4272" spans="7:9" x14ac:dyDescent="0.3">
      <c r="G4272" s="26"/>
      <c r="H4272" s="26"/>
      <c r="I4272" s="26"/>
    </row>
    <row r="4273" spans="7:9" x14ac:dyDescent="0.3">
      <c r="G4273" s="26"/>
      <c r="H4273" s="26"/>
      <c r="I4273" s="26"/>
    </row>
    <row r="4274" spans="7:9" x14ac:dyDescent="0.3">
      <c r="G4274" s="26"/>
      <c r="H4274" s="26"/>
      <c r="I4274" s="26"/>
    </row>
    <row r="4275" spans="7:9" x14ac:dyDescent="0.3">
      <c r="G4275" s="26"/>
      <c r="H4275" s="26"/>
      <c r="I4275" s="26"/>
    </row>
    <row r="4276" spans="7:9" x14ac:dyDescent="0.3">
      <c r="G4276" s="26"/>
      <c r="H4276" s="26"/>
      <c r="I4276" s="26"/>
    </row>
    <row r="4277" spans="7:9" x14ac:dyDescent="0.3">
      <c r="G4277" s="26"/>
      <c r="H4277" s="26"/>
      <c r="I4277" s="26"/>
    </row>
    <row r="4278" spans="7:9" x14ac:dyDescent="0.3">
      <c r="G4278" s="26"/>
      <c r="H4278" s="26"/>
      <c r="I4278" s="26"/>
    </row>
    <row r="4279" spans="7:9" x14ac:dyDescent="0.3">
      <c r="G4279" s="26"/>
      <c r="H4279" s="26"/>
      <c r="I4279" s="26"/>
    </row>
    <row r="4280" spans="7:9" x14ac:dyDescent="0.3">
      <c r="G4280" s="26"/>
      <c r="H4280" s="26"/>
      <c r="I4280" s="26"/>
    </row>
    <row r="4281" spans="7:9" x14ac:dyDescent="0.3">
      <c r="G4281" s="26"/>
      <c r="H4281" s="26"/>
      <c r="I4281" s="26"/>
    </row>
    <row r="4282" spans="7:9" x14ac:dyDescent="0.3">
      <c r="G4282" s="26"/>
      <c r="H4282" s="26"/>
      <c r="I4282" s="26"/>
    </row>
    <row r="4283" spans="7:9" x14ac:dyDescent="0.3">
      <c r="G4283" s="26"/>
      <c r="H4283" s="26"/>
      <c r="I4283" s="26"/>
    </row>
    <row r="4284" spans="7:9" x14ac:dyDescent="0.3">
      <c r="G4284" s="26"/>
      <c r="H4284" s="26"/>
      <c r="I4284" s="26"/>
    </row>
    <row r="4285" spans="7:9" x14ac:dyDescent="0.3">
      <c r="G4285" s="26"/>
      <c r="H4285" s="26"/>
      <c r="I4285" s="26"/>
    </row>
    <row r="4286" spans="7:9" x14ac:dyDescent="0.3">
      <c r="G4286" s="26"/>
      <c r="H4286" s="26"/>
      <c r="I4286" s="26"/>
    </row>
    <row r="4287" spans="7:9" x14ac:dyDescent="0.3">
      <c r="G4287" s="26"/>
      <c r="H4287" s="26"/>
      <c r="I4287" s="26"/>
    </row>
    <row r="4288" spans="7:9" x14ac:dyDescent="0.3">
      <c r="G4288" s="26"/>
      <c r="H4288" s="26"/>
      <c r="I4288" s="26"/>
    </row>
    <row r="4289" spans="7:9" x14ac:dyDescent="0.3">
      <c r="G4289" s="26"/>
      <c r="H4289" s="26"/>
      <c r="I4289" s="26"/>
    </row>
    <row r="4290" spans="7:9" x14ac:dyDescent="0.3">
      <c r="G4290" s="26"/>
      <c r="H4290" s="26"/>
      <c r="I4290" s="26"/>
    </row>
    <row r="4291" spans="7:9" x14ac:dyDescent="0.3">
      <c r="G4291" s="26"/>
      <c r="H4291" s="26"/>
      <c r="I4291" s="26"/>
    </row>
    <row r="4292" spans="7:9" x14ac:dyDescent="0.3">
      <c r="G4292" s="26"/>
      <c r="H4292" s="26"/>
      <c r="I4292" s="26"/>
    </row>
    <row r="4293" spans="7:9" x14ac:dyDescent="0.3">
      <c r="G4293" s="26"/>
      <c r="H4293" s="26"/>
      <c r="I4293" s="26"/>
    </row>
    <row r="4294" spans="7:9" x14ac:dyDescent="0.3">
      <c r="G4294" s="26"/>
      <c r="H4294" s="26"/>
      <c r="I4294" s="26"/>
    </row>
    <row r="4295" spans="7:9" x14ac:dyDescent="0.3">
      <c r="G4295" s="26"/>
      <c r="H4295" s="26"/>
      <c r="I4295" s="26"/>
    </row>
    <row r="4296" spans="7:9" x14ac:dyDescent="0.3">
      <c r="G4296" s="26"/>
      <c r="H4296" s="26"/>
      <c r="I4296" s="26"/>
    </row>
    <row r="4297" spans="7:9" x14ac:dyDescent="0.3">
      <c r="G4297" s="26"/>
      <c r="H4297" s="26"/>
      <c r="I4297" s="26"/>
    </row>
    <row r="4298" spans="7:9" x14ac:dyDescent="0.3">
      <c r="G4298" s="26"/>
      <c r="H4298" s="26"/>
      <c r="I4298" s="26"/>
    </row>
    <row r="4299" spans="7:9" x14ac:dyDescent="0.3">
      <c r="G4299" s="26"/>
      <c r="H4299" s="26"/>
      <c r="I4299" s="26"/>
    </row>
    <row r="4300" spans="7:9" x14ac:dyDescent="0.3">
      <c r="G4300" s="26"/>
      <c r="H4300" s="26"/>
      <c r="I4300" s="26"/>
    </row>
    <row r="4301" spans="7:9" x14ac:dyDescent="0.3">
      <c r="G4301" s="26"/>
      <c r="H4301" s="26"/>
      <c r="I4301" s="26"/>
    </row>
    <row r="4302" spans="7:9" x14ac:dyDescent="0.3">
      <c r="G4302" s="26"/>
      <c r="H4302" s="26"/>
      <c r="I4302" s="26"/>
    </row>
    <row r="4303" spans="7:9" x14ac:dyDescent="0.3">
      <c r="G4303" s="26"/>
      <c r="H4303" s="26"/>
      <c r="I4303" s="26"/>
    </row>
    <row r="4304" spans="7:9" x14ac:dyDescent="0.3">
      <c r="G4304" s="26"/>
      <c r="H4304" s="26"/>
      <c r="I4304" s="26"/>
    </row>
    <row r="4305" spans="7:9" x14ac:dyDescent="0.3">
      <c r="G4305" s="26"/>
      <c r="H4305" s="26"/>
      <c r="I4305" s="26"/>
    </row>
    <row r="4306" spans="7:9" x14ac:dyDescent="0.3">
      <c r="G4306" s="26"/>
      <c r="H4306" s="26"/>
      <c r="I4306" s="26"/>
    </row>
    <row r="4307" spans="7:9" x14ac:dyDescent="0.3">
      <c r="G4307" s="26"/>
      <c r="H4307" s="26"/>
      <c r="I4307" s="26"/>
    </row>
    <row r="4308" spans="7:9" x14ac:dyDescent="0.3">
      <c r="G4308" s="26"/>
      <c r="H4308" s="26"/>
      <c r="I4308" s="26"/>
    </row>
    <row r="4309" spans="7:9" x14ac:dyDescent="0.3">
      <c r="G4309" s="26"/>
      <c r="H4309" s="26"/>
      <c r="I4309" s="26"/>
    </row>
    <row r="4310" spans="7:9" x14ac:dyDescent="0.3">
      <c r="G4310" s="26"/>
      <c r="H4310" s="26"/>
      <c r="I4310" s="26"/>
    </row>
    <row r="4311" spans="7:9" x14ac:dyDescent="0.3">
      <c r="G4311" s="26"/>
      <c r="H4311" s="26"/>
      <c r="I4311" s="26"/>
    </row>
    <row r="4312" spans="7:9" x14ac:dyDescent="0.3">
      <c r="G4312" s="26"/>
      <c r="H4312" s="26"/>
      <c r="I4312" s="26"/>
    </row>
    <row r="4313" spans="7:9" x14ac:dyDescent="0.3">
      <c r="G4313" s="26"/>
      <c r="H4313" s="26"/>
      <c r="I4313" s="26"/>
    </row>
    <row r="4314" spans="7:9" x14ac:dyDescent="0.3">
      <c r="G4314" s="26"/>
      <c r="H4314" s="26"/>
      <c r="I4314" s="26"/>
    </row>
    <row r="4315" spans="7:9" x14ac:dyDescent="0.3">
      <c r="G4315" s="26"/>
      <c r="H4315" s="26"/>
      <c r="I4315" s="26"/>
    </row>
    <row r="4316" spans="7:9" x14ac:dyDescent="0.3">
      <c r="G4316" s="26"/>
      <c r="H4316" s="26"/>
      <c r="I4316" s="26"/>
    </row>
    <row r="4317" spans="7:9" x14ac:dyDescent="0.3">
      <c r="G4317" s="26"/>
      <c r="H4317" s="26"/>
      <c r="I4317" s="26"/>
    </row>
    <row r="4318" spans="7:9" x14ac:dyDescent="0.3">
      <c r="G4318" s="26"/>
      <c r="H4318" s="26"/>
      <c r="I4318" s="26"/>
    </row>
    <row r="4319" spans="7:9" x14ac:dyDescent="0.3">
      <c r="G4319" s="26"/>
      <c r="H4319" s="26"/>
      <c r="I4319" s="26"/>
    </row>
    <row r="4320" spans="7:9" x14ac:dyDescent="0.3">
      <c r="G4320" s="26"/>
      <c r="H4320" s="26"/>
      <c r="I4320" s="26"/>
    </row>
    <row r="4321" spans="7:9" x14ac:dyDescent="0.3">
      <c r="G4321" s="26"/>
      <c r="H4321" s="26"/>
      <c r="I4321" s="26"/>
    </row>
    <row r="4322" spans="7:9" x14ac:dyDescent="0.3">
      <c r="G4322" s="26"/>
      <c r="H4322" s="26"/>
      <c r="I4322" s="26"/>
    </row>
    <row r="4323" spans="7:9" x14ac:dyDescent="0.3">
      <c r="G4323" s="26"/>
      <c r="H4323" s="26"/>
      <c r="I4323" s="26"/>
    </row>
    <row r="4324" spans="7:9" x14ac:dyDescent="0.3">
      <c r="G4324" s="26"/>
      <c r="H4324" s="26"/>
      <c r="I4324" s="26"/>
    </row>
    <row r="4325" spans="7:9" x14ac:dyDescent="0.3">
      <c r="G4325" s="26"/>
      <c r="H4325" s="26"/>
      <c r="I4325" s="26"/>
    </row>
    <row r="4326" spans="7:9" x14ac:dyDescent="0.3">
      <c r="G4326" s="26"/>
      <c r="H4326" s="26"/>
      <c r="I4326" s="26"/>
    </row>
    <row r="4327" spans="7:9" x14ac:dyDescent="0.3">
      <c r="G4327" s="26"/>
      <c r="H4327" s="26"/>
      <c r="I4327" s="26"/>
    </row>
    <row r="4328" spans="7:9" x14ac:dyDescent="0.3">
      <c r="G4328" s="26"/>
      <c r="H4328" s="26"/>
      <c r="I4328" s="26"/>
    </row>
    <row r="4329" spans="7:9" x14ac:dyDescent="0.3">
      <c r="G4329" s="26"/>
      <c r="H4329" s="26"/>
      <c r="I4329" s="26"/>
    </row>
    <row r="4330" spans="7:9" x14ac:dyDescent="0.3">
      <c r="G4330" s="26"/>
      <c r="H4330" s="26"/>
      <c r="I4330" s="26"/>
    </row>
    <row r="4331" spans="7:9" x14ac:dyDescent="0.3">
      <c r="G4331" s="26"/>
      <c r="H4331" s="26"/>
      <c r="I4331" s="26"/>
    </row>
    <row r="4332" spans="7:9" x14ac:dyDescent="0.3">
      <c r="G4332" s="26"/>
      <c r="H4332" s="26"/>
      <c r="I4332" s="26"/>
    </row>
    <row r="4333" spans="7:9" x14ac:dyDescent="0.3">
      <c r="G4333" s="26"/>
      <c r="H4333" s="26"/>
      <c r="I4333" s="26"/>
    </row>
    <row r="4334" spans="7:9" x14ac:dyDescent="0.3">
      <c r="G4334" s="26"/>
      <c r="H4334" s="26"/>
      <c r="I4334" s="26"/>
    </row>
    <row r="4335" spans="7:9" x14ac:dyDescent="0.3">
      <c r="G4335" s="26"/>
      <c r="H4335" s="26"/>
      <c r="I4335" s="26"/>
    </row>
    <row r="4336" spans="7:9" x14ac:dyDescent="0.3">
      <c r="G4336" s="26"/>
      <c r="H4336" s="26"/>
      <c r="I4336" s="26"/>
    </row>
    <row r="4337" spans="7:9" x14ac:dyDescent="0.3">
      <c r="G4337" s="26"/>
      <c r="H4337" s="26"/>
      <c r="I4337" s="26"/>
    </row>
    <row r="4338" spans="7:9" x14ac:dyDescent="0.3">
      <c r="G4338" s="26"/>
      <c r="H4338" s="26"/>
      <c r="I4338" s="26"/>
    </row>
    <row r="4339" spans="7:9" x14ac:dyDescent="0.3">
      <c r="G4339" s="26"/>
      <c r="H4339" s="26"/>
      <c r="I4339" s="26"/>
    </row>
    <row r="4340" spans="7:9" x14ac:dyDescent="0.3">
      <c r="G4340" s="26"/>
      <c r="H4340" s="26"/>
      <c r="I4340" s="26"/>
    </row>
    <row r="4341" spans="7:9" x14ac:dyDescent="0.3">
      <c r="G4341" s="26"/>
      <c r="H4341" s="26"/>
      <c r="I4341" s="26"/>
    </row>
    <row r="4342" spans="7:9" x14ac:dyDescent="0.3">
      <c r="G4342" s="26"/>
      <c r="H4342" s="26"/>
      <c r="I4342" s="26"/>
    </row>
    <row r="4343" spans="7:9" x14ac:dyDescent="0.3">
      <c r="G4343" s="26"/>
      <c r="H4343" s="26"/>
      <c r="I4343" s="26"/>
    </row>
    <row r="4344" spans="7:9" x14ac:dyDescent="0.3">
      <c r="G4344" s="26"/>
      <c r="H4344" s="26"/>
      <c r="I4344" s="26"/>
    </row>
    <row r="4345" spans="7:9" x14ac:dyDescent="0.3">
      <c r="G4345" s="26"/>
      <c r="H4345" s="26"/>
      <c r="I4345" s="26"/>
    </row>
    <row r="4346" spans="7:9" x14ac:dyDescent="0.3">
      <c r="G4346" s="26"/>
      <c r="H4346" s="26"/>
      <c r="I4346" s="26"/>
    </row>
    <row r="4347" spans="7:9" x14ac:dyDescent="0.3">
      <c r="G4347" s="26"/>
      <c r="H4347" s="26"/>
      <c r="I4347" s="26"/>
    </row>
    <row r="4348" spans="7:9" x14ac:dyDescent="0.3">
      <c r="G4348" s="26"/>
      <c r="H4348" s="26"/>
      <c r="I4348" s="26"/>
    </row>
    <row r="4349" spans="7:9" x14ac:dyDescent="0.3">
      <c r="G4349" s="26"/>
      <c r="H4349" s="26"/>
      <c r="I4349" s="26"/>
    </row>
    <row r="4350" spans="7:9" x14ac:dyDescent="0.3">
      <c r="G4350" s="26"/>
      <c r="H4350" s="26"/>
      <c r="I4350" s="26"/>
    </row>
    <row r="4351" spans="7:9" x14ac:dyDescent="0.3">
      <c r="G4351" s="26"/>
      <c r="H4351" s="26"/>
      <c r="I4351" s="26"/>
    </row>
    <row r="4352" spans="7:9" x14ac:dyDescent="0.3">
      <c r="G4352" s="26"/>
      <c r="H4352" s="26"/>
      <c r="I4352" s="26"/>
    </row>
    <row r="4353" spans="7:9" x14ac:dyDescent="0.3">
      <c r="G4353" s="26"/>
      <c r="H4353" s="26"/>
      <c r="I4353" s="26"/>
    </row>
    <row r="4354" spans="7:9" x14ac:dyDescent="0.3">
      <c r="G4354" s="26"/>
      <c r="H4354" s="26"/>
      <c r="I4354" s="26"/>
    </row>
    <row r="4355" spans="7:9" x14ac:dyDescent="0.3">
      <c r="G4355" s="26"/>
      <c r="H4355" s="26"/>
      <c r="I4355" s="26"/>
    </row>
    <row r="4356" spans="7:9" x14ac:dyDescent="0.3">
      <c r="G4356" s="26"/>
      <c r="H4356" s="26"/>
      <c r="I4356" s="26"/>
    </row>
    <row r="4357" spans="7:9" x14ac:dyDescent="0.3">
      <c r="G4357" s="26"/>
      <c r="H4357" s="26"/>
      <c r="I4357" s="26"/>
    </row>
    <row r="4358" spans="7:9" x14ac:dyDescent="0.3">
      <c r="G4358" s="26"/>
      <c r="H4358" s="26"/>
      <c r="I4358" s="26"/>
    </row>
    <row r="4359" spans="7:9" x14ac:dyDescent="0.3">
      <c r="G4359" s="26"/>
      <c r="H4359" s="26"/>
      <c r="I4359" s="26"/>
    </row>
    <row r="4360" spans="7:9" x14ac:dyDescent="0.3">
      <c r="G4360" s="26"/>
      <c r="H4360" s="26"/>
      <c r="I4360" s="26"/>
    </row>
    <row r="4361" spans="7:9" x14ac:dyDescent="0.3">
      <c r="G4361" s="26"/>
      <c r="H4361" s="26"/>
      <c r="I4361" s="26"/>
    </row>
    <row r="4362" spans="7:9" x14ac:dyDescent="0.3">
      <c r="G4362" s="26"/>
      <c r="H4362" s="26"/>
      <c r="I4362" s="26"/>
    </row>
    <row r="4363" spans="7:9" x14ac:dyDescent="0.3">
      <c r="G4363" s="26"/>
      <c r="H4363" s="26"/>
      <c r="I4363" s="26"/>
    </row>
    <row r="4364" spans="7:9" x14ac:dyDescent="0.3">
      <c r="G4364" s="26"/>
      <c r="H4364" s="26"/>
      <c r="I4364" s="26"/>
    </row>
    <row r="4365" spans="7:9" x14ac:dyDescent="0.3">
      <c r="G4365" s="26"/>
      <c r="H4365" s="26"/>
      <c r="I4365" s="26"/>
    </row>
    <row r="4366" spans="7:9" x14ac:dyDescent="0.3">
      <c r="G4366" s="26"/>
      <c r="H4366" s="26"/>
      <c r="I4366" s="26"/>
    </row>
    <row r="4367" spans="7:9" x14ac:dyDescent="0.3">
      <c r="G4367" s="26"/>
      <c r="H4367" s="26"/>
      <c r="I4367" s="26"/>
    </row>
    <row r="4368" spans="7:9" x14ac:dyDescent="0.3">
      <c r="G4368" s="26"/>
      <c r="H4368" s="26"/>
      <c r="I4368" s="26"/>
    </row>
    <row r="4369" spans="7:9" x14ac:dyDescent="0.3">
      <c r="G4369" s="26"/>
      <c r="H4369" s="26"/>
      <c r="I4369" s="26"/>
    </row>
    <row r="4370" spans="7:9" x14ac:dyDescent="0.3">
      <c r="G4370" s="26"/>
      <c r="H4370" s="26"/>
      <c r="I4370" s="26"/>
    </row>
    <row r="4371" spans="7:9" x14ac:dyDescent="0.3">
      <c r="G4371" s="26"/>
      <c r="H4371" s="26"/>
      <c r="I4371" s="26"/>
    </row>
    <row r="4372" spans="7:9" x14ac:dyDescent="0.3">
      <c r="G4372" s="26"/>
      <c r="H4372" s="26"/>
      <c r="I4372" s="26"/>
    </row>
    <row r="4373" spans="7:9" x14ac:dyDescent="0.3">
      <c r="G4373" s="26"/>
      <c r="H4373" s="26"/>
      <c r="I4373" s="26"/>
    </row>
    <row r="4374" spans="7:9" x14ac:dyDescent="0.3">
      <c r="G4374" s="26"/>
      <c r="H4374" s="26"/>
      <c r="I4374" s="26"/>
    </row>
    <row r="4375" spans="7:9" x14ac:dyDescent="0.3">
      <c r="G4375" s="26"/>
      <c r="H4375" s="26"/>
      <c r="I4375" s="26"/>
    </row>
    <row r="4376" spans="7:9" x14ac:dyDescent="0.3">
      <c r="G4376" s="26"/>
      <c r="H4376" s="26"/>
      <c r="I4376" s="26"/>
    </row>
    <row r="4377" spans="7:9" x14ac:dyDescent="0.3">
      <c r="G4377" s="26"/>
      <c r="H4377" s="26"/>
      <c r="I4377" s="26"/>
    </row>
    <row r="4378" spans="7:9" x14ac:dyDescent="0.3">
      <c r="G4378" s="26"/>
      <c r="H4378" s="26"/>
      <c r="I4378" s="26"/>
    </row>
    <row r="4379" spans="7:9" x14ac:dyDescent="0.3">
      <c r="G4379" s="26"/>
      <c r="H4379" s="26"/>
      <c r="I4379" s="26"/>
    </row>
    <row r="4380" spans="7:9" x14ac:dyDescent="0.3">
      <c r="G4380" s="26"/>
      <c r="H4380" s="26"/>
      <c r="I4380" s="26"/>
    </row>
    <row r="4381" spans="7:9" x14ac:dyDescent="0.3">
      <c r="G4381" s="26"/>
      <c r="H4381" s="26"/>
      <c r="I4381" s="26"/>
    </row>
    <row r="4382" spans="7:9" x14ac:dyDescent="0.3">
      <c r="G4382" s="26"/>
      <c r="H4382" s="26"/>
      <c r="I4382" s="26"/>
    </row>
    <row r="4383" spans="7:9" x14ac:dyDescent="0.3">
      <c r="G4383" s="26"/>
      <c r="H4383" s="26"/>
      <c r="I4383" s="26"/>
    </row>
    <row r="4384" spans="7:9" x14ac:dyDescent="0.3">
      <c r="G4384" s="26"/>
      <c r="H4384" s="26"/>
      <c r="I4384" s="26"/>
    </row>
    <row r="4385" spans="7:9" x14ac:dyDescent="0.3">
      <c r="G4385" s="26"/>
      <c r="H4385" s="26"/>
      <c r="I4385" s="26"/>
    </row>
    <row r="4386" spans="7:9" x14ac:dyDescent="0.3">
      <c r="G4386" s="26"/>
      <c r="H4386" s="26"/>
      <c r="I4386" s="26"/>
    </row>
    <row r="4387" spans="7:9" x14ac:dyDescent="0.3">
      <c r="G4387" s="26"/>
      <c r="H4387" s="26"/>
      <c r="I4387" s="26"/>
    </row>
    <row r="4388" spans="7:9" x14ac:dyDescent="0.3">
      <c r="G4388" s="26"/>
      <c r="H4388" s="26"/>
      <c r="I4388" s="26"/>
    </row>
    <row r="4389" spans="7:9" x14ac:dyDescent="0.3">
      <c r="G4389" s="26"/>
      <c r="H4389" s="26"/>
      <c r="I4389" s="26"/>
    </row>
    <row r="4390" spans="7:9" x14ac:dyDescent="0.3">
      <c r="G4390" s="26"/>
      <c r="H4390" s="26"/>
      <c r="I4390" s="26"/>
    </row>
    <row r="4391" spans="7:9" x14ac:dyDescent="0.3">
      <c r="G4391" s="26"/>
      <c r="H4391" s="26"/>
      <c r="I4391" s="26"/>
    </row>
    <row r="4392" spans="7:9" x14ac:dyDescent="0.3">
      <c r="G4392" s="26"/>
      <c r="H4392" s="26"/>
      <c r="I4392" s="26"/>
    </row>
    <row r="4393" spans="7:9" x14ac:dyDescent="0.3">
      <c r="G4393" s="26"/>
      <c r="H4393" s="26"/>
      <c r="I4393" s="26"/>
    </row>
    <row r="4394" spans="7:9" x14ac:dyDescent="0.3">
      <c r="G4394" s="26"/>
      <c r="H4394" s="26"/>
      <c r="I4394" s="26"/>
    </row>
    <row r="4395" spans="7:9" x14ac:dyDescent="0.3">
      <c r="G4395" s="26"/>
      <c r="H4395" s="26"/>
      <c r="I4395" s="26"/>
    </row>
    <row r="4396" spans="7:9" x14ac:dyDescent="0.3">
      <c r="G4396" s="26"/>
      <c r="H4396" s="26"/>
      <c r="I4396" s="26"/>
    </row>
    <row r="4397" spans="7:9" x14ac:dyDescent="0.3">
      <c r="G4397" s="26"/>
      <c r="H4397" s="26"/>
      <c r="I4397" s="26"/>
    </row>
    <row r="4398" spans="7:9" x14ac:dyDescent="0.3">
      <c r="G4398" s="26"/>
      <c r="H4398" s="26"/>
      <c r="I4398" s="26"/>
    </row>
    <row r="4399" spans="7:9" x14ac:dyDescent="0.3">
      <c r="G4399" s="26"/>
      <c r="H4399" s="26"/>
      <c r="I4399" s="26"/>
    </row>
    <row r="4400" spans="7:9" x14ac:dyDescent="0.3">
      <c r="G4400" s="26"/>
      <c r="H4400" s="26"/>
      <c r="I4400" s="26"/>
    </row>
    <row r="4401" spans="7:9" x14ac:dyDescent="0.3">
      <c r="G4401" s="26"/>
      <c r="H4401" s="26"/>
      <c r="I4401" s="26"/>
    </row>
    <row r="4402" spans="7:9" x14ac:dyDescent="0.3">
      <c r="G4402" s="26"/>
      <c r="H4402" s="26"/>
      <c r="I4402" s="26"/>
    </row>
    <row r="4403" spans="7:9" x14ac:dyDescent="0.3">
      <c r="G4403" s="26"/>
      <c r="H4403" s="26"/>
      <c r="I4403" s="26"/>
    </row>
    <row r="4404" spans="7:9" x14ac:dyDescent="0.3">
      <c r="G4404" s="26"/>
      <c r="H4404" s="26"/>
      <c r="I4404" s="26"/>
    </row>
    <row r="4405" spans="7:9" x14ac:dyDescent="0.3">
      <c r="G4405" s="26"/>
      <c r="H4405" s="26"/>
      <c r="I4405" s="26"/>
    </row>
    <row r="4406" spans="7:9" x14ac:dyDescent="0.3">
      <c r="G4406" s="26"/>
      <c r="H4406" s="26"/>
      <c r="I4406" s="26"/>
    </row>
    <row r="4407" spans="7:9" x14ac:dyDescent="0.3">
      <c r="G4407" s="26"/>
      <c r="H4407" s="26"/>
      <c r="I4407" s="26"/>
    </row>
    <row r="4408" spans="7:9" x14ac:dyDescent="0.3">
      <c r="G4408" s="26"/>
      <c r="H4408" s="26"/>
      <c r="I4408" s="26"/>
    </row>
    <row r="4409" spans="7:9" x14ac:dyDescent="0.3">
      <c r="G4409" s="26"/>
      <c r="H4409" s="26"/>
      <c r="I4409" s="26"/>
    </row>
    <row r="4410" spans="7:9" x14ac:dyDescent="0.3">
      <c r="G4410" s="26"/>
      <c r="H4410" s="26"/>
      <c r="I4410" s="26"/>
    </row>
    <row r="4411" spans="7:9" x14ac:dyDescent="0.3">
      <c r="G4411" s="26"/>
      <c r="H4411" s="26"/>
      <c r="I4411" s="26"/>
    </row>
    <row r="4412" spans="7:9" x14ac:dyDescent="0.3">
      <c r="G4412" s="26"/>
      <c r="H4412" s="26"/>
      <c r="I4412" s="26"/>
    </row>
    <row r="4413" spans="7:9" x14ac:dyDescent="0.3">
      <c r="G4413" s="26"/>
      <c r="H4413" s="26"/>
      <c r="I4413" s="26"/>
    </row>
    <row r="4414" spans="7:9" x14ac:dyDescent="0.3">
      <c r="G4414" s="26"/>
      <c r="H4414" s="26"/>
      <c r="I4414" s="26"/>
    </row>
    <row r="4415" spans="7:9" x14ac:dyDescent="0.3">
      <c r="G4415" s="26"/>
      <c r="H4415" s="26"/>
      <c r="I4415" s="26"/>
    </row>
    <row r="4416" spans="7:9" x14ac:dyDescent="0.3">
      <c r="G4416" s="26"/>
      <c r="H4416" s="26"/>
      <c r="I4416" s="26"/>
    </row>
    <row r="4417" spans="7:9" x14ac:dyDescent="0.3">
      <c r="G4417" s="26"/>
      <c r="H4417" s="26"/>
      <c r="I4417" s="26"/>
    </row>
    <row r="4418" spans="7:9" x14ac:dyDescent="0.3">
      <c r="G4418" s="26"/>
      <c r="H4418" s="26"/>
      <c r="I4418" s="26"/>
    </row>
    <row r="4419" spans="7:9" x14ac:dyDescent="0.3">
      <c r="G4419" s="26"/>
      <c r="H4419" s="26"/>
      <c r="I4419" s="26"/>
    </row>
    <row r="4420" spans="7:9" x14ac:dyDescent="0.3">
      <c r="G4420" s="26"/>
      <c r="H4420" s="26"/>
      <c r="I4420" s="26"/>
    </row>
    <row r="4421" spans="7:9" x14ac:dyDescent="0.3">
      <c r="G4421" s="26"/>
      <c r="H4421" s="26"/>
      <c r="I4421" s="26"/>
    </row>
    <row r="4422" spans="7:9" x14ac:dyDescent="0.3">
      <c r="G4422" s="26"/>
      <c r="H4422" s="26"/>
      <c r="I4422" s="26"/>
    </row>
    <row r="4423" spans="7:9" x14ac:dyDescent="0.3">
      <c r="G4423" s="26"/>
      <c r="H4423" s="26"/>
      <c r="I4423" s="26"/>
    </row>
    <row r="4424" spans="7:9" x14ac:dyDescent="0.3">
      <c r="G4424" s="26"/>
      <c r="H4424" s="26"/>
      <c r="I4424" s="26"/>
    </row>
    <row r="4425" spans="7:9" x14ac:dyDescent="0.3">
      <c r="G4425" s="26"/>
      <c r="H4425" s="26"/>
      <c r="I4425" s="26"/>
    </row>
    <row r="4426" spans="7:9" x14ac:dyDescent="0.3">
      <c r="G4426" s="26"/>
      <c r="H4426" s="26"/>
      <c r="I4426" s="26"/>
    </row>
    <row r="4427" spans="7:9" x14ac:dyDescent="0.3">
      <c r="G4427" s="26"/>
      <c r="H4427" s="26"/>
      <c r="I4427" s="26"/>
    </row>
    <row r="4428" spans="7:9" x14ac:dyDescent="0.3">
      <c r="G4428" s="26"/>
      <c r="H4428" s="26"/>
      <c r="I4428" s="26"/>
    </row>
    <row r="4429" spans="7:9" x14ac:dyDescent="0.3">
      <c r="G4429" s="26"/>
      <c r="H4429" s="26"/>
      <c r="I4429" s="26"/>
    </row>
    <row r="4430" spans="7:9" x14ac:dyDescent="0.3">
      <c r="G4430" s="26"/>
      <c r="H4430" s="26"/>
      <c r="I4430" s="26"/>
    </row>
    <row r="4431" spans="7:9" x14ac:dyDescent="0.3">
      <c r="G4431" s="26"/>
      <c r="H4431" s="26"/>
      <c r="I4431" s="26"/>
    </row>
    <row r="4432" spans="7:9" x14ac:dyDescent="0.3">
      <c r="G4432" s="26"/>
      <c r="H4432" s="26"/>
      <c r="I4432" s="26"/>
    </row>
    <row r="4433" spans="7:9" x14ac:dyDescent="0.3">
      <c r="G4433" s="26"/>
      <c r="H4433" s="26"/>
      <c r="I4433" s="26"/>
    </row>
    <row r="4434" spans="7:9" x14ac:dyDescent="0.3">
      <c r="G4434" s="26"/>
      <c r="H4434" s="26"/>
      <c r="I4434" s="26"/>
    </row>
    <row r="4435" spans="7:9" x14ac:dyDescent="0.3">
      <c r="G4435" s="26"/>
      <c r="H4435" s="26"/>
      <c r="I4435" s="26"/>
    </row>
    <row r="4436" spans="7:9" x14ac:dyDescent="0.3">
      <c r="G4436" s="26"/>
      <c r="H4436" s="26"/>
      <c r="I4436" s="26"/>
    </row>
    <row r="4437" spans="7:9" x14ac:dyDescent="0.3">
      <c r="G4437" s="26"/>
      <c r="H4437" s="26"/>
      <c r="I4437" s="26"/>
    </row>
    <row r="4438" spans="7:9" x14ac:dyDescent="0.3">
      <c r="G4438" s="26"/>
      <c r="H4438" s="26"/>
      <c r="I4438" s="26"/>
    </row>
    <row r="4439" spans="7:9" x14ac:dyDescent="0.3">
      <c r="G4439" s="26"/>
      <c r="H4439" s="26"/>
      <c r="I4439" s="26"/>
    </row>
    <row r="4440" spans="7:9" x14ac:dyDescent="0.3">
      <c r="G4440" s="26"/>
      <c r="H4440" s="26"/>
      <c r="I4440" s="26"/>
    </row>
    <row r="4441" spans="7:9" x14ac:dyDescent="0.3">
      <c r="G4441" s="26"/>
      <c r="H4441" s="26"/>
      <c r="I4441" s="26"/>
    </row>
    <row r="4442" spans="7:9" x14ac:dyDescent="0.3">
      <c r="G4442" s="26"/>
      <c r="H4442" s="26"/>
      <c r="I4442" s="26"/>
    </row>
    <row r="4443" spans="7:9" x14ac:dyDescent="0.3">
      <c r="G4443" s="26"/>
      <c r="H4443" s="26"/>
      <c r="I4443" s="26"/>
    </row>
    <row r="4444" spans="7:9" x14ac:dyDescent="0.3">
      <c r="G4444" s="26"/>
      <c r="H4444" s="26"/>
      <c r="I4444" s="26"/>
    </row>
    <row r="4445" spans="7:9" x14ac:dyDescent="0.3">
      <c r="G4445" s="26"/>
      <c r="H4445" s="26"/>
      <c r="I4445" s="26"/>
    </row>
    <row r="4446" spans="7:9" x14ac:dyDescent="0.3">
      <c r="G4446" s="26"/>
      <c r="H4446" s="26"/>
      <c r="I4446" s="26"/>
    </row>
    <row r="4447" spans="7:9" x14ac:dyDescent="0.3">
      <c r="G4447" s="26"/>
      <c r="H4447" s="26"/>
      <c r="I4447" s="26"/>
    </row>
    <row r="4448" spans="7:9" x14ac:dyDescent="0.3">
      <c r="G4448" s="26"/>
      <c r="H4448" s="26"/>
      <c r="I4448" s="26"/>
    </row>
    <row r="4449" spans="7:9" x14ac:dyDescent="0.3">
      <c r="G4449" s="26"/>
      <c r="H4449" s="26"/>
      <c r="I4449" s="26"/>
    </row>
    <row r="4450" spans="7:9" x14ac:dyDescent="0.3">
      <c r="G4450" s="26"/>
      <c r="H4450" s="26"/>
      <c r="I4450" s="26"/>
    </row>
    <row r="4451" spans="7:9" x14ac:dyDescent="0.3">
      <c r="G4451" s="26"/>
      <c r="H4451" s="26"/>
      <c r="I4451" s="26"/>
    </row>
    <row r="4452" spans="7:9" x14ac:dyDescent="0.3">
      <c r="G4452" s="26"/>
      <c r="H4452" s="26"/>
      <c r="I4452" s="26"/>
    </row>
    <row r="4453" spans="7:9" x14ac:dyDescent="0.3">
      <c r="G4453" s="26"/>
      <c r="H4453" s="26"/>
      <c r="I4453" s="26"/>
    </row>
    <row r="4454" spans="7:9" x14ac:dyDescent="0.3">
      <c r="G4454" s="26"/>
      <c r="H4454" s="26"/>
      <c r="I4454" s="26"/>
    </row>
    <row r="4455" spans="7:9" x14ac:dyDescent="0.3">
      <c r="G4455" s="26"/>
      <c r="H4455" s="26"/>
      <c r="I4455" s="26"/>
    </row>
    <row r="4456" spans="7:9" x14ac:dyDescent="0.3">
      <c r="G4456" s="26"/>
      <c r="H4456" s="26"/>
      <c r="I4456" s="26"/>
    </row>
    <row r="4457" spans="7:9" x14ac:dyDescent="0.3">
      <c r="G4457" s="26"/>
      <c r="H4457" s="26"/>
      <c r="I4457" s="26"/>
    </row>
    <row r="4458" spans="7:9" x14ac:dyDescent="0.3">
      <c r="G4458" s="26"/>
      <c r="H4458" s="26"/>
      <c r="I4458" s="26"/>
    </row>
    <row r="4459" spans="7:9" x14ac:dyDescent="0.3">
      <c r="G4459" s="26"/>
      <c r="H4459" s="26"/>
      <c r="I4459" s="26"/>
    </row>
    <row r="4460" spans="7:9" x14ac:dyDescent="0.3">
      <c r="G4460" s="26"/>
      <c r="H4460" s="26"/>
      <c r="I4460" s="26"/>
    </row>
    <row r="4461" spans="7:9" x14ac:dyDescent="0.3">
      <c r="G4461" s="26"/>
      <c r="H4461" s="26"/>
      <c r="I4461" s="26"/>
    </row>
    <row r="4462" spans="7:9" x14ac:dyDescent="0.3">
      <c r="G4462" s="26"/>
      <c r="H4462" s="26"/>
      <c r="I4462" s="26"/>
    </row>
    <row r="4463" spans="7:9" x14ac:dyDescent="0.3">
      <c r="G4463" s="26"/>
      <c r="H4463" s="26"/>
      <c r="I4463" s="26"/>
    </row>
    <row r="4464" spans="7:9" x14ac:dyDescent="0.3">
      <c r="G4464" s="26"/>
      <c r="H4464" s="26"/>
      <c r="I4464" s="26"/>
    </row>
    <row r="4465" spans="7:9" x14ac:dyDescent="0.3">
      <c r="G4465" s="26"/>
      <c r="H4465" s="26"/>
      <c r="I4465" s="26"/>
    </row>
    <row r="4466" spans="7:9" x14ac:dyDescent="0.3">
      <c r="G4466" s="26"/>
      <c r="H4466" s="26"/>
      <c r="I4466" s="26"/>
    </row>
    <row r="4467" spans="7:9" x14ac:dyDescent="0.3">
      <c r="G4467" s="26"/>
      <c r="H4467" s="26"/>
      <c r="I4467" s="26"/>
    </row>
    <row r="4468" spans="7:9" x14ac:dyDescent="0.3">
      <c r="G4468" s="26"/>
      <c r="H4468" s="26"/>
      <c r="I4468" s="26"/>
    </row>
    <row r="4469" spans="7:9" x14ac:dyDescent="0.3">
      <c r="G4469" s="26"/>
      <c r="H4469" s="26"/>
      <c r="I4469" s="26"/>
    </row>
    <row r="4470" spans="7:9" x14ac:dyDescent="0.3">
      <c r="G4470" s="26"/>
      <c r="H4470" s="26"/>
      <c r="I4470" s="26"/>
    </row>
    <row r="4471" spans="7:9" x14ac:dyDescent="0.3">
      <c r="G4471" s="26"/>
      <c r="H4471" s="26"/>
      <c r="I4471" s="26"/>
    </row>
    <row r="4472" spans="7:9" x14ac:dyDescent="0.3">
      <c r="G4472" s="26"/>
      <c r="H4472" s="26"/>
      <c r="I4472" s="26"/>
    </row>
    <row r="4473" spans="7:9" x14ac:dyDescent="0.3">
      <c r="G4473" s="26"/>
      <c r="H4473" s="26"/>
      <c r="I4473" s="26"/>
    </row>
    <row r="4474" spans="7:9" x14ac:dyDescent="0.3">
      <c r="G4474" s="26"/>
      <c r="H4474" s="26"/>
      <c r="I4474" s="26"/>
    </row>
    <row r="4475" spans="7:9" x14ac:dyDescent="0.3">
      <c r="G4475" s="26"/>
      <c r="H4475" s="26"/>
      <c r="I4475" s="26"/>
    </row>
    <row r="4476" spans="7:9" x14ac:dyDescent="0.3">
      <c r="G4476" s="26"/>
      <c r="H4476" s="26"/>
      <c r="I4476" s="26"/>
    </row>
    <row r="4477" spans="7:9" x14ac:dyDescent="0.3">
      <c r="G4477" s="26"/>
      <c r="H4477" s="26"/>
      <c r="I4477" s="26"/>
    </row>
    <row r="4478" spans="7:9" x14ac:dyDescent="0.3">
      <c r="G4478" s="26"/>
      <c r="H4478" s="26"/>
      <c r="I4478" s="26"/>
    </row>
    <row r="4479" spans="7:9" x14ac:dyDescent="0.3">
      <c r="G4479" s="26"/>
      <c r="H4479" s="26"/>
      <c r="I4479" s="26"/>
    </row>
    <row r="4480" spans="7:9" x14ac:dyDescent="0.3">
      <c r="G4480" s="26"/>
      <c r="H4480" s="26"/>
      <c r="I4480" s="26"/>
    </row>
    <row r="4481" spans="7:9" x14ac:dyDescent="0.3">
      <c r="G4481" s="26"/>
      <c r="H4481" s="26"/>
      <c r="I4481" s="26"/>
    </row>
    <row r="4482" spans="7:9" x14ac:dyDescent="0.3">
      <c r="G4482" s="26"/>
      <c r="H4482" s="26"/>
      <c r="I4482" s="26"/>
    </row>
    <row r="4483" spans="7:9" x14ac:dyDescent="0.3">
      <c r="G4483" s="26"/>
      <c r="H4483" s="26"/>
      <c r="I4483" s="26"/>
    </row>
    <row r="4484" spans="7:9" x14ac:dyDescent="0.3">
      <c r="G4484" s="26"/>
      <c r="H4484" s="26"/>
      <c r="I4484" s="26"/>
    </row>
    <row r="4485" spans="7:9" x14ac:dyDescent="0.3">
      <c r="G4485" s="26"/>
      <c r="H4485" s="26"/>
      <c r="I4485" s="26"/>
    </row>
    <row r="4486" spans="7:9" x14ac:dyDescent="0.3">
      <c r="G4486" s="26"/>
      <c r="H4486" s="26"/>
      <c r="I4486" s="26"/>
    </row>
    <row r="4487" spans="7:9" x14ac:dyDescent="0.3">
      <c r="G4487" s="26"/>
      <c r="H4487" s="26"/>
      <c r="I4487" s="26"/>
    </row>
    <row r="4488" spans="7:9" x14ac:dyDescent="0.3">
      <c r="G4488" s="26"/>
      <c r="H4488" s="26"/>
      <c r="I4488" s="26"/>
    </row>
    <row r="4489" spans="7:9" x14ac:dyDescent="0.3">
      <c r="G4489" s="26"/>
      <c r="H4489" s="26"/>
      <c r="I4489" s="26"/>
    </row>
    <row r="4490" spans="7:9" x14ac:dyDescent="0.3">
      <c r="G4490" s="26"/>
      <c r="H4490" s="26"/>
      <c r="I4490" s="26"/>
    </row>
    <row r="4491" spans="7:9" x14ac:dyDescent="0.3">
      <c r="G4491" s="26"/>
      <c r="H4491" s="26"/>
      <c r="I4491" s="26"/>
    </row>
    <row r="4492" spans="7:9" x14ac:dyDescent="0.3">
      <c r="G4492" s="26"/>
      <c r="H4492" s="26"/>
      <c r="I4492" s="26"/>
    </row>
    <row r="4493" spans="7:9" x14ac:dyDescent="0.3">
      <c r="G4493" s="26"/>
      <c r="H4493" s="26"/>
      <c r="I4493" s="26"/>
    </row>
    <row r="4494" spans="7:9" x14ac:dyDescent="0.3">
      <c r="G4494" s="26"/>
      <c r="H4494" s="26"/>
      <c r="I4494" s="26"/>
    </row>
    <row r="4495" spans="7:9" x14ac:dyDescent="0.3">
      <c r="G4495" s="26"/>
      <c r="H4495" s="26"/>
      <c r="I4495" s="26"/>
    </row>
    <row r="4496" spans="7:9" x14ac:dyDescent="0.3">
      <c r="G4496" s="26"/>
      <c r="H4496" s="26"/>
      <c r="I4496" s="26"/>
    </row>
    <row r="4497" spans="7:9" x14ac:dyDescent="0.3">
      <c r="G4497" s="26"/>
      <c r="H4497" s="26"/>
      <c r="I4497" s="26"/>
    </row>
    <row r="4498" spans="7:9" x14ac:dyDescent="0.3">
      <c r="G4498" s="26"/>
      <c r="H4498" s="26"/>
      <c r="I4498" s="26"/>
    </row>
    <row r="4499" spans="7:9" x14ac:dyDescent="0.3">
      <c r="G4499" s="26"/>
      <c r="H4499" s="26"/>
      <c r="I4499" s="26"/>
    </row>
    <row r="4500" spans="7:9" x14ac:dyDescent="0.3">
      <c r="G4500" s="26"/>
      <c r="H4500" s="26"/>
      <c r="I4500" s="26"/>
    </row>
    <row r="4501" spans="7:9" x14ac:dyDescent="0.3">
      <c r="G4501" s="26"/>
      <c r="H4501" s="26"/>
      <c r="I4501" s="26"/>
    </row>
    <row r="4502" spans="7:9" x14ac:dyDescent="0.3">
      <c r="G4502" s="26"/>
      <c r="H4502" s="26"/>
      <c r="I4502" s="26"/>
    </row>
    <row r="4503" spans="7:9" x14ac:dyDescent="0.3">
      <c r="G4503" s="26"/>
      <c r="H4503" s="26"/>
      <c r="I4503" s="26"/>
    </row>
    <row r="4504" spans="7:9" x14ac:dyDescent="0.3">
      <c r="G4504" s="26"/>
      <c r="H4504" s="26"/>
      <c r="I4504" s="26"/>
    </row>
    <row r="4505" spans="7:9" x14ac:dyDescent="0.3">
      <c r="G4505" s="26"/>
      <c r="H4505" s="26"/>
      <c r="I4505" s="26"/>
    </row>
    <row r="4506" spans="7:9" x14ac:dyDescent="0.3">
      <c r="G4506" s="26"/>
      <c r="H4506" s="26"/>
      <c r="I4506" s="26"/>
    </row>
    <row r="4507" spans="7:9" x14ac:dyDescent="0.3">
      <c r="G4507" s="26"/>
      <c r="H4507" s="26"/>
      <c r="I4507" s="26"/>
    </row>
    <row r="4508" spans="7:9" x14ac:dyDescent="0.3">
      <c r="G4508" s="26"/>
      <c r="H4508" s="26"/>
      <c r="I4508" s="26"/>
    </row>
    <row r="4509" spans="7:9" x14ac:dyDescent="0.3">
      <c r="G4509" s="26"/>
      <c r="H4509" s="26"/>
      <c r="I4509" s="26"/>
    </row>
    <row r="4510" spans="7:9" x14ac:dyDescent="0.3">
      <c r="G4510" s="26"/>
      <c r="H4510" s="26"/>
      <c r="I4510" s="26"/>
    </row>
    <row r="4511" spans="7:9" x14ac:dyDescent="0.3">
      <c r="G4511" s="26"/>
      <c r="H4511" s="26"/>
      <c r="I4511" s="26"/>
    </row>
    <row r="4512" spans="7:9" x14ac:dyDescent="0.3">
      <c r="G4512" s="26"/>
      <c r="H4512" s="26"/>
      <c r="I4512" s="26"/>
    </row>
    <row r="4513" spans="7:9" x14ac:dyDescent="0.3">
      <c r="G4513" s="26"/>
      <c r="H4513" s="26"/>
      <c r="I4513" s="26"/>
    </row>
    <row r="4514" spans="7:9" x14ac:dyDescent="0.3">
      <c r="G4514" s="26"/>
      <c r="H4514" s="26"/>
      <c r="I4514" s="26"/>
    </row>
    <row r="4515" spans="7:9" x14ac:dyDescent="0.3">
      <c r="G4515" s="26"/>
      <c r="H4515" s="26"/>
      <c r="I4515" s="26"/>
    </row>
    <row r="4516" spans="7:9" x14ac:dyDescent="0.3">
      <c r="G4516" s="26"/>
      <c r="H4516" s="26"/>
      <c r="I4516" s="26"/>
    </row>
    <row r="4517" spans="7:9" x14ac:dyDescent="0.3">
      <c r="G4517" s="26"/>
      <c r="H4517" s="26"/>
      <c r="I4517" s="26"/>
    </row>
    <row r="4518" spans="7:9" x14ac:dyDescent="0.3">
      <c r="G4518" s="26"/>
      <c r="H4518" s="26"/>
      <c r="I4518" s="26"/>
    </row>
    <row r="4519" spans="7:9" x14ac:dyDescent="0.3">
      <c r="G4519" s="26"/>
      <c r="H4519" s="26"/>
      <c r="I4519" s="26"/>
    </row>
    <row r="4520" spans="7:9" x14ac:dyDescent="0.3">
      <c r="G4520" s="26"/>
      <c r="H4520" s="26"/>
      <c r="I4520" s="26"/>
    </row>
    <row r="4521" spans="7:9" x14ac:dyDescent="0.3">
      <c r="G4521" s="26"/>
      <c r="H4521" s="26"/>
      <c r="I4521" s="26"/>
    </row>
    <row r="4522" spans="7:9" x14ac:dyDescent="0.3">
      <c r="G4522" s="26"/>
      <c r="H4522" s="26"/>
      <c r="I4522" s="26"/>
    </row>
    <row r="4523" spans="7:9" x14ac:dyDescent="0.3">
      <c r="G4523" s="26"/>
      <c r="H4523" s="26"/>
      <c r="I4523" s="26"/>
    </row>
    <row r="4524" spans="7:9" x14ac:dyDescent="0.3">
      <c r="G4524" s="26"/>
      <c r="H4524" s="26"/>
      <c r="I4524" s="26"/>
    </row>
    <row r="4525" spans="7:9" x14ac:dyDescent="0.3">
      <c r="G4525" s="26"/>
      <c r="H4525" s="26"/>
      <c r="I4525" s="26"/>
    </row>
    <row r="4526" spans="7:9" x14ac:dyDescent="0.3">
      <c r="G4526" s="26"/>
      <c r="H4526" s="26"/>
      <c r="I4526" s="26"/>
    </row>
    <row r="4527" spans="7:9" x14ac:dyDescent="0.3">
      <c r="G4527" s="26"/>
      <c r="H4527" s="26"/>
      <c r="I4527" s="26"/>
    </row>
    <row r="4528" spans="7:9" x14ac:dyDescent="0.3">
      <c r="G4528" s="26"/>
      <c r="H4528" s="26"/>
      <c r="I4528" s="26"/>
    </row>
    <row r="4529" spans="7:9" x14ac:dyDescent="0.3">
      <c r="G4529" s="26"/>
      <c r="H4529" s="26"/>
      <c r="I4529" s="26"/>
    </row>
    <row r="4530" spans="7:9" x14ac:dyDescent="0.3">
      <c r="G4530" s="26"/>
      <c r="H4530" s="26"/>
      <c r="I4530" s="26"/>
    </row>
    <row r="4531" spans="7:9" x14ac:dyDescent="0.3">
      <c r="G4531" s="26"/>
      <c r="H4531" s="26"/>
      <c r="I4531" s="26"/>
    </row>
    <row r="4532" spans="7:9" x14ac:dyDescent="0.3">
      <c r="G4532" s="26"/>
      <c r="H4532" s="26"/>
      <c r="I4532" s="26"/>
    </row>
    <row r="4533" spans="7:9" x14ac:dyDescent="0.3">
      <c r="G4533" s="26"/>
      <c r="H4533" s="26"/>
      <c r="I4533" s="26"/>
    </row>
    <row r="4534" spans="7:9" x14ac:dyDescent="0.3">
      <c r="G4534" s="26"/>
      <c r="H4534" s="26"/>
      <c r="I4534" s="26"/>
    </row>
    <row r="4535" spans="7:9" x14ac:dyDescent="0.3">
      <c r="G4535" s="26"/>
      <c r="H4535" s="26"/>
      <c r="I4535" s="26"/>
    </row>
    <row r="4536" spans="7:9" x14ac:dyDescent="0.3">
      <c r="G4536" s="26"/>
      <c r="H4536" s="26"/>
      <c r="I4536" s="26"/>
    </row>
    <row r="4537" spans="7:9" x14ac:dyDescent="0.3">
      <c r="G4537" s="26"/>
      <c r="H4537" s="26"/>
      <c r="I4537" s="26"/>
    </row>
    <row r="4538" spans="7:9" x14ac:dyDescent="0.3">
      <c r="G4538" s="26"/>
      <c r="H4538" s="26"/>
      <c r="I4538" s="26"/>
    </row>
    <row r="4539" spans="7:9" x14ac:dyDescent="0.3">
      <c r="G4539" s="26"/>
      <c r="H4539" s="26"/>
      <c r="I4539" s="26"/>
    </row>
    <row r="4540" spans="7:9" x14ac:dyDescent="0.3">
      <c r="G4540" s="26"/>
      <c r="H4540" s="26"/>
      <c r="I4540" s="26"/>
    </row>
    <row r="4541" spans="7:9" x14ac:dyDescent="0.3">
      <c r="G4541" s="26"/>
      <c r="H4541" s="26"/>
      <c r="I4541" s="26"/>
    </row>
    <row r="4542" spans="7:9" x14ac:dyDescent="0.3">
      <c r="G4542" s="26"/>
      <c r="H4542" s="26"/>
      <c r="I4542" s="26"/>
    </row>
    <row r="4543" spans="7:9" x14ac:dyDescent="0.3">
      <c r="G4543" s="26"/>
      <c r="H4543" s="26"/>
      <c r="I4543" s="26"/>
    </row>
    <row r="4544" spans="7:9" x14ac:dyDescent="0.3">
      <c r="G4544" s="26"/>
      <c r="H4544" s="26"/>
      <c r="I4544" s="26"/>
    </row>
    <row r="4545" spans="7:9" x14ac:dyDescent="0.3">
      <c r="G4545" s="26"/>
      <c r="H4545" s="26"/>
      <c r="I4545" s="26"/>
    </row>
    <row r="4546" spans="7:9" x14ac:dyDescent="0.3">
      <c r="G4546" s="26"/>
      <c r="H4546" s="26"/>
      <c r="I4546" s="26"/>
    </row>
    <row r="4547" spans="7:9" x14ac:dyDescent="0.3">
      <c r="G4547" s="26"/>
      <c r="H4547" s="26"/>
      <c r="I4547" s="26"/>
    </row>
    <row r="4548" spans="7:9" x14ac:dyDescent="0.3">
      <c r="G4548" s="26"/>
      <c r="H4548" s="26"/>
      <c r="I4548" s="26"/>
    </row>
    <row r="4549" spans="7:9" x14ac:dyDescent="0.3">
      <c r="G4549" s="26"/>
      <c r="H4549" s="26"/>
      <c r="I4549" s="26"/>
    </row>
    <row r="4550" spans="7:9" x14ac:dyDescent="0.3">
      <c r="G4550" s="26"/>
      <c r="H4550" s="26"/>
      <c r="I4550" s="26"/>
    </row>
    <row r="4551" spans="7:9" x14ac:dyDescent="0.3">
      <c r="G4551" s="26"/>
      <c r="H4551" s="26"/>
      <c r="I4551" s="26"/>
    </row>
    <row r="4552" spans="7:9" x14ac:dyDescent="0.3">
      <c r="G4552" s="26"/>
      <c r="H4552" s="26"/>
      <c r="I4552" s="26"/>
    </row>
    <row r="4553" spans="7:9" x14ac:dyDescent="0.3">
      <c r="G4553" s="26"/>
      <c r="H4553" s="26"/>
      <c r="I4553" s="26"/>
    </row>
    <row r="4554" spans="7:9" x14ac:dyDescent="0.3">
      <c r="G4554" s="26"/>
      <c r="H4554" s="26"/>
      <c r="I4554" s="26"/>
    </row>
    <row r="4555" spans="7:9" x14ac:dyDescent="0.3">
      <c r="G4555" s="26"/>
      <c r="H4555" s="26"/>
      <c r="I4555" s="26"/>
    </row>
    <row r="4556" spans="7:9" x14ac:dyDescent="0.3">
      <c r="G4556" s="26"/>
      <c r="H4556" s="26"/>
      <c r="I4556" s="26"/>
    </row>
    <row r="4557" spans="7:9" x14ac:dyDescent="0.3">
      <c r="G4557" s="26"/>
      <c r="H4557" s="26"/>
      <c r="I4557" s="26"/>
    </row>
    <row r="4558" spans="7:9" x14ac:dyDescent="0.3">
      <c r="G4558" s="26"/>
      <c r="H4558" s="26"/>
      <c r="I4558" s="26"/>
    </row>
    <row r="4559" spans="7:9" x14ac:dyDescent="0.3">
      <c r="G4559" s="26"/>
      <c r="H4559" s="26"/>
      <c r="I4559" s="26"/>
    </row>
    <row r="4560" spans="7:9" x14ac:dyDescent="0.3">
      <c r="G4560" s="26"/>
      <c r="H4560" s="26"/>
      <c r="I4560" s="26"/>
    </row>
    <row r="4561" spans="7:9" x14ac:dyDescent="0.3">
      <c r="G4561" s="26"/>
      <c r="H4561" s="26"/>
      <c r="I4561" s="26"/>
    </row>
    <row r="4562" spans="7:9" x14ac:dyDescent="0.3">
      <c r="G4562" s="26"/>
      <c r="H4562" s="26"/>
      <c r="I4562" s="26"/>
    </row>
    <row r="4563" spans="7:9" x14ac:dyDescent="0.3">
      <c r="G4563" s="26"/>
      <c r="H4563" s="26"/>
      <c r="I4563" s="26"/>
    </row>
    <row r="4564" spans="7:9" x14ac:dyDescent="0.3">
      <c r="G4564" s="26"/>
      <c r="H4564" s="26"/>
      <c r="I4564" s="26"/>
    </row>
    <row r="4565" spans="7:9" x14ac:dyDescent="0.3">
      <c r="G4565" s="26"/>
      <c r="H4565" s="26"/>
      <c r="I4565" s="26"/>
    </row>
    <row r="4566" spans="7:9" x14ac:dyDescent="0.3">
      <c r="G4566" s="26"/>
      <c r="H4566" s="26"/>
      <c r="I4566" s="26"/>
    </row>
    <row r="4567" spans="7:9" x14ac:dyDescent="0.3">
      <c r="G4567" s="26"/>
      <c r="H4567" s="26"/>
      <c r="I4567" s="26"/>
    </row>
    <row r="4568" spans="7:9" x14ac:dyDescent="0.3">
      <c r="G4568" s="26"/>
      <c r="H4568" s="26"/>
      <c r="I4568" s="26"/>
    </row>
    <row r="4569" spans="7:9" x14ac:dyDescent="0.3">
      <c r="G4569" s="26"/>
      <c r="H4569" s="26"/>
      <c r="I4569" s="26"/>
    </row>
    <row r="4570" spans="7:9" x14ac:dyDescent="0.3">
      <c r="G4570" s="26"/>
      <c r="H4570" s="26"/>
      <c r="I4570" s="26"/>
    </row>
    <row r="4571" spans="7:9" x14ac:dyDescent="0.3">
      <c r="G4571" s="26"/>
      <c r="H4571" s="26"/>
      <c r="I4571" s="26"/>
    </row>
    <row r="4572" spans="7:9" x14ac:dyDescent="0.3">
      <c r="G4572" s="26"/>
      <c r="H4572" s="26"/>
      <c r="I4572" s="26"/>
    </row>
    <row r="4573" spans="7:9" x14ac:dyDescent="0.3">
      <c r="G4573" s="26"/>
      <c r="H4573" s="26"/>
      <c r="I4573" s="26"/>
    </row>
    <row r="4574" spans="7:9" x14ac:dyDescent="0.3">
      <c r="G4574" s="26"/>
      <c r="H4574" s="26"/>
      <c r="I4574" s="26"/>
    </row>
    <row r="4575" spans="7:9" x14ac:dyDescent="0.3">
      <c r="G4575" s="26"/>
      <c r="H4575" s="26"/>
      <c r="I4575" s="26"/>
    </row>
    <row r="4576" spans="7:9" x14ac:dyDescent="0.3">
      <c r="G4576" s="26"/>
      <c r="H4576" s="26"/>
      <c r="I4576" s="26"/>
    </row>
    <row r="4577" spans="7:9" x14ac:dyDescent="0.3">
      <c r="G4577" s="26"/>
      <c r="H4577" s="26"/>
      <c r="I4577" s="26"/>
    </row>
    <row r="4578" spans="7:9" x14ac:dyDescent="0.3">
      <c r="G4578" s="26"/>
      <c r="H4578" s="26"/>
      <c r="I4578" s="26"/>
    </row>
    <row r="4579" spans="7:9" x14ac:dyDescent="0.3">
      <c r="G4579" s="26"/>
      <c r="H4579" s="26"/>
      <c r="I4579" s="26"/>
    </row>
    <row r="4580" spans="7:9" x14ac:dyDescent="0.3">
      <c r="G4580" s="26"/>
      <c r="H4580" s="26"/>
      <c r="I4580" s="26"/>
    </row>
    <row r="4581" spans="7:9" x14ac:dyDescent="0.3">
      <c r="G4581" s="26"/>
      <c r="H4581" s="26"/>
      <c r="I4581" s="26"/>
    </row>
    <row r="4582" spans="7:9" x14ac:dyDescent="0.3">
      <c r="G4582" s="26"/>
      <c r="H4582" s="26"/>
      <c r="I4582" s="26"/>
    </row>
    <row r="4583" spans="7:9" x14ac:dyDescent="0.3">
      <c r="G4583" s="26"/>
      <c r="H4583" s="26"/>
      <c r="I4583" s="26"/>
    </row>
    <row r="4584" spans="7:9" x14ac:dyDescent="0.3">
      <c r="G4584" s="26"/>
      <c r="H4584" s="26"/>
      <c r="I4584" s="26"/>
    </row>
    <row r="4585" spans="7:9" x14ac:dyDescent="0.3">
      <c r="G4585" s="26"/>
      <c r="H4585" s="26"/>
      <c r="I4585" s="26"/>
    </row>
    <row r="4586" spans="7:9" x14ac:dyDescent="0.3">
      <c r="G4586" s="26"/>
      <c r="H4586" s="26"/>
      <c r="I4586" s="26"/>
    </row>
    <row r="4587" spans="7:9" x14ac:dyDescent="0.3">
      <c r="G4587" s="26"/>
      <c r="H4587" s="26"/>
      <c r="I4587" s="26"/>
    </row>
    <row r="4588" spans="7:9" x14ac:dyDescent="0.3">
      <c r="G4588" s="26"/>
      <c r="H4588" s="26"/>
      <c r="I4588" s="26"/>
    </row>
    <row r="4589" spans="7:9" x14ac:dyDescent="0.3">
      <c r="G4589" s="26"/>
      <c r="H4589" s="26"/>
      <c r="I4589" s="26"/>
    </row>
    <row r="4590" spans="7:9" x14ac:dyDescent="0.3">
      <c r="G4590" s="26"/>
      <c r="H4590" s="26"/>
      <c r="I4590" s="26"/>
    </row>
    <row r="4591" spans="7:9" x14ac:dyDescent="0.3">
      <c r="G4591" s="26"/>
      <c r="H4591" s="26"/>
      <c r="I4591" s="26"/>
    </row>
    <row r="4592" spans="7:9" x14ac:dyDescent="0.3">
      <c r="G4592" s="26"/>
      <c r="H4592" s="26"/>
      <c r="I4592" s="26"/>
    </row>
    <row r="4593" spans="7:9" x14ac:dyDescent="0.3">
      <c r="G4593" s="26"/>
      <c r="H4593" s="26"/>
      <c r="I4593" s="26"/>
    </row>
    <row r="4594" spans="7:9" x14ac:dyDescent="0.3">
      <c r="G4594" s="26"/>
      <c r="H4594" s="26"/>
      <c r="I4594" s="26"/>
    </row>
    <row r="4595" spans="7:9" x14ac:dyDescent="0.3">
      <c r="G4595" s="26"/>
      <c r="H4595" s="26"/>
      <c r="I4595" s="26"/>
    </row>
    <row r="4596" spans="7:9" x14ac:dyDescent="0.3">
      <c r="G4596" s="26"/>
      <c r="H4596" s="26"/>
      <c r="I4596" s="26"/>
    </row>
    <row r="4597" spans="7:9" x14ac:dyDescent="0.3">
      <c r="G4597" s="26"/>
      <c r="H4597" s="26"/>
      <c r="I4597" s="26"/>
    </row>
    <row r="4598" spans="7:9" x14ac:dyDescent="0.3">
      <c r="G4598" s="26"/>
      <c r="H4598" s="26"/>
      <c r="I4598" s="26"/>
    </row>
    <row r="4599" spans="7:9" x14ac:dyDescent="0.3">
      <c r="G4599" s="26"/>
      <c r="H4599" s="26"/>
      <c r="I4599" s="26"/>
    </row>
    <row r="4600" spans="7:9" x14ac:dyDescent="0.3">
      <c r="G4600" s="26"/>
      <c r="H4600" s="26"/>
      <c r="I4600" s="26"/>
    </row>
    <row r="4601" spans="7:9" x14ac:dyDescent="0.3">
      <c r="G4601" s="26"/>
      <c r="H4601" s="26"/>
      <c r="I4601" s="26"/>
    </row>
    <row r="4602" spans="7:9" x14ac:dyDescent="0.3">
      <c r="G4602" s="26"/>
      <c r="H4602" s="26"/>
      <c r="I4602" s="26"/>
    </row>
    <row r="4603" spans="7:9" x14ac:dyDescent="0.3">
      <c r="G4603" s="26"/>
      <c r="H4603" s="26"/>
      <c r="I4603" s="26"/>
    </row>
    <row r="4604" spans="7:9" x14ac:dyDescent="0.3">
      <c r="G4604" s="26"/>
      <c r="H4604" s="26"/>
      <c r="I4604" s="26"/>
    </row>
    <row r="4605" spans="7:9" x14ac:dyDescent="0.3">
      <c r="G4605" s="26"/>
      <c r="H4605" s="26"/>
      <c r="I4605" s="26"/>
    </row>
    <row r="4606" spans="7:9" x14ac:dyDescent="0.3">
      <c r="G4606" s="26"/>
      <c r="H4606" s="26"/>
      <c r="I4606" s="26"/>
    </row>
    <row r="4607" spans="7:9" x14ac:dyDescent="0.3">
      <c r="G4607" s="26"/>
      <c r="H4607" s="26"/>
      <c r="I4607" s="26"/>
    </row>
    <row r="4608" spans="7:9" x14ac:dyDescent="0.3">
      <c r="G4608" s="26"/>
      <c r="H4608" s="26"/>
      <c r="I4608" s="26"/>
    </row>
    <row r="4609" spans="7:9" x14ac:dyDescent="0.3">
      <c r="G4609" s="26"/>
      <c r="H4609" s="26"/>
      <c r="I4609" s="26"/>
    </row>
    <row r="4610" spans="7:9" x14ac:dyDescent="0.3">
      <c r="G4610" s="26"/>
      <c r="H4610" s="26"/>
      <c r="I4610" s="26"/>
    </row>
    <row r="4611" spans="7:9" x14ac:dyDescent="0.3">
      <c r="G4611" s="26"/>
      <c r="H4611" s="26"/>
      <c r="I4611" s="26"/>
    </row>
    <row r="4612" spans="7:9" x14ac:dyDescent="0.3">
      <c r="G4612" s="26"/>
      <c r="H4612" s="26"/>
      <c r="I4612" s="26"/>
    </row>
    <row r="4613" spans="7:9" x14ac:dyDescent="0.3">
      <c r="G4613" s="26"/>
      <c r="H4613" s="26"/>
      <c r="I4613" s="26"/>
    </row>
    <row r="4614" spans="7:9" x14ac:dyDescent="0.3">
      <c r="G4614" s="26"/>
      <c r="H4614" s="26"/>
      <c r="I4614" s="26"/>
    </row>
    <row r="4615" spans="7:9" x14ac:dyDescent="0.3">
      <c r="G4615" s="26"/>
      <c r="H4615" s="26"/>
      <c r="I4615" s="26"/>
    </row>
    <row r="4616" spans="7:9" x14ac:dyDescent="0.3">
      <c r="G4616" s="26"/>
      <c r="H4616" s="26"/>
      <c r="I4616" s="26"/>
    </row>
    <row r="4617" spans="7:9" x14ac:dyDescent="0.3">
      <c r="G4617" s="26"/>
      <c r="H4617" s="26"/>
      <c r="I4617" s="26"/>
    </row>
    <row r="4618" spans="7:9" x14ac:dyDescent="0.3">
      <c r="G4618" s="26"/>
      <c r="H4618" s="26"/>
      <c r="I4618" s="26"/>
    </row>
    <row r="4619" spans="7:9" x14ac:dyDescent="0.3">
      <c r="G4619" s="26"/>
      <c r="H4619" s="26"/>
      <c r="I4619" s="26"/>
    </row>
    <row r="4620" spans="7:9" x14ac:dyDescent="0.3">
      <c r="G4620" s="26"/>
      <c r="H4620" s="26"/>
      <c r="I4620" s="26"/>
    </row>
    <row r="4621" spans="7:9" x14ac:dyDescent="0.3">
      <c r="G4621" s="26"/>
      <c r="H4621" s="26"/>
      <c r="I4621" s="26"/>
    </row>
    <row r="4622" spans="7:9" x14ac:dyDescent="0.3">
      <c r="G4622" s="26"/>
      <c r="H4622" s="26"/>
      <c r="I4622" s="26"/>
    </row>
    <row r="4623" spans="7:9" x14ac:dyDescent="0.3">
      <c r="G4623" s="26"/>
      <c r="H4623" s="26"/>
      <c r="I4623" s="26"/>
    </row>
    <row r="4624" spans="7:9" x14ac:dyDescent="0.3">
      <c r="G4624" s="26"/>
      <c r="H4624" s="26"/>
      <c r="I4624" s="26"/>
    </row>
    <row r="4625" spans="7:9" x14ac:dyDescent="0.3">
      <c r="G4625" s="26"/>
      <c r="H4625" s="26"/>
      <c r="I4625" s="26"/>
    </row>
    <row r="4626" spans="7:9" x14ac:dyDescent="0.3">
      <c r="G4626" s="26"/>
      <c r="H4626" s="26"/>
      <c r="I4626" s="26"/>
    </row>
    <row r="4627" spans="7:9" x14ac:dyDescent="0.3">
      <c r="G4627" s="26"/>
      <c r="H4627" s="26"/>
      <c r="I4627" s="26"/>
    </row>
    <row r="4628" spans="7:9" x14ac:dyDescent="0.3">
      <c r="G4628" s="26"/>
      <c r="H4628" s="26"/>
      <c r="I4628" s="26"/>
    </row>
    <row r="4629" spans="7:9" x14ac:dyDescent="0.3">
      <c r="G4629" s="26"/>
      <c r="H4629" s="26"/>
      <c r="I4629" s="26"/>
    </row>
    <row r="4630" spans="7:9" x14ac:dyDescent="0.3">
      <c r="G4630" s="26"/>
      <c r="H4630" s="26"/>
      <c r="I4630" s="26"/>
    </row>
    <row r="4631" spans="7:9" x14ac:dyDescent="0.3">
      <c r="G4631" s="26"/>
      <c r="H4631" s="26"/>
      <c r="I4631" s="26"/>
    </row>
    <row r="4632" spans="7:9" x14ac:dyDescent="0.3">
      <c r="G4632" s="26"/>
      <c r="H4632" s="26"/>
      <c r="I4632" s="26"/>
    </row>
    <row r="4633" spans="7:9" x14ac:dyDescent="0.3">
      <c r="G4633" s="26"/>
      <c r="H4633" s="26"/>
      <c r="I4633" s="26"/>
    </row>
    <row r="4634" spans="7:9" x14ac:dyDescent="0.3">
      <c r="G4634" s="26"/>
      <c r="H4634" s="26"/>
      <c r="I4634" s="26"/>
    </row>
    <row r="4635" spans="7:9" x14ac:dyDescent="0.3">
      <c r="G4635" s="26"/>
      <c r="H4635" s="26"/>
      <c r="I4635" s="26"/>
    </row>
    <row r="4636" spans="7:9" x14ac:dyDescent="0.3">
      <c r="G4636" s="26"/>
      <c r="H4636" s="26"/>
      <c r="I4636" s="26"/>
    </row>
    <row r="4637" spans="7:9" x14ac:dyDescent="0.3">
      <c r="G4637" s="26"/>
      <c r="H4637" s="26"/>
      <c r="I4637" s="26"/>
    </row>
    <row r="4638" spans="7:9" x14ac:dyDescent="0.3">
      <c r="G4638" s="26"/>
      <c r="H4638" s="26"/>
      <c r="I4638" s="26"/>
    </row>
    <row r="4639" spans="7:9" x14ac:dyDescent="0.3">
      <c r="G4639" s="26"/>
      <c r="H4639" s="26"/>
      <c r="I4639" s="26"/>
    </row>
    <row r="4640" spans="7:9" x14ac:dyDescent="0.3">
      <c r="G4640" s="26"/>
      <c r="H4640" s="26"/>
      <c r="I4640" s="26"/>
    </row>
    <row r="4641" spans="7:9" x14ac:dyDescent="0.3">
      <c r="G4641" s="26"/>
      <c r="H4641" s="26"/>
      <c r="I4641" s="26"/>
    </row>
    <row r="4642" spans="7:9" x14ac:dyDescent="0.3">
      <c r="G4642" s="26"/>
      <c r="H4642" s="26"/>
      <c r="I4642" s="26"/>
    </row>
    <row r="4643" spans="7:9" x14ac:dyDescent="0.3">
      <c r="G4643" s="26"/>
      <c r="H4643" s="26"/>
      <c r="I4643" s="26"/>
    </row>
    <row r="4644" spans="7:9" x14ac:dyDescent="0.3">
      <c r="G4644" s="26"/>
      <c r="H4644" s="26"/>
      <c r="I4644" s="26"/>
    </row>
    <row r="4645" spans="7:9" x14ac:dyDescent="0.3">
      <c r="G4645" s="26"/>
      <c r="H4645" s="26"/>
      <c r="I4645" s="26"/>
    </row>
    <row r="4646" spans="7:9" x14ac:dyDescent="0.3">
      <c r="G4646" s="26"/>
      <c r="H4646" s="26"/>
      <c r="I4646" s="26"/>
    </row>
    <row r="4647" spans="7:9" x14ac:dyDescent="0.3">
      <c r="G4647" s="26"/>
      <c r="H4647" s="26"/>
      <c r="I4647" s="26"/>
    </row>
    <row r="4648" spans="7:9" x14ac:dyDescent="0.3">
      <c r="G4648" s="26"/>
      <c r="H4648" s="26"/>
      <c r="I4648" s="26"/>
    </row>
    <row r="4649" spans="7:9" x14ac:dyDescent="0.3">
      <c r="G4649" s="26"/>
      <c r="H4649" s="26"/>
      <c r="I4649" s="26"/>
    </row>
    <row r="4650" spans="7:9" x14ac:dyDescent="0.3">
      <c r="G4650" s="26"/>
      <c r="H4650" s="26"/>
      <c r="I4650" s="26"/>
    </row>
    <row r="4651" spans="7:9" x14ac:dyDescent="0.3">
      <c r="G4651" s="26"/>
      <c r="H4651" s="26"/>
      <c r="I4651" s="26"/>
    </row>
    <row r="4652" spans="7:9" x14ac:dyDescent="0.3">
      <c r="G4652" s="26"/>
      <c r="H4652" s="26"/>
      <c r="I4652" s="26"/>
    </row>
    <row r="4653" spans="7:9" x14ac:dyDescent="0.3">
      <c r="G4653" s="26"/>
      <c r="H4653" s="26"/>
      <c r="I4653" s="26"/>
    </row>
    <row r="4654" spans="7:9" x14ac:dyDescent="0.3">
      <c r="G4654" s="26"/>
      <c r="H4654" s="26"/>
      <c r="I4654" s="26"/>
    </row>
    <row r="4655" spans="7:9" x14ac:dyDescent="0.3">
      <c r="G4655" s="26"/>
      <c r="H4655" s="26"/>
      <c r="I4655" s="26"/>
    </row>
    <row r="4656" spans="7:9" x14ac:dyDescent="0.3">
      <c r="G4656" s="26"/>
      <c r="H4656" s="26"/>
      <c r="I4656" s="26"/>
    </row>
    <row r="4657" spans="7:9" x14ac:dyDescent="0.3">
      <c r="G4657" s="26"/>
      <c r="H4657" s="26"/>
      <c r="I4657" s="26"/>
    </row>
    <row r="4658" spans="7:9" x14ac:dyDescent="0.3">
      <c r="G4658" s="26"/>
      <c r="H4658" s="26"/>
      <c r="I4658" s="26"/>
    </row>
    <row r="4659" spans="7:9" x14ac:dyDescent="0.3">
      <c r="G4659" s="26"/>
      <c r="H4659" s="26"/>
      <c r="I4659" s="26"/>
    </row>
    <row r="4660" spans="7:9" x14ac:dyDescent="0.3">
      <c r="G4660" s="26"/>
      <c r="H4660" s="26"/>
      <c r="I4660" s="26"/>
    </row>
    <row r="4661" spans="7:9" x14ac:dyDescent="0.3">
      <c r="G4661" s="26"/>
      <c r="H4661" s="26"/>
      <c r="I4661" s="26"/>
    </row>
    <row r="4662" spans="7:9" x14ac:dyDescent="0.3">
      <c r="G4662" s="26"/>
      <c r="H4662" s="26"/>
      <c r="I4662" s="26"/>
    </row>
    <row r="4663" spans="7:9" x14ac:dyDescent="0.3">
      <c r="G4663" s="26"/>
      <c r="H4663" s="26"/>
      <c r="I4663" s="26"/>
    </row>
    <row r="4664" spans="7:9" x14ac:dyDescent="0.3">
      <c r="G4664" s="26"/>
      <c r="H4664" s="26"/>
      <c r="I4664" s="26"/>
    </row>
    <row r="4665" spans="7:9" x14ac:dyDescent="0.3">
      <c r="G4665" s="26"/>
      <c r="H4665" s="26"/>
      <c r="I4665" s="26"/>
    </row>
    <row r="4666" spans="7:9" x14ac:dyDescent="0.3">
      <c r="G4666" s="26"/>
      <c r="H4666" s="26"/>
      <c r="I4666" s="26"/>
    </row>
    <row r="4667" spans="7:9" x14ac:dyDescent="0.3">
      <c r="G4667" s="26"/>
      <c r="H4667" s="26"/>
      <c r="I4667" s="26"/>
    </row>
    <row r="4668" spans="7:9" x14ac:dyDescent="0.3">
      <c r="G4668" s="26"/>
      <c r="H4668" s="26"/>
      <c r="I4668" s="26"/>
    </row>
    <row r="4669" spans="7:9" x14ac:dyDescent="0.3">
      <c r="G4669" s="26"/>
      <c r="H4669" s="26"/>
      <c r="I4669" s="26"/>
    </row>
    <row r="4670" spans="7:9" x14ac:dyDescent="0.3">
      <c r="G4670" s="26"/>
      <c r="H4670" s="26"/>
      <c r="I4670" s="26"/>
    </row>
    <row r="4671" spans="7:9" x14ac:dyDescent="0.3">
      <c r="G4671" s="26"/>
      <c r="H4671" s="26"/>
      <c r="I4671" s="26"/>
    </row>
    <row r="4672" spans="7:9" x14ac:dyDescent="0.3">
      <c r="G4672" s="26"/>
      <c r="H4672" s="26"/>
      <c r="I4672" s="26"/>
    </row>
    <row r="4673" spans="7:9" x14ac:dyDescent="0.3">
      <c r="G4673" s="26"/>
      <c r="H4673" s="26"/>
      <c r="I4673" s="26"/>
    </row>
    <row r="4674" spans="7:9" x14ac:dyDescent="0.3">
      <c r="G4674" s="26"/>
      <c r="H4674" s="26"/>
      <c r="I4674" s="26"/>
    </row>
    <row r="4675" spans="7:9" x14ac:dyDescent="0.3">
      <c r="G4675" s="26"/>
      <c r="H4675" s="26"/>
      <c r="I4675" s="26"/>
    </row>
    <row r="4676" spans="7:9" x14ac:dyDescent="0.3">
      <c r="G4676" s="26"/>
      <c r="H4676" s="26"/>
      <c r="I4676" s="26"/>
    </row>
    <row r="4677" spans="7:9" x14ac:dyDescent="0.3">
      <c r="G4677" s="26"/>
      <c r="H4677" s="26"/>
      <c r="I4677" s="26"/>
    </row>
    <row r="4678" spans="7:9" x14ac:dyDescent="0.3">
      <c r="G4678" s="26"/>
      <c r="H4678" s="26"/>
      <c r="I4678" s="26"/>
    </row>
    <row r="4679" spans="7:9" x14ac:dyDescent="0.3">
      <c r="G4679" s="26"/>
      <c r="H4679" s="26"/>
      <c r="I4679" s="26"/>
    </row>
    <row r="4680" spans="7:9" x14ac:dyDescent="0.3">
      <c r="G4680" s="26"/>
      <c r="H4680" s="26"/>
      <c r="I4680" s="26"/>
    </row>
    <row r="4681" spans="7:9" x14ac:dyDescent="0.3">
      <c r="G4681" s="26"/>
      <c r="H4681" s="26"/>
      <c r="I4681" s="26"/>
    </row>
    <row r="4682" spans="7:9" x14ac:dyDescent="0.3">
      <c r="G4682" s="26"/>
      <c r="H4682" s="26"/>
      <c r="I4682" s="26"/>
    </row>
    <row r="4683" spans="7:9" x14ac:dyDescent="0.3">
      <c r="G4683" s="26"/>
      <c r="H4683" s="26"/>
      <c r="I4683" s="26"/>
    </row>
    <row r="4684" spans="7:9" x14ac:dyDescent="0.3">
      <c r="G4684" s="26"/>
      <c r="H4684" s="26"/>
      <c r="I4684" s="26"/>
    </row>
    <row r="4685" spans="7:9" x14ac:dyDescent="0.3">
      <c r="G4685" s="26"/>
      <c r="H4685" s="26"/>
      <c r="I4685" s="26"/>
    </row>
    <row r="4686" spans="7:9" x14ac:dyDescent="0.3">
      <c r="G4686" s="26"/>
      <c r="H4686" s="26"/>
      <c r="I4686" s="26"/>
    </row>
    <row r="4687" spans="7:9" x14ac:dyDescent="0.3">
      <c r="G4687" s="26"/>
      <c r="H4687" s="26"/>
      <c r="I4687" s="26"/>
    </row>
    <row r="4688" spans="7:9" x14ac:dyDescent="0.3">
      <c r="G4688" s="26"/>
      <c r="H4688" s="26"/>
      <c r="I4688" s="26"/>
    </row>
    <row r="4689" spans="7:9" x14ac:dyDescent="0.3">
      <c r="G4689" s="26"/>
      <c r="H4689" s="26"/>
      <c r="I4689" s="26"/>
    </row>
    <row r="4690" spans="7:9" x14ac:dyDescent="0.3">
      <c r="G4690" s="26"/>
      <c r="H4690" s="26"/>
      <c r="I4690" s="26"/>
    </row>
    <row r="4691" spans="7:9" x14ac:dyDescent="0.3">
      <c r="G4691" s="26"/>
      <c r="H4691" s="26"/>
      <c r="I4691" s="26"/>
    </row>
    <row r="4692" spans="7:9" x14ac:dyDescent="0.3">
      <c r="G4692" s="26"/>
      <c r="H4692" s="26"/>
      <c r="I4692" s="26"/>
    </row>
    <row r="4693" spans="7:9" x14ac:dyDescent="0.3">
      <c r="G4693" s="26"/>
      <c r="H4693" s="26"/>
      <c r="I4693" s="26"/>
    </row>
    <row r="4694" spans="7:9" x14ac:dyDescent="0.3">
      <c r="G4694" s="26"/>
      <c r="H4694" s="26"/>
      <c r="I4694" s="26"/>
    </row>
    <row r="4695" spans="7:9" x14ac:dyDescent="0.3">
      <c r="G4695" s="26"/>
      <c r="H4695" s="26"/>
      <c r="I4695" s="26"/>
    </row>
    <row r="4696" spans="7:9" x14ac:dyDescent="0.3">
      <c r="G4696" s="26"/>
      <c r="H4696" s="26"/>
      <c r="I4696" s="26"/>
    </row>
    <row r="4697" spans="7:9" x14ac:dyDescent="0.3">
      <c r="G4697" s="26"/>
      <c r="H4697" s="26"/>
      <c r="I4697" s="26"/>
    </row>
    <row r="4698" spans="7:9" x14ac:dyDescent="0.3">
      <c r="G4698" s="26"/>
      <c r="H4698" s="26"/>
      <c r="I4698" s="26"/>
    </row>
    <row r="4699" spans="7:9" x14ac:dyDescent="0.3">
      <c r="G4699" s="26"/>
      <c r="H4699" s="26"/>
      <c r="I4699" s="26"/>
    </row>
    <row r="4700" spans="7:9" x14ac:dyDescent="0.3">
      <c r="G4700" s="26"/>
      <c r="H4700" s="26"/>
      <c r="I4700" s="26"/>
    </row>
    <row r="4701" spans="7:9" x14ac:dyDescent="0.3">
      <c r="G4701" s="26"/>
      <c r="H4701" s="26"/>
      <c r="I4701" s="26"/>
    </row>
    <row r="4702" spans="7:9" x14ac:dyDescent="0.3">
      <c r="G4702" s="26"/>
      <c r="H4702" s="26"/>
      <c r="I4702" s="26"/>
    </row>
    <row r="4703" spans="7:9" x14ac:dyDescent="0.3">
      <c r="G4703" s="26"/>
      <c r="H4703" s="26"/>
      <c r="I4703" s="26"/>
    </row>
    <row r="4704" spans="7:9" x14ac:dyDescent="0.3">
      <c r="G4704" s="26"/>
      <c r="H4704" s="26"/>
      <c r="I4704" s="26"/>
    </row>
    <row r="4705" spans="7:9" x14ac:dyDescent="0.3">
      <c r="G4705" s="26"/>
      <c r="H4705" s="26"/>
      <c r="I4705" s="26"/>
    </row>
    <row r="4706" spans="7:9" x14ac:dyDescent="0.3">
      <c r="G4706" s="26"/>
      <c r="H4706" s="26"/>
      <c r="I4706" s="26"/>
    </row>
    <row r="4707" spans="7:9" x14ac:dyDescent="0.3">
      <c r="G4707" s="26"/>
      <c r="H4707" s="26"/>
      <c r="I4707" s="26"/>
    </row>
    <row r="4708" spans="7:9" x14ac:dyDescent="0.3">
      <c r="G4708" s="26"/>
      <c r="H4708" s="26"/>
      <c r="I4708" s="26"/>
    </row>
    <row r="4709" spans="7:9" x14ac:dyDescent="0.3">
      <c r="G4709" s="26"/>
      <c r="H4709" s="26"/>
      <c r="I4709" s="26"/>
    </row>
    <row r="4710" spans="7:9" x14ac:dyDescent="0.3">
      <c r="G4710" s="26"/>
      <c r="H4710" s="26"/>
      <c r="I4710" s="26"/>
    </row>
    <row r="4711" spans="7:9" x14ac:dyDescent="0.3">
      <c r="G4711" s="26"/>
      <c r="H4711" s="26"/>
      <c r="I4711" s="26"/>
    </row>
    <row r="4712" spans="7:9" x14ac:dyDescent="0.3">
      <c r="G4712" s="26"/>
      <c r="H4712" s="26"/>
      <c r="I4712" s="26"/>
    </row>
    <row r="4713" spans="7:9" x14ac:dyDescent="0.3">
      <c r="G4713" s="26"/>
      <c r="H4713" s="26"/>
      <c r="I4713" s="26"/>
    </row>
    <row r="4714" spans="7:9" x14ac:dyDescent="0.3">
      <c r="G4714" s="26"/>
      <c r="H4714" s="26"/>
      <c r="I4714" s="26"/>
    </row>
    <row r="4715" spans="7:9" x14ac:dyDescent="0.3">
      <c r="G4715" s="26"/>
      <c r="H4715" s="26"/>
      <c r="I4715" s="26"/>
    </row>
    <row r="4716" spans="7:9" x14ac:dyDescent="0.3">
      <c r="G4716" s="26"/>
      <c r="H4716" s="26"/>
      <c r="I4716" s="26"/>
    </row>
    <row r="4717" spans="7:9" x14ac:dyDescent="0.3">
      <c r="G4717" s="26"/>
      <c r="H4717" s="26"/>
      <c r="I4717" s="26"/>
    </row>
    <row r="4718" spans="7:9" x14ac:dyDescent="0.3">
      <c r="G4718" s="26"/>
      <c r="H4718" s="26"/>
      <c r="I4718" s="26"/>
    </row>
    <row r="4719" spans="7:9" x14ac:dyDescent="0.3">
      <c r="G4719" s="26"/>
      <c r="H4719" s="26"/>
      <c r="I4719" s="26"/>
    </row>
    <row r="4720" spans="7:9" x14ac:dyDescent="0.3">
      <c r="G4720" s="26"/>
      <c r="H4720" s="26"/>
      <c r="I4720" s="26"/>
    </row>
    <row r="4721" spans="7:9" x14ac:dyDescent="0.3">
      <c r="G4721" s="26"/>
      <c r="H4721" s="26"/>
      <c r="I4721" s="26"/>
    </row>
    <row r="4722" spans="7:9" x14ac:dyDescent="0.3">
      <c r="G4722" s="26"/>
      <c r="H4722" s="26"/>
      <c r="I4722" s="26"/>
    </row>
    <row r="4723" spans="7:9" x14ac:dyDescent="0.3">
      <c r="G4723" s="26"/>
      <c r="H4723" s="26"/>
      <c r="I4723" s="26"/>
    </row>
    <row r="4724" spans="7:9" x14ac:dyDescent="0.3">
      <c r="G4724" s="26"/>
      <c r="H4724" s="26"/>
      <c r="I4724" s="26"/>
    </row>
    <row r="4725" spans="7:9" x14ac:dyDescent="0.3">
      <c r="G4725" s="26"/>
      <c r="H4725" s="26"/>
      <c r="I4725" s="26"/>
    </row>
    <row r="4726" spans="7:9" x14ac:dyDescent="0.3">
      <c r="G4726" s="26"/>
      <c r="H4726" s="26"/>
      <c r="I4726" s="26"/>
    </row>
    <row r="4727" spans="7:9" x14ac:dyDescent="0.3">
      <c r="G4727" s="26"/>
      <c r="H4727" s="26"/>
      <c r="I4727" s="26"/>
    </row>
    <row r="4728" spans="7:9" x14ac:dyDescent="0.3">
      <c r="G4728" s="26"/>
      <c r="H4728" s="26"/>
      <c r="I4728" s="26"/>
    </row>
    <row r="4729" spans="7:9" x14ac:dyDescent="0.3">
      <c r="G4729" s="26"/>
      <c r="H4729" s="26"/>
      <c r="I4729" s="26"/>
    </row>
    <row r="4730" spans="7:9" x14ac:dyDescent="0.3">
      <c r="G4730" s="26"/>
      <c r="H4730" s="26"/>
      <c r="I4730" s="26"/>
    </row>
    <row r="4731" spans="7:9" x14ac:dyDescent="0.3">
      <c r="G4731" s="26"/>
      <c r="H4731" s="26"/>
      <c r="I4731" s="26"/>
    </row>
    <row r="4732" spans="7:9" x14ac:dyDescent="0.3">
      <c r="G4732" s="26"/>
      <c r="H4732" s="26"/>
      <c r="I4732" s="26"/>
    </row>
    <row r="4733" spans="7:9" x14ac:dyDescent="0.3">
      <c r="G4733" s="26"/>
      <c r="H4733" s="26"/>
      <c r="I4733" s="26"/>
    </row>
    <row r="4734" spans="7:9" x14ac:dyDescent="0.3">
      <c r="G4734" s="26"/>
      <c r="H4734" s="26"/>
      <c r="I4734" s="26"/>
    </row>
    <row r="4735" spans="7:9" x14ac:dyDescent="0.3">
      <c r="G4735" s="26"/>
      <c r="H4735" s="26"/>
      <c r="I4735" s="26"/>
    </row>
    <row r="4736" spans="7:9" x14ac:dyDescent="0.3">
      <c r="G4736" s="26"/>
      <c r="H4736" s="26"/>
      <c r="I4736" s="26"/>
    </row>
    <row r="4737" spans="7:9" x14ac:dyDescent="0.3">
      <c r="G4737" s="26"/>
      <c r="H4737" s="26"/>
      <c r="I4737" s="26"/>
    </row>
    <row r="4738" spans="7:9" x14ac:dyDescent="0.3">
      <c r="G4738" s="26"/>
      <c r="H4738" s="26"/>
      <c r="I4738" s="26"/>
    </row>
    <row r="4739" spans="7:9" x14ac:dyDescent="0.3">
      <c r="G4739" s="26"/>
      <c r="H4739" s="26"/>
      <c r="I4739" s="26"/>
    </row>
    <row r="4740" spans="7:9" x14ac:dyDescent="0.3">
      <c r="G4740" s="26"/>
      <c r="H4740" s="26"/>
      <c r="I4740" s="26"/>
    </row>
    <row r="4741" spans="7:9" x14ac:dyDescent="0.3">
      <c r="G4741" s="26"/>
      <c r="H4741" s="26"/>
      <c r="I4741" s="26"/>
    </row>
    <row r="4742" spans="7:9" x14ac:dyDescent="0.3">
      <c r="G4742" s="26"/>
      <c r="H4742" s="26"/>
      <c r="I4742" s="26"/>
    </row>
    <row r="4743" spans="7:9" x14ac:dyDescent="0.3">
      <c r="G4743" s="26"/>
      <c r="H4743" s="26"/>
      <c r="I4743" s="26"/>
    </row>
    <row r="4744" spans="7:9" x14ac:dyDescent="0.3">
      <c r="G4744" s="26"/>
      <c r="H4744" s="26"/>
      <c r="I4744" s="26"/>
    </row>
    <row r="4745" spans="7:9" x14ac:dyDescent="0.3">
      <c r="G4745" s="26"/>
      <c r="H4745" s="26"/>
      <c r="I4745" s="26"/>
    </row>
    <row r="4746" spans="7:9" x14ac:dyDescent="0.3">
      <c r="G4746" s="26"/>
      <c r="H4746" s="26"/>
      <c r="I4746" s="26"/>
    </row>
    <row r="4747" spans="7:9" x14ac:dyDescent="0.3">
      <c r="G4747" s="26"/>
      <c r="H4747" s="26"/>
      <c r="I4747" s="26"/>
    </row>
    <row r="4748" spans="7:9" x14ac:dyDescent="0.3">
      <c r="G4748" s="26"/>
      <c r="H4748" s="26"/>
      <c r="I4748" s="26"/>
    </row>
    <row r="4749" spans="7:9" x14ac:dyDescent="0.3">
      <c r="G4749" s="26"/>
      <c r="H4749" s="26"/>
      <c r="I4749" s="26"/>
    </row>
    <row r="4750" spans="7:9" x14ac:dyDescent="0.3">
      <c r="G4750" s="26"/>
      <c r="H4750" s="26"/>
      <c r="I4750" s="26"/>
    </row>
    <row r="4751" spans="7:9" x14ac:dyDescent="0.3">
      <c r="G4751" s="26"/>
      <c r="H4751" s="26"/>
      <c r="I4751" s="26"/>
    </row>
    <row r="4752" spans="7:9" x14ac:dyDescent="0.3">
      <c r="G4752" s="26"/>
      <c r="H4752" s="26"/>
      <c r="I4752" s="26"/>
    </row>
    <row r="4753" spans="7:9" x14ac:dyDescent="0.3">
      <c r="G4753" s="26"/>
      <c r="H4753" s="26"/>
      <c r="I4753" s="26"/>
    </row>
    <row r="4754" spans="7:9" x14ac:dyDescent="0.3">
      <c r="G4754" s="26"/>
      <c r="H4754" s="26"/>
      <c r="I4754" s="26"/>
    </row>
    <row r="4755" spans="7:9" x14ac:dyDescent="0.3">
      <c r="G4755" s="26"/>
      <c r="H4755" s="26"/>
      <c r="I4755" s="26"/>
    </row>
    <row r="4756" spans="7:9" x14ac:dyDescent="0.3">
      <c r="G4756" s="26"/>
      <c r="H4756" s="26"/>
      <c r="I4756" s="26"/>
    </row>
    <row r="4757" spans="7:9" x14ac:dyDescent="0.3">
      <c r="G4757" s="26"/>
      <c r="H4757" s="26"/>
      <c r="I4757" s="26"/>
    </row>
    <row r="4758" spans="7:9" x14ac:dyDescent="0.3">
      <c r="G4758" s="26"/>
      <c r="H4758" s="26"/>
      <c r="I4758" s="26"/>
    </row>
    <row r="4759" spans="7:9" x14ac:dyDescent="0.3">
      <c r="G4759" s="26"/>
      <c r="H4759" s="26"/>
      <c r="I4759" s="26"/>
    </row>
    <row r="4760" spans="7:9" x14ac:dyDescent="0.3">
      <c r="G4760" s="26"/>
      <c r="H4760" s="26"/>
      <c r="I4760" s="26"/>
    </row>
    <row r="4761" spans="7:9" x14ac:dyDescent="0.3">
      <c r="G4761" s="26"/>
      <c r="H4761" s="26"/>
      <c r="I4761" s="26"/>
    </row>
    <row r="4762" spans="7:9" x14ac:dyDescent="0.3">
      <c r="G4762" s="26"/>
      <c r="H4762" s="26"/>
      <c r="I4762" s="26"/>
    </row>
    <row r="4763" spans="7:9" x14ac:dyDescent="0.3">
      <c r="G4763" s="26"/>
      <c r="H4763" s="26"/>
      <c r="I4763" s="26"/>
    </row>
    <row r="4764" spans="7:9" x14ac:dyDescent="0.3">
      <c r="G4764" s="26"/>
      <c r="H4764" s="26"/>
      <c r="I4764" s="26"/>
    </row>
    <row r="4765" spans="7:9" x14ac:dyDescent="0.3">
      <c r="G4765" s="26"/>
      <c r="H4765" s="26"/>
      <c r="I4765" s="26"/>
    </row>
    <row r="4766" spans="7:9" x14ac:dyDescent="0.3">
      <c r="G4766" s="26"/>
      <c r="H4766" s="26"/>
      <c r="I4766" s="26"/>
    </row>
    <row r="4767" spans="7:9" x14ac:dyDescent="0.3">
      <c r="G4767" s="26"/>
      <c r="H4767" s="26"/>
      <c r="I4767" s="26"/>
    </row>
    <row r="4768" spans="7:9" x14ac:dyDescent="0.3">
      <c r="G4768" s="26"/>
      <c r="H4768" s="26"/>
      <c r="I4768" s="26"/>
    </row>
    <row r="4769" spans="7:9" x14ac:dyDescent="0.3">
      <c r="G4769" s="26"/>
      <c r="H4769" s="26"/>
      <c r="I4769" s="26"/>
    </row>
    <row r="4770" spans="7:9" x14ac:dyDescent="0.3">
      <c r="G4770" s="26"/>
      <c r="H4770" s="26"/>
      <c r="I4770" s="26"/>
    </row>
    <row r="4771" spans="7:9" x14ac:dyDescent="0.3">
      <c r="G4771" s="26"/>
      <c r="H4771" s="26"/>
      <c r="I4771" s="26"/>
    </row>
    <row r="4772" spans="7:9" x14ac:dyDescent="0.3">
      <c r="G4772" s="26"/>
      <c r="H4772" s="26"/>
      <c r="I4772" s="26"/>
    </row>
    <row r="4773" spans="7:9" x14ac:dyDescent="0.3">
      <c r="G4773" s="26"/>
      <c r="H4773" s="26"/>
      <c r="I4773" s="26"/>
    </row>
    <row r="4774" spans="7:9" x14ac:dyDescent="0.3">
      <c r="G4774" s="26"/>
      <c r="H4774" s="26"/>
      <c r="I4774" s="26"/>
    </row>
    <row r="4775" spans="7:9" x14ac:dyDescent="0.3">
      <c r="G4775" s="26"/>
      <c r="H4775" s="26"/>
      <c r="I4775" s="26"/>
    </row>
    <row r="4776" spans="7:9" x14ac:dyDescent="0.3">
      <c r="G4776" s="26"/>
      <c r="H4776" s="26"/>
      <c r="I4776" s="26"/>
    </row>
    <row r="4777" spans="7:9" x14ac:dyDescent="0.3">
      <c r="G4777" s="26"/>
      <c r="H4777" s="26"/>
      <c r="I4777" s="26"/>
    </row>
    <row r="4778" spans="7:9" x14ac:dyDescent="0.3">
      <c r="G4778" s="26"/>
      <c r="H4778" s="26"/>
      <c r="I4778" s="26"/>
    </row>
    <row r="4779" spans="7:9" x14ac:dyDescent="0.3">
      <c r="G4779" s="26"/>
      <c r="H4779" s="26"/>
      <c r="I4779" s="26"/>
    </row>
    <row r="4780" spans="7:9" x14ac:dyDescent="0.3">
      <c r="G4780" s="26"/>
      <c r="H4780" s="26"/>
      <c r="I4780" s="26"/>
    </row>
    <row r="4781" spans="7:9" x14ac:dyDescent="0.3">
      <c r="G4781" s="26"/>
      <c r="H4781" s="26"/>
      <c r="I4781" s="26"/>
    </row>
    <row r="4782" spans="7:9" x14ac:dyDescent="0.3">
      <c r="G4782" s="26"/>
      <c r="H4782" s="26"/>
      <c r="I4782" s="26"/>
    </row>
    <row r="4783" spans="7:9" x14ac:dyDescent="0.3">
      <c r="G4783" s="26"/>
      <c r="H4783" s="26"/>
      <c r="I4783" s="26"/>
    </row>
    <row r="4784" spans="7:9" x14ac:dyDescent="0.3">
      <c r="G4784" s="26"/>
      <c r="H4784" s="26"/>
      <c r="I4784" s="26"/>
    </row>
    <row r="4785" spans="7:9" x14ac:dyDescent="0.3">
      <c r="G4785" s="26"/>
      <c r="H4785" s="26"/>
      <c r="I4785" s="26"/>
    </row>
    <row r="4786" spans="7:9" x14ac:dyDescent="0.3">
      <c r="G4786" s="26"/>
      <c r="H4786" s="26"/>
      <c r="I4786" s="26"/>
    </row>
    <row r="4787" spans="7:9" x14ac:dyDescent="0.3">
      <c r="G4787" s="26"/>
      <c r="H4787" s="26"/>
      <c r="I4787" s="26"/>
    </row>
    <row r="4788" spans="7:9" x14ac:dyDescent="0.3">
      <c r="G4788" s="26"/>
      <c r="H4788" s="26"/>
      <c r="I4788" s="26"/>
    </row>
    <row r="4789" spans="7:9" x14ac:dyDescent="0.3">
      <c r="G4789" s="26"/>
      <c r="H4789" s="26"/>
      <c r="I4789" s="26"/>
    </row>
    <row r="4790" spans="7:9" x14ac:dyDescent="0.3">
      <c r="G4790" s="26"/>
      <c r="H4790" s="26"/>
      <c r="I4790" s="26"/>
    </row>
    <row r="4791" spans="7:9" x14ac:dyDescent="0.3">
      <c r="G4791" s="26"/>
      <c r="H4791" s="26"/>
      <c r="I4791" s="26"/>
    </row>
    <row r="4792" spans="7:9" x14ac:dyDescent="0.3">
      <c r="G4792" s="26"/>
      <c r="H4792" s="26"/>
      <c r="I4792" s="26"/>
    </row>
    <row r="4793" spans="7:9" x14ac:dyDescent="0.3">
      <c r="G4793" s="26"/>
      <c r="H4793" s="26"/>
      <c r="I4793" s="26"/>
    </row>
    <row r="4794" spans="7:9" x14ac:dyDescent="0.3">
      <c r="G4794" s="26"/>
      <c r="H4794" s="26"/>
      <c r="I4794" s="26"/>
    </row>
    <row r="4795" spans="7:9" x14ac:dyDescent="0.3">
      <c r="G4795" s="26"/>
      <c r="H4795" s="26"/>
      <c r="I4795" s="26"/>
    </row>
    <row r="4796" spans="7:9" x14ac:dyDescent="0.3">
      <c r="G4796" s="26"/>
      <c r="H4796" s="26"/>
      <c r="I4796" s="26"/>
    </row>
    <row r="4797" spans="7:9" x14ac:dyDescent="0.3">
      <c r="G4797" s="26"/>
      <c r="H4797" s="26"/>
      <c r="I4797" s="26"/>
    </row>
    <row r="4798" spans="7:9" x14ac:dyDescent="0.3">
      <c r="G4798" s="26"/>
      <c r="H4798" s="26"/>
      <c r="I4798" s="26"/>
    </row>
    <row r="4799" spans="7:9" x14ac:dyDescent="0.3">
      <c r="G4799" s="26"/>
      <c r="H4799" s="26"/>
      <c r="I4799" s="26"/>
    </row>
    <row r="4800" spans="7:9" x14ac:dyDescent="0.3">
      <c r="G4800" s="26"/>
      <c r="H4800" s="26"/>
      <c r="I4800" s="26"/>
    </row>
    <row r="4801" spans="7:9" x14ac:dyDescent="0.3">
      <c r="G4801" s="26"/>
      <c r="H4801" s="26"/>
      <c r="I4801" s="26"/>
    </row>
    <row r="4802" spans="7:9" x14ac:dyDescent="0.3">
      <c r="G4802" s="26"/>
      <c r="H4802" s="26"/>
      <c r="I4802" s="26"/>
    </row>
    <row r="4803" spans="7:9" x14ac:dyDescent="0.3">
      <c r="G4803" s="26"/>
      <c r="H4803" s="26"/>
      <c r="I4803" s="26"/>
    </row>
    <row r="4804" spans="7:9" x14ac:dyDescent="0.3">
      <c r="G4804" s="26"/>
      <c r="H4804" s="26"/>
      <c r="I4804" s="26"/>
    </row>
    <row r="4805" spans="7:9" x14ac:dyDescent="0.3">
      <c r="G4805" s="26"/>
      <c r="H4805" s="26"/>
      <c r="I4805" s="26"/>
    </row>
    <row r="4806" spans="7:9" x14ac:dyDescent="0.3">
      <c r="G4806" s="26"/>
      <c r="H4806" s="26"/>
      <c r="I4806" s="26"/>
    </row>
    <row r="4807" spans="7:9" x14ac:dyDescent="0.3">
      <c r="G4807" s="26"/>
      <c r="H4807" s="26"/>
      <c r="I4807" s="26"/>
    </row>
    <row r="4808" spans="7:9" x14ac:dyDescent="0.3">
      <c r="G4808" s="26"/>
      <c r="H4808" s="26"/>
      <c r="I4808" s="26"/>
    </row>
    <row r="4809" spans="7:9" x14ac:dyDescent="0.3">
      <c r="G4809" s="26"/>
      <c r="H4809" s="26"/>
      <c r="I4809" s="26"/>
    </row>
    <row r="4810" spans="7:9" x14ac:dyDescent="0.3">
      <c r="G4810" s="26"/>
      <c r="H4810" s="26"/>
      <c r="I4810" s="26"/>
    </row>
    <row r="4811" spans="7:9" x14ac:dyDescent="0.3">
      <c r="G4811" s="26"/>
      <c r="H4811" s="26"/>
      <c r="I4811" s="26"/>
    </row>
    <row r="4812" spans="7:9" x14ac:dyDescent="0.3">
      <c r="G4812" s="26"/>
      <c r="H4812" s="26"/>
      <c r="I4812" s="26"/>
    </row>
    <row r="4813" spans="7:9" x14ac:dyDescent="0.3">
      <c r="G4813" s="26"/>
      <c r="H4813" s="26"/>
      <c r="I4813" s="26"/>
    </row>
    <row r="4814" spans="7:9" x14ac:dyDescent="0.3">
      <c r="G4814" s="26"/>
      <c r="H4814" s="26"/>
      <c r="I4814" s="26"/>
    </row>
    <row r="4815" spans="7:9" x14ac:dyDescent="0.3">
      <c r="G4815" s="26"/>
      <c r="H4815" s="26"/>
      <c r="I4815" s="26"/>
    </row>
    <row r="4816" spans="7:9" x14ac:dyDescent="0.3">
      <c r="G4816" s="26"/>
      <c r="H4816" s="26"/>
      <c r="I4816" s="26"/>
    </row>
    <row r="4817" spans="7:9" x14ac:dyDescent="0.3">
      <c r="G4817" s="26"/>
      <c r="H4817" s="26"/>
      <c r="I4817" s="26"/>
    </row>
    <row r="4818" spans="7:9" x14ac:dyDescent="0.3">
      <c r="G4818" s="26"/>
      <c r="H4818" s="26"/>
      <c r="I4818" s="26"/>
    </row>
    <row r="4819" spans="7:9" x14ac:dyDescent="0.3">
      <c r="G4819" s="26"/>
      <c r="H4819" s="26"/>
      <c r="I4819" s="26"/>
    </row>
    <row r="4820" spans="7:9" x14ac:dyDescent="0.3">
      <c r="G4820" s="26"/>
      <c r="H4820" s="26"/>
      <c r="I4820" s="26"/>
    </row>
    <row r="4821" spans="7:9" x14ac:dyDescent="0.3">
      <c r="G4821" s="26"/>
      <c r="H4821" s="26"/>
      <c r="I4821" s="26"/>
    </row>
    <row r="4822" spans="7:9" x14ac:dyDescent="0.3">
      <c r="G4822" s="26"/>
      <c r="H4822" s="26"/>
      <c r="I4822" s="26"/>
    </row>
    <row r="4823" spans="7:9" x14ac:dyDescent="0.3">
      <c r="G4823" s="26"/>
      <c r="H4823" s="26"/>
      <c r="I4823" s="26"/>
    </row>
    <row r="4824" spans="7:9" x14ac:dyDescent="0.3">
      <c r="G4824" s="26"/>
      <c r="H4824" s="26"/>
      <c r="I4824" s="26"/>
    </row>
    <row r="4825" spans="7:9" x14ac:dyDescent="0.3">
      <c r="G4825" s="26"/>
      <c r="H4825" s="26"/>
      <c r="I4825" s="26"/>
    </row>
    <row r="4826" spans="7:9" x14ac:dyDescent="0.3">
      <c r="G4826" s="26"/>
      <c r="H4826" s="26"/>
      <c r="I4826" s="26"/>
    </row>
    <row r="4827" spans="7:9" x14ac:dyDescent="0.3">
      <c r="G4827" s="26"/>
      <c r="H4827" s="26"/>
      <c r="I4827" s="26"/>
    </row>
    <row r="4828" spans="7:9" x14ac:dyDescent="0.3">
      <c r="G4828" s="26"/>
      <c r="H4828" s="26"/>
      <c r="I4828" s="26"/>
    </row>
    <row r="4829" spans="7:9" x14ac:dyDescent="0.3">
      <c r="G4829" s="26"/>
      <c r="H4829" s="26"/>
      <c r="I4829" s="26"/>
    </row>
    <row r="4830" spans="7:9" x14ac:dyDescent="0.3">
      <c r="G4830" s="26"/>
      <c r="H4830" s="26"/>
      <c r="I4830" s="26"/>
    </row>
    <row r="4831" spans="7:9" x14ac:dyDescent="0.3">
      <c r="G4831" s="26"/>
      <c r="H4831" s="26"/>
      <c r="I4831" s="26"/>
    </row>
    <row r="4832" spans="7:9" x14ac:dyDescent="0.3">
      <c r="G4832" s="26"/>
      <c r="H4832" s="26"/>
      <c r="I4832" s="26"/>
    </row>
    <row r="4833" spans="7:9" x14ac:dyDescent="0.3">
      <c r="G4833" s="26"/>
      <c r="H4833" s="26"/>
      <c r="I4833" s="26"/>
    </row>
    <row r="4834" spans="7:9" x14ac:dyDescent="0.3">
      <c r="G4834" s="26"/>
      <c r="H4834" s="26"/>
      <c r="I4834" s="26"/>
    </row>
    <row r="4835" spans="7:9" x14ac:dyDescent="0.3">
      <c r="G4835" s="26"/>
      <c r="H4835" s="26"/>
      <c r="I4835" s="26"/>
    </row>
    <row r="4836" spans="7:9" x14ac:dyDescent="0.3">
      <c r="G4836" s="26"/>
      <c r="H4836" s="26"/>
      <c r="I4836" s="26"/>
    </row>
    <row r="4837" spans="7:9" x14ac:dyDescent="0.3">
      <c r="G4837" s="26"/>
      <c r="H4837" s="26"/>
      <c r="I4837" s="26"/>
    </row>
    <row r="4838" spans="7:9" x14ac:dyDescent="0.3">
      <c r="G4838" s="26"/>
      <c r="H4838" s="26"/>
      <c r="I4838" s="26"/>
    </row>
    <row r="4839" spans="7:9" x14ac:dyDescent="0.3">
      <c r="G4839" s="26"/>
      <c r="H4839" s="26"/>
      <c r="I4839" s="26"/>
    </row>
    <row r="4840" spans="7:9" x14ac:dyDescent="0.3">
      <c r="G4840" s="26"/>
      <c r="H4840" s="26"/>
      <c r="I4840" s="26"/>
    </row>
    <row r="4841" spans="7:9" x14ac:dyDescent="0.3">
      <c r="G4841" s="26"/>
      <c r="H4841" s="26"/>
      <c r="I4841" s="26"/>
    </row>
    <row r="4842" spans="7:9" x14ac:dyDescent="0.3">
      <c r="G4842" s="26"/>
      <c r="H4842" s="26"/>
      <c r="I4842" s="26"/>
    </row>
    <row r="4843" spans="7:9" x14ac:dyDescent="0.3">
      <c r="G4843" s="26"/>
      <c r="H4843" s="26"/>
      <c r="I4843" s="26"/>
    </row>
    <row r="4844" spans="7:9" x14ac:dyDescent="0.3">
      <c r="G4844" s="26"/>
      <c r="H4844" s="26"/>
      <c r="I4844" s="26"/>
    </row>
    <row r="4845" spans="7:9" x14ac:dyDescent="0.3">
      <c r="G4845" s="26"/>
      <c r="H4845" s="26"/>
      <c r="I4845" s="26"/>
    </row>
    <row r="4846" spans="7:9" x14ac:dyDescent="0.3">
      <c r="G4846" s="26"/>
      <c r="H4846" s="26"/>
      <c r="I4846" s="26"/>
    </row>
    <row r="4847" spans="7:9" x14ac:dyDescent="0.3">
      <c r="G4847" s="26"/>
      <c r="H4847" s="26"/>
      <c r="I4847" s="26"/>
    </row>
    <row r="4848" spans="7:9" x14ac:dyDescent="0.3">
      <c r="G4848" s="26"/>
      <c r="H4848" s="26"/>
      <c r="I4848" s="26"/>
    </row>
    <row r="4849" spans="7:9" x14ac:dyDescent="0.3">
      <c r="G4849" s="26"/>
      <c r="H4849" s="26"/>
      <c r="I4849" s="26"/>
    </row>
    <row r="4850" spans="7:9" x14ac:dyDescent="0.3">
      <c r="G4850" s="26"/>
      <c r="H4850" s="26"/>
      <c r="I4850" s="26"/>
    </row>
    <row r="4851" spans="7:9" x14ac:dyDescent="0.3">
      <c r="G4851" s="26"/>
      <c r="H4851" s="26"/>
      <c r="I4851" s="26"/>
    </row>
    <row r="4852" spans="7:9" x14ac:dyDescent="0.3">
      <c r="G4852" s="26"/>
      <c r="H4852" s="26"/>
      <c r="I4852" s="26"/>
    </row>
    <row r="4853" spans="7:9" x14ac:dyDescent="0.3">
      <c r="G4853" s="26"/>
      <c r="H4853" s="26"/>
      <c r="I4853" s="26"/>
    </row>
    <row r="4854" spans="7:9" x14ac:dyDescent="0.3">
      <c r="G4854" s="26"/>
      <c r="H4854" s="26"/>
      <c r="I4854" s="26"/>
    </row>
    <row r="4855" spans="7:9" x14ac:dyDescent="0.3">
      <c r="G4855" s="26"/>
      <c r="H4855" s="26"/>
      <c r="I4855" s="26"/>
    </row>
    <row r="4856" spans="7:9" x14ac:dyDescent="0.3">
      <c r="G4856" s="26"/>
      <c r="H4856" s="26"/>
      <c r="I4856" s="26"/>
    </row>
    <row r="4857" spans="7:9" x14ac:dyDescent="0.3">
      <c r="G4857" s="26"/>
      <c r="H4857" s="26"/>
      <c r="I4857" s="26"/>
    </row>
    <row r="4858" spans="7:9" x14ac:dyDescent="0.3">
      <c r="G4858" s="26"/>
      <c r="H4858" s="26"/>
      <c r="I4858" s="26"/>
    </row>
    <row r="4859" spans="7:9" x14ac:dyDescent="0.3">
      <c r="G4859" s="26"/>
      <c r="H4859" s="26"/>
      <c r="I4859" s="26"/>
    </row>
    <row r="4860" spans="7:9" x14ac:dyDescent="0.3">
      <c r="G4860" s="26"/>
      <c r="H4860" s="26"/>
      <c r="I4860" s="26"/>
    </row>
    <row r="4861" spans="7:9" x14ac:dyDescent="0.3">
      <c r="G4861" s="26"/>
      <c r="H4861" s="26"/>
      <c r="I4861" s="26"/>
    </row>
    <row r="4862" spans="7:9" x14ac:dyDescent="0.3">
      <c r="G4862" s="26"/>
      <c r="H4862" s="26"/>
      <c r="I4862" s="26"/>
    </row>
    <row r="4863" spans="7:9" x14ac:dyDescent="0.3">
      <c r="G4863" s="26"/>
      <c r="H4863" s="26"/>
      <c r="I4863" s="26"/>
    </row>
    <row r="4864" spans="7:9" x14ac:dyDescent="0.3">
      <c r="G4864" s="26"/>
      <c r="H4864" s="26"/>
      <c r="I4864" s="26"/>
    </row>
    <row r="4865" spans="7:9" x14ac:dyDescent="0.3">
      <c r="G4865" s="26"/>
      <c r="H4865" s="26"/>
      <c r="I4865" s="26"/>
    </row>
    <row r="4866" spans="7:9" x14ac:dyDescent="0.3">
      <c r="G4866" s="26"/>
      <c r="H4866" s="26"/>
      <c r="I4866" s="26"/>
    </row>
    <row r="4867" spans="7:9" x14ac:dyDescent="0.3">
      <c r="G4867" s="26"/>
      <c r="H4867" s="26"/>
      <c r="I4867" s="26"/>
    </row>
    <row r="4868" spans="7:9" x14ac:dyDescent="0.3">
      <c r="G4868" s="26"/>
      <c r="H4868" s="26"/>
      <c r="I4868" s="26"/>
    </row>
    <row r="4869" spans="7:9" x14ac:dyDescent="0.3">
      <c r="G4869" s="26"/>
      <c r="H4869" s="26"/>
      <c r="I4869" s="26"/>
    </row>
    <row r="4870" spans="7:9" x14ac:dyDescent="0.3">
      <c r="G4870" s="26"/>
      <c r="H4870" s="26"/>
      <c r="I4870" s="26"/>
    </row>
    <row r="4871" spans="7:9" x14ac:dyDescent="0.3">
      <c r="G4871" s="26"/>
      <c r="H4871" s="26"/>
      <c r="I4871" s="26"/>
    </row>
    <row r="4872" spans="7:9" x14ac:dyDescent="0.3">
      <c r="G4872" s="26"/>
      <c r="H4872" s="26"/>
      <c r="I4872" s="26"/>
    </row>
    <row r="4873" spans="7:9" x14ac:dyDescent="0.3">
      <c r="G4873" s="26"/>
      <c r="H4873" s="26"/>
      <c r="I4873" s="26"/>
    </row>
    <row r="4874" spans="7:9" x14ac:dyDescent="0.3">
      <c r="G4874" s="26"/>
      <c r="H4874" s="26"/>
      <c r="I4874" s="26"/>
    </row>
    <row r="4875" spans="7:9" x14ac:dyDescent="0.3">
      <c r="G4875" s="26"/>
      <c r="H4875" s="26"/>
      <c r="I4875" s="26"/>
    </row>
    <row r="4876" spans="7:9" x14ac:dyDescent="0.3">
      <c r="G4876" s="26"/>
      <c r="H4876" s="26"/>
      <c r="I4876" s="26"/>
    </row>
    <row r="4877" spans="7:9" x14ac:dyDescent="0.3">
      <c r="G4877" s="26"/>
      <c r="H4877" s="26"/>
      <c r="I4877" s="26"/>
    </row>
    <row r="4878" spans="7:9" x14ac:dyDescent="0.3">
      <c r="G4878" s="26"/>
      <c r="H4878" s="26"/>
      <c r="I4878" s="26"/>
    </row>
    <row r="4879" spans="7:9" x14ac:dyDescent="0.3">
      <c r="G4879" s="26"/>
      <c r="H4879" s="26"/>
      <c r="I4879" s="26"/>
    </row>
    <row r="4880" spans="7:9" x14ac:dyDescent="0.3">
      <c r="G4880" s="26"/>
      <c r="H4880" s="26"/>
      <c r="I4880" s="26"/>
    </row>
    <row r="4881" spans="7:9" x14ac:dyDescent="0.3">
      <c r="G4881" s="26"/>
      <c r="H4881" s="26"/>
      <c r="I4881" s="26"/>
    </row>
    <row r="4882" spans="7:9" x14ac:dyDescent="0.3">
      <c r="G4882" s="26"/>
      <c r="H4882" s="26"/>
      <c r="I4882" s="26"/>
    </row>
    <row r="4883" spans="7:9" x14ac:dyDescent="0.3">
      <c r="G4883" s="26"/>
      <c r="H4883" s="26"/>
      <c r="I4883" s="26"/>
    </row>
    <row r="4884" spans="7:9" x14ac:dyDescent="0.3">
      <c r="G4884" s="26"/>
      <c r="H4884" s="26"/>
      <c r="I4884" s="26"/>
    </row>
    <row r="4885" spans="7:9" x14ac:dyDescent="0.3">
      <c r="G4885" s="26"/>
      <c r="H4885" s="26"/>
      <c r="I4885" s="26"/>
    </row>
    <row r="4886" spans="7:9" x14ac:dyDescent="0.3">
      <c r="G4886" s="26"/>
      <c r="H4886" s="26"/>
      <c r="I4886" s="26"/>
    </row>
    <row r="4887" spans="7:9" x14ac:dyDescent="0.3">
      <c r="G4887" s="26"/>
      <c r="H4887" s="26"/>
      <c r="I4887" s="26"/>
    </row>
    <row r="4888" spans="7:9" x14ac:dyDescent="0.3">
      <c r="G4888" s="26"/>
      <c r="H4888" s="26"/>
      <c r="I4888" s="26"/>
    </row>
    <row r="4889" spans="7:9" x14ac:dyDescent="0.3">
      <c r="G4889" s="26"/>
      <c r="H4889" s="26"/>
      <c r="I4889" s="26"/>
    </row>
    <row r="4890" spans="7:9" x14ac:dyDescent="0.3">
      <c r="G4890" s="26"/>
      <c r="H4890" s="26"/>
      <c r="I4890" s="26"/>
    </row>
    <row r="4891" spans="7:9" x14ac:dyDescent="0.3">
      <c r="G4891" s="26"/>
      <c r="H4891" s="26"/>
      <c r="I4891" s="26"/>
    </row>
    <row r="4892" spans="7:9" x14ac:dyDescent="0.3">
      <c r="G4892" s="26"/>
      <c r="H4892" s="26"/>
      <c r="I4892" s="26"/>
    </row>
    <row r="4893" spans="7:9" x14ac:dyDescent="0.3">
      <c r="G4893" s="26"/>
      <c r="H4893" s="26"/>
      <c r="I4893" s="26"/>
    </row>
    <row r="4894" spans="7:9" x14ac:dyDescent="0.3">
      <c r="G4894" s="26"/>
      <c r="H4894" s="26"/>
      <c r="I4894" s="26"/>
    </row>
    <row r="4895" spans="7:9" x14ac:dyDescent="0.3">
      <c r="G4895" s="26"/>
      <c r="H4895" s="26"/>
      <c r="I4895" s="26"/>
    </row>
    <row r="4896" spans="7:9" x14ac:dyDescent="0.3">
      <c r="G4896" s="26"/>
      <c r="H4896" s="26"/>
      <c r="I4896" s="26"/>
    </row>
    <row r="4897" spans="7:9" x14ac:dyDescent="0.3">
      <c r="G4897" s="26"/>
      <c r="H4897" s="26"/>
      <c r="I4897" s="26"/>
    </row>
    <row r="4898" spans="7:9" x14ac:dyDescent="0.3">
      <c r="G4898" s="26"/>
      <c r="H4898" s="26"/>
      <c r="I4898" s="26"/>
    </row>
    <row r="4899" spans="7:9" x14ac:dyDescent="0.3">
      <c r="G4899" s="26"/>
      <c r="H4899" s="26"/>
      <c r="I4899" s="26"/>
    </row>
    <row r="4900" spans="7:9" x14ac:dyDescent="0.3">
      <c r="G4900" s="26"/>
      <c r="H4900" s="26"/>
      <c r="I4900" s="26"/>
    </row>
    <row r="4901" spans="7:9" x14ac:dyDescent="0.3">
      <c r="G4901" s="26"/>
      <c r="H4901" s="26"/>
      <c r="I4901" s="26"/>
    </row>
    <row r="4902" spans="7:9" x14ac:dyDescent="0.3">
      <c r="G4902" s="26"/>
      <c r="H4902" s="26"/>
      <c r="I4902" s="26"/>
    </row>
    <row r="4903" spans="7:9" x14ac:dyDescent="0.3">
      <c r="G4903" s="26"/>
      <c r="H4903" s="26"/>
      <c r="I4903" s="26"/>
    </row>
    <row r="4904" spans="7:9" x14ac:dyDescent="0.3">
      <c r="G4904" s="26"/>
      <c r="H4904" s="26"/>
      <c r="I4904" s="26"/>
    </row>
    <row r="4905" spans="7:9" x14ac:dyDescent="0.3">
      <c r="G4905" s="26"/>
      <c r="H4905" s="26"/>
      <c r="I4905" s="26"/>
    </row>
    <row r="4906" spans="7:9" x14ac:dyDescent="0.3">
      <c r="G4906" s="26"/>
      <c r="H4906" s="26"/>
      <c r="I4906" s="26"/>
    </row>
    <row r="4907" spans="7:9" x14ac:dyDescent="0.3">
      <c r="G4907" s="26"/>
      <c r="H4907" s="26"/>
      <c r="I4907" s="26"/>
    </row>
    <row r="4908" spans="7:9" x14ac:dyDescent="0.3">
      <c r="G4908" s="26"/>
      <c r="H4908" s="26"/>
      <c r="I4908" s="26"/>
    </row>
    <row r="4909" spans="7:9" x14ac:dyDescent="0.3">
      <c r="G4909" s="26"/>
      <c r="H4909" s="26"/>
      <c r="I4909" s="26"/>
    </row>
    <row r="4910" spans="7:9" x14ac:dyDescent="0.3">
      <c r="G4910" s="26"/>
      <c r="H4910" s="26"/>
      <c r="I4910" s="26"/>
    </row>
    <row r="4911" spans="7:9" x14ac:dyDescent="0.3">
      <c r="G4911" s="26"/>
      <c r="H4911" s="26"/>
      <c r="I4911" s="26"/>
    </row>
    <row r="4912" spans="7:9" x14ac:dyDescent="0.3">
      <c r="G4912" s="26"/>
      <c r="H4912" s="26"/>
      <c r="I4912" s="26"/>
    </row>
    <row r="4913" spans="7:9" x14ac:dyDescent="0.3">
      <c r="G4913" s="26"/>
      <c r="H4913" s="26"/>
      <c r="I4913" s="26"/>
    </row>
    <row r="4914" spans="7:9" x14ac:dyDescent="0.3">
      <c r="G4914" s="26"/>
      <c r="H4914" s="26"/>
      <c r="I4914" s="26"/>
    </row>
    <row r="4915" spans="7:9" x14ac:dyDescent="0.3">
      <c r="G4915" s="26"/>
      <c r="H4915" s="26"/>
      <c r="I4915" s="26"/>
    </row>
    <row r="4916" spans="7:9" x14ac:dyDescent="0.3">
      <c r="G4916" s="26"/>
      <c r="H4916" s="26"/>
      <c r="I4916" s="26"/>
    </row>
    <row r="4917" spans="7:9" x14ac:dyDescent="0.3">
      <c r="G4917" s="26"/>
      <c r="H4917" s="26"/>
      <c r="I4917" s="26"/>
    </row>
    <row r="4918" spans="7:9" x14ac:dyDescent="0.3">
      <c r="G4918" s="26"/>
      <c r="H4918" s="26"/>
      <c r="I4918" s="26"/>
    </row>
    <row r="4919" spans="7:9" x14ac:dyDescent="0.3">
      <c r="G4919" s="26"/>
      <c r="H4919" s="26"/>
      <c r="I4919" s="26"/>
    </row>
    <row r="4920" spans="7:9" x14ac:dyDescent="0.3">
      <c r="G4920" s="26"/>
      <c r="H4920" s="26"/>
      <c r="I4920" s="26"/>
    </row>
    <row r="4921" spans="7:9" x14ac:dyDescent="0.3">
      <c r="G4921" s="26"/>
      <c r="H4921" s="26"/>
      <c r="I4921" s="26"/>
    </row>
    <row r="4922" spans="7:9" x14ac:dyDescent="0.3">
      <c r="G4922" s="26"/>
      <c r="H4922" s="26"/>
      <c r="I4922" s="26"/>
    </row>
    <row r="4923" spans="7:9" x14ac:dyDescent="0.3">
      <c r="G4923" s="26"/>
      <c r="H4923" s="26"/>
      <c r="I4923" s="26"/>
    </row>
    <row r="4924" spans="7:9" x14ac:dyDescent="0.3">
      <c r="G4924" s="26"/>
      <c r="H4924" s="26"/>
      <c r="I4924" s="26"/>
    </row>
    <row r="4925" spans="7:9" x14ac:dyDescent="0.3">
      <c r="G4925" s="26"/>
      <c r="H4925" s="26"/>
      <c r="I4925" s="26"/>
    </row>
    <row r="4926" spans="7:9" x14ac:dyDescent="0.3">
      <c r="G4926" s="26"/>
      <c r="H4926" s="26"/>
      <c r="I4926" s="26"/>
    </row>
    <row r="4927" spans="7:9" x14ac:dyDescent="0.3">
      <c r="G4927" s="26"/>
      <c r="H4927" s="26"/>
      <c r="I4927" s="26"/>
    </row>
    <row r="4928" spans="7:9" x14ac:dyDescent="0.3">
      <c r="G4928" s="26"/>
      <c r="H4928" s="26"/>
      <c r="I4928" s="26"/>
    </row>
    <row r="4929" spans="7:9" x14ac:dyDescent="0.3">
      <c r="G4929" s="26"/>
      <c r="H4929" s="26"/>
      <c r="I4929" s="26"/>
    </row>
    <row r="4930" spans="7:9" x14ac:dyDescent="0.3">
      <c r="G4930" s="26"/>
      <c r="H4930" s="26"/>
      <c r="I4930" s="26"/>
    </row>
    <row r="4931" spans="7:9" x14ac:dyDescent="0.3">
      <c r="G4931" s="26"/>
      <c r="H4931" s="26"/>
      <c r="I4931" s="26"/>
    </row>
    <row r="4932" spans="7:9" x14ac:dyDescent="0.3">
      <c r="G4932" s="26"/>
      <c r="H4932" s="26"/>
      <c r="I4932" s="26"/>
    </row>
    <row r="4933" spans="7:9" x14ac:dyDescent="0.3">
      <c r="G4933" s="26"/>
      <c r="H4933" s="26"/>
      <c r="I4933" s="26"/>
    </row>
    <row r="4934" spans="7:9" x14ac:dyDescent="0.3">
      <c r="G4934" s="26"/>
      <c r="H4934" s="26"/>
      <c r="I4934" s="26"/>
    </row>
    <row r="4935" spans="7:9" x14ac:dyDescent="0.3">
      <c r="G4935" s="26"/>
      <c r="H4935" s="26"/>
      <c r="I4935" s="26"/>
    </row>
    <row r="4936" spans="7:9" x14ac:dyDescent="0.3">
      <c r="G4936" s="26"/>
      <c r="H4936" s="26"/>
      <c r="I4936" s="26"/>
    </row>
    <row r="4937" spans="7:9" x14ac:dyDescent="0.3">
      <c r="G4937" s="26"/>
      <c r="H4937" s="26"/>
      <c r="I4937" s="26"/>
    </row>
    <row r="4938" spans="7:9" x14ac:dyDescent="0.3">
      <c r="G4938" s="26"/>
      <c r="H4938" s="26"/>
      <c r="I4938" s="26"/>
    </row>
    <row r="4939" spans="7:9" x14ac:dyDescent="0.3">
      <c r="G4939" s="26"/>
      <c r="H4939" s="26"/>
      <c r="I4939" s="26"/>
    </row>
    <row r="4940" spans="7:9" x14ac:dyDescent="0.3">
      <c r="G4940" s="26"/>
      <c r="H4940" s="26"/>
      <c r="I4940" s="26"/>
    </row>
    <row r="4941" spans="7:9" x14ac:dyDescent="0.3">
      <c r="G4941" s="26"/>
      <c r="H4941" s="26"/>
      <c r="I4941" s="26"/>
    </row>
    <row r="4942" spans="7:9" x14ac:dyDescent="0.3">
      <c r="G4942" s="26"/>
      <c r="H4942" s="26"/>
      <c r="I4942" s="26"/>
    </row>
    <row r="4943" spans="7:9" x14ac:dyDescent="0.3">
      <c r="G4943" s="26"/>
      <c r="H4943" s="26"/>
      <c r="I4943" s="26"/>
    </row>
    <row r="4944" spans="7:9" x14ac:dyDescent="0.3">
      <c r="G4944" s="26"/>
      <c r="H4944" s="26"/>
      <c r="I4944" s="26"/>
    </row>
    <row r="4945" spans="7:9" x14ac:dyDescent="0.3">
      <c r="G4945" s="26"/>
      <c r="H4945" s="26"/>
      <c r="I4945" s="26"/>
    </row>
    <row r="4946" spans="7:9" x14ac:dyDescent="0.3">
      <c r="G4946" s="26"/>
      <c r="H4946" s="26"/>
      <c r="I4946" s="26"/>
    </row>
    <row r="4947" spans="7:9" x14ac:dyDescent="0.3">
      <c r="G4947" s="26"/>
      <c r="H4947" s="26"/>
      <c r="I4947" s="26"/>
    </row>
    <row r="4948" spans="7:9" x14ac:dyDescent="0.3">
      <c r="G4948" s="26"/>
      <c r="H4948" s="26"/>
      <c r="I4948" s="26"/>
    </row>
    <row r="4949" spans="7:9" x14ac:dyDescent="0.3">
      <c r="G4949" s="26"/>
      <c r="H4949" s="26"/>
      <c r="I4949" s="26"/>
    </row>
    <row r="4950" spans="7:9" x14ac:dyDescent="0.3">
      <c r="G4950" s="26"/>
      <c r="H4950" s="26"/>
      <c r="I4950" s="26"/>
    </row>
    <row r="4951" spans="7:9" x14ac:dyDescent="0.3">
      <c r="G4951" s="26"/>
      <c r="H4951" s="26"/>
      <c r="I4951" s="26"/>
    </row>
    <row r="4952" spans="7:9" x14ac:dyDescent="0.3">
      <c r="G4952" s="26"/>
      <c r="H4952" s="26"/>
      <c r="I4952" s="26"/>
    </row>
    <row r="4953" spans="7:9" x14ac:dyDescent="0.3">
      <c r="G4953" s="26"/>
      <c r="H4953" s="26"/>
      <c r="I4953" s="26"/>
    </row>
    <row r="4954" spans="7:9" x14ac:dyDescent="0.3">
      <c r="G4954" s="26"/>
      <c r="H4954" s="26"/>
      <c r="I4954" s="26"/>
    </row>
    <row r="4955" spans="7:9" x14ac:dyDescent="0.3">
      <c r="G4955" s="26"/>
      <c r="H4955" s="26"/>
      <c r="I4955" s="26"/>
    </row>
    <row r="4956" spans="7:9" x14ac:dyDescent="0.3">
      <c r="G4956" s="26"/>
      <c r="H4956" s="26"/>
      <c r="I4956" s="26"/>
    </row>
    <row r="4957" spans="7:9" x14ac:dyDescent="0.3">
      <c r="G4957" s="26"/>
      <c r="H4957" s="26"/>
      <c r="I4957" s="26"/>
    </row>
    <row r="4958" spans="7:9" x14ac:dyDescent="0.3">
      <c r="G4958" s="26"/>
      <c r="H4958" s="26"/>
      <c r="I4958" s="26"/>
    </row>
    <row r="4959" spans="7:9" x14ac:dyDescent="0.3">
      <c r="G4959" s="26"/>
      <c r="H4959" s="26"/>
      <c r="I4959" s="26"/>
    </row>
    <row r="4960" spans="7:9" x14ac:dyDescent="0.3">
      <c r="G4960" s="26"/>
      <c r="H4960" s="26"/>
      <c r="I4960" s="26"/>
    </row>
    <row r="4961" spans="7:9" x14ac:dyDescent="0.3">
      <c r="G4961" s="26"/>
      <c r="H4961" s="26"/>
      <c r="I4961" s="26"/>
    </row>
    <row r="4962" spans="7:9" x14ac:dyDescent="0.3">
      <c r="G4962" s="26"/>
      <c r="H4962" s="26"/>
      <c r="I4962" s="26"/>
    </row>
    <row r="4963" spans="7:9" x14ac:dyDescent="0.3">
      <c r="G4963" s="26"/>
      <c r="H4963" s="26"/>
      <c r="I4963" s="26"/>
    </row>
    <row r="4964" spans="7:9" x14ac:dyDescent="0.3">
      <c r="G4964" s="26"/>
      <c r="H4964" s="26"/>
      <c r="I4964" s="26"/>
    </row>
    <row r="4965" spans="7:9" x14ac:dyDescent="0.3">
      <c r="G4965" s="26"/>
      <c r="H4965" s="26"/>
      <c r="I4965" s="26"/>
    </row>
    <row r="4966" spans="7:9" x14ac:dyDescent="0.3">
      <c r="G4966" s="26"/>
      <c r="H4966" s="26"/>
      <c r="I4966" s="26"/>
    </row>
    <row r="4967" spans="7:9" x14ac:dyDescent="0.3">
      <c r="G4967" s="26"/>
      <c r="H4967" s="26"/>
      <c r="I4967" s="26"/>
    </row>
    <row r="4968" spans="7:9" x14ac:dyDescent="0.3">
      <c r="G4968" s="26"/>
      <c r="H4968" s="26"/>
      <c r="I4968" s="26"/>
    </row>
    <row r="4969" spans="7:9" x14ac:dyDescent="0.3">
      <c r="G4969" s="26"/>
      <c r="H4969" s="26"/>
      <c r="I4969" s="26"/>
    </row>
    <row r="4970" spans="7:9" x14ac:dyDescent="0.3">
      <c r="G4970" s="26"/>
      <c r="H4970" s="26"/>
      <c r="I4970" s="26"/>
    </row>
    <row r="4971" spans="7:9" x14ac:dyDescent="0.3">
      <c r="G4971" s="26"/>
      <c r="H4971" s="26"/>
      <c r="I4971" s="26"/>
    </row>
    <row r="4972" spans="7:9" x14ac:dyDescent="0.3">
      <c r="G4972" s="26"/>
      <c r="H4972" s="26"/>
      <c r="I4972" s="26"/>
    </row>
    <row r="4973" spans="7:9" x14ac:dyDescent="0.3">
      <c r="G4973" s="26"/>
      <c r="H4973" s="26"/>
      <c r="I4973" s="26"/>
    </row>
    <row r="4974" spans="7:9" x14ac:dyDescent="0.3">
      <c r="G4974" s="26"/>
      <c r="H4974" s="26"/>
      <c r="I4974" s="26"/>
    </row>
    <row r="4975" spans="7:9" x14ac:dyDescent="0.3">
      <c r="G4975" s="26"/>
      <c r="H4975" s="26"/>
      <c r="I4975" s="26"/>
    </row>
    <row r="4976" spans="7:9" x14ac:dyDescent="0.3">
      <c r="G4976" s="26"/>
      <c r="H4976" s="26"/>
      <c r="I4976" s="26"/>
    </row>
    <row r="4977" spans="7:9" x14ac:dyDescent="0.3">
      <c r="G4977" s="26"/>
      <c r="H4977" s="26"/>
      <c r="I4977" s="26"/>
    </row>
    <row r="4978" spans="7:9" x14ac:dyDescent="0.3">
      <c r="G4978" s="26"/>
      <c r="H4978" s="26"/>
      <c r="I4978" s="26"/>
    </row>
    <row r="4979" spans="7:9" x14ac:dyDescent="0.3">
      <c r="G4979" s="26"/>
      <c r="H4979" s="26"/>
      <c r="I4979" s="26"/>
    </row>
    <row r="4980" spans="7:9" x14ac:dyDescent="0.3">
      <c r="G4980" s="26"/>
      <c r="H4980" s="26"/>
      <c r="I4980" s="26"/>
    </row>
    <row r="4981" spans="7:9" x14ac:dyDescent="0.3">
      <c r="G4981" s="26"/>
      <c r="H4981" s="26"/>
      <c r="I4981" s="26"/>
    </row>
    <row r="4982" spans="7:9" x14ac:dyDescent="0.3">
      <c r="G4982" s="26"/>
      <c r="H4982" s="26"/>
      <c r="I4982" s="26"/>
    </row>
    <row r="4983" spans="7:9" x14ac:dyDescent="0.3">
      <c r="G4983" s="26"/>
      <c r="H4983" s="26"/>
      <c r="I4983" s="26"/>
    </row>
    <row r="4984" spans="7:9" x14ac:dyDescent="0.3">
      <c r="G4984" s="26"/>
      <c r="H4984" s="26"/>
      <c r="I4984" s="26"/>
    </row>
    <row r="4985" spans="7:9" x14ac:dyDescent="0.3">
      <c r="G4985" s="26"/>
      <c r="H4985" s="26"/>
      <c r="I4985" s="26"/>
    </row>
    <row r="4986" spans="7:9" x14ac:dyDescent="0.3">
      <c r="G4986" s="26"/>
      <c r="H4986" s="26"/>
      <c r="I4986" s="26"/>
    </row>
    <row r="4987" spans="7:9" x14ac:dyDescent="0.3">
      <c r="G4987" s="26"/>
      <c r="H4987" s="26"/>
      <c r="I4987" s="26"/>
    </row>
    <row r="4988" spans="7:9" x14ac:dyDescent="0.3">
      <c r="G4988" s="26"/>
      <c r="H4988" s="26"/>
      <c r="I4988" s="26"/>
    </row>
    <row r="4989" spans="7:9" x14ac:dyDescent="0.3">
      <c r="G4989" s="26"/>
      <c r="H4989" s="26"/>
      <c r="I4989" s="26"/>
    </row>
    <row r="4990" spans="7:9" x14ac:dyDescent="0.3">
      <c r="G4990" s="26"/>
      <c r="H4990" s="26"/>
      <c r="I4990" s="26"/>
    </row>
    <row r="4991" spans="7:9" x14ac:dyDescent="0.3">
      <c r="G4991" s="26"/>
      <c r="H4991" s="26"/>
      <c r="I4991" s="26"/>
    </row>
    <row r="4992" spans="7:9" x14ac:dyDescent="0.3">
      <c r="G4992" s="26"/>
      <c r="H4992" s="26"/>
      <c r="I4992" s="26"/>
    </row>
    <row r="4993" spans="7:9" x14ac:dyDescent="0.3">
      <c r="G4993" s="26"/>
      <c r="H4993" s="26"/>
      <c r="I4993" s="26"/>
    </row>
    <row r="4994" spans="7:9" x14ac:dyDescent="0.3">
      <c r="G4994" s="26"/>
      <c r="H4994" s="26"/>
      <c r="I4994" s="26"/>
    </row>
  </sheetData>
  <mergeCells count="190">
    <mergeCell ref="G118:G119"/>
    <mergeCell ref="G120:H120"/>
    <mergeCell ref="G112:H112"/>
    <mergeCell ref="G113:H113"/>
    <mergeCell ref="G114:H114"/>
    <mergeCell ref="G115:H115"/>
    <mergeCell ref="G116:H116"/>
    <mergeCell ref="G117:H117"/>
    <mergeCell ref="G103:G104"/>
    <mergeCell ref="G105:H105"/>
    <mergeCell ref="H107:I107"/>
    <mergeCell ref="G108:H108"/>
    <mergeCell ref="G109:H109"/>
    <mergeCell ref="G110:G111"/>
    <mergeCell ref="G97:H97"/>
    <mergeCell ref="G98:H98"/>
    <mergeCell ref="G99:H99"/>
    <mergeCell ref="G100:H100"/>
    <mergeCell ref="G101:H101"/>
    <mergeCell ref="G102:H102"/>
    <mergeCell ref="G88:G89"/>
    <mergeCell ref="G90:H90"/>
    <mergeCell ref="H92:I92"/>
    <mergeCell ref="G93:H93"/>
    <mergeCell ref="G94:H94"/>
    <mergeCell ref="G95:G96"/>
    <mergeCell ref="G82:H82"/>
    <mergeCell ref="G83:H83"/>
    <mergeCell ref="G84:H84"/>
    <mergeCell ref="G85:H85"/>
    <mergeCell ref="G86:H86"/>
    <mergeCell ref="G87:H87"/>
    <mergeCell ref="G73:G74"/>
    <mergeCell ref="G75:H75"/>
    <mergeCell ref="H77:I77"/>
    <mergeCell ref="G78:H78"/>
    <mergeCell ref="G79:H79"/>
    <mergeCell ref="G80:G81"/>
    <mergeCell ref="G67:H67"/>
    <mergeCell ref="G68:H68"/>
    <mergeCell ref="G69:H69"/>
    <mergeCell ref="G70:H70"/>
    <mergeCell ref="G71:H71"/>
    <mergeCell ref="G72:H72"/>
    <mergeCell ref="G58:G59"/>
    <mergeCell ref="G60:H60"/>
    <mergeCell ref="H62:I62"/>
    <mergeCell ref="G63:H63"/>
    <mergeCell ref="G64:H64"/>
    <mergeCell ref="G65:G66"/>
    <mergeCell ref="G34:H34"/>
    <mergeCell ref="G35:G36"/>
    <mergeCell ref="G52:H52"/>
    <mergeCell ref="G53:H53"/>
    <mergeCell ref="G54:H54"/>
    <mergeCell ref="G55:H55"/>
    <mergeCell ref="G56:H56"/>
    <mergeCell ref="G57:H57"/>
    <mergeCell ref="G43:G44"/>
    <mergeCell ref="G45:H45"/>
    <mergeCell ref="H47:I47"/>
    <mergeCell ref="G48:H48"/>
    <mergeCell ref="G49:H49"/>
    <mergeCell ref="G50:G51"/>
    <mergeCell ref="G22:H22"/>
    <mergeCell ref="G23:H23"/>
    <mergeCell ref="G24:H24"/>
    <mergeCell ref="G25:H25"/>
    <mergeCell ref="G26:H26"/>
    <mergeCell ref="G27:H27"/>
    <mergeCell ref="AQ69:AR69"/>
    <mergeCell ref="AI70:AI73"/>
    <mergeCell ref="AV70:AV73"/>
    <mergeCell ref="AQ25:AR25"/>
    <mergeCell ref="AI26:AI29"/>
    <mergeCell ref="AV26:AV29"/>
    <mergeCell ref="AI37:AI40"/>
    <mergeCell ref="AV37:AV40"/>
    <mergeCell ref="G37:H37"/>
    <mergeCell ref="G38:H38"/>
    <mergeCell ref="G39:H39"/>
    <mergeCell ref="G40:H40"/>
    <mergeCell ref="G41:H41"/>
    <mergeCell ref="G42:H42"/>
    <mergeCell ref="G28:G29"/>
    <mergeCell ref="G30:H30"/>
    <mergeCell ref="H32:I32"/>
    <mergeCell ref="G33:H33"/>
    <mergeCell ref="AI74:AI77"/>
    <mergeCell ref="AV74:AV77"/>
    <mergeCell ref="AX74:AX77"/>
    <mergeCell ref="AY74:AY77"/>
    <mergeCell ref="AX52:AX55"/>
    <mergeCell ref="AY52:AY55"/>
    <mergeCell ref="AI63:AI66"/>
    <mergeCell ref="AV63:AV66"/>
    <mergeCell ref="AX63:AX66"/>
    <mergeCell ref="AY63:AY66"/>
    <mergeCell ref="AI68:AY68"/>
    <mergeCell ref="AL69:AN69"/>
    <mergeCell ref="AI57:AY57"/>
    <mergeCell ref="AL58:AN58"/>
    <mergeCell ref="AQ58:AR58"/>
    <mergeCell ref="AI59:AI62"/>
    <mergeCell ref="AV59:AV62"/>
    <mergeCell ref="AX59:AX62"/>
    <mergeCell ref="AY59:AY62"/>
    <mergeCell ref="AI52:AI55"/>
    <mergeCell ref="AV52:AV55"/>
    <mergeCell ref="AI46:AY46"/>
    <mergeCell ref="AL47:AN47"/>
    <mergeCell ref="AQ47:AR47"/>
    <mergeCell ref="AI48:AI51"/>
    <mergeCell ref="AV48:AV51"/>
    <mergeCell ref="AX48:AX51"/>
    <mergeCell ref="AY48:AY51"/>
    <mergeCell ref="AX70:AX73"/>
    <mergeCell ref="AY70:AY73"/>
    <mergeCell ref="AI41:AI44"/>
    <mergeCell ref="AV41:AV44"/>
    <mergeCell ref="AI35:AY35"/>
    <mergeCell ref="AL36:AN36"/>
    <mergeCell ref="AQ36:AR36"/>
    <mergeCell ref="AI24:AY24"/>
    <mergeCell ref="AL25:AN25"/>
    <mergeCell ref="AX26:AX29"/>
    <mergeCell ref="AY26:AY29"/>
    <mergeCell ref="AI30:AI33"/>
    <mergeCell ref="AV30:AV33"/>
    <mergeCell ref="AX30:AX33"/>
    <mergeCell ref="AY30:AY33"/>
    <mergeCell ref="AX41:AX44"/>
    <mergeCell ref="AY41:AY44"/>
    <mergeCell ref="G19:H19"/>
    <mergeCell ref="G20:G21"/>
    <mergeCell ref="G13:G14"/>
    <mergeCell ref="G15:H15"/>
    <mergeCell ref="G9:H9"/>
    <mergeCell ref="G10:H10"/>
    <mergeCell ref="G11:H11"/>
    <mergeCell ref="AX37:AX40"/>
    <mergeCell ref="AY37:AY40"/>
    <mergeCell ref="AI8:AI11"/>
    <mergeCell ref="AV8:AV11"/>
    <mergeCell ref="AX8:AX11"/>
    <mergeCell ref="AY8:AY11"/>
    <mergeCell ref="AI19:AI22"/>
    <mergeCell ref="AV19:AV22"/>
    <mergeCell ref="AX19:AX22"/>
    <mergeCell ref="AY19:AY22"/>
    <mergeCell ref="AI13:AY13"/>
    <mergeCell ref="AL14:AN14"/>
    <mergeCell ref="AQ14:AR14"/>
    <mergeCell ref="AI15:AI18"/>
    <mergeCell ref="AV15:AV18"/>
    <mergeCell ref="AX15:AX18"/>
    <mergeCell ref="AY15:AY18"/>
    <mergeCell ref="BF3:BF4"/>
    <mergeCell ref="G4:H4"/>
    <mergeCell ref="AI4:AI7"/>
    <mergeCell ref="AV4:AV7"/>
    <mergeCell ref="AX4:AX7"/>
    <mergeCell ref="AY4:AY7"/>
    <mergeCell ref="BD4:BE4"/>
    <mergeCell ref="G18:H18"/>
    <mergeCell ref="H17:I17"/>
    <mergeCell ref="AI2:AY2"/>
    <mergeCell ref="BA2:BF2"/>
    <mergeCell ref="G3:H3"/>
    <mergeCell ref="AL3:AN3"/>
    <mergeCell ref="AQ3:AR3"/>
    <mergeCell ref="BA3:BA4"/>
    <mergeCell ref="AB2:AB4"/>
    <mergeCell ref="AC2:AC4"/>
    <mergeCell ref="AD2:AD4"/>
    <mergeCell ref="AE2:AE4"/>
    <mergeCell ref="AF2:AF4"/>
    <mergeCell ref="AG2:AG4"/>
    <mergeCell ref="K2:Q26"/>
    <mergeCell ref="S2:T2"/>
    <mergeCell ref="V2:V4"/>
    <mergeCell ref="W2:X3"/>
    <mergeCell ref="Y2:Z3"/>
    <mergeCell ref="AA2:AA4"/>
    <mergeCell ref="H2:I2"/>
    <mergeCell ref="G5:G6"/>
    <mergeCell ref="G7:H7"/>
    <mergeCell ref="G8:H8"/>
    <mergeCell ref="G12:H12"/>
    <mergeCell ref="BC3:BE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T35"/>
  <sheetViews>
    <sheetView topLeftCell="X1" workbookViewId="0">
      <selection activeCell="AM16" sqref="AM16"/>
    </sheetView>
  </sheetViews>
  <sheetFormatPr baseColWidth="10" defaultColWidth="11.5546875" defaultRowHeight="14.4" x14ac:dyDescent="0.3"/>
  <cols>
    <col min="1" max="1" width="5.6640625" style="175" customWidth="1"/>
    <col min="2" max="2" width="9.6640625" style="175" bestFit="1" customWidth="1"/>
    <col min="3" max="3" width="7" style="175" customWidth="1"/>
    <col min="4" max="4" width="9.109375" style="175" customWidth="1"/>
    <col min="5" max="5" width="6" style="175" customWidth="1"/>
    <col min="6" max="6" width="9.109375" style="175" customWidth="1"/>
    <col min="7" max="8" width="7.5546875" style="175" bestFit="1" customWidth="1"/>
    <col min="9" max="9" width="8.109375" style="175" customWidth="1"/>
    <col min="10" max="10" width="5.44140625" style="175" customWidth="1"/>
    <col min="11" max="11" width="7" style="175" bestFit="1" customWidth="1"/>
    <col min="12" max="12" width="7.6640625" style="175" customWidth="1"/>
    <col min="13" max="13" width="9.5546875" style="175" customWidth="1"/>
    <col min="14" max="14" width="9.109375" style="175" customWidth="1"/>
    <col min="15" max="15" width="5.5546875" style="175" bestFit="1" customWidth="1"/>
    <col min="16" max="16" width="9.5546875" style="175" bestFit="1" customWidth="1"/>
    <col min="17" max="17" width="13" style="175" customWidth="1"/>
    <col min="18" max="18" width="10.5546875" style="175" bestFit="1" customWidth="1"/>
    <col min="19" max="19" width="8" style="175" bestFit="1" customWidth="1"/>
    <col min="20" max="21" width="7.5546875" style="175" bestFit="1" customWidth="1"/>
    <col min="22" max="22" width="5.6640625" style="175" customWidth="1"/>
    <col min="23" max="23" width="28.33203125" style="175" bestFit="1" customWidth="1"/>
    <col min="24" max="24" width="5.5546875" style="175" bestFit="1" customWidth="1"/>
    <col min="25" max="25" width="8.5546875" style="175" bestFit="1" customWidth="1"/>
    <col min="26" max="26" width="5.5546875" style="175" bestFit="1" customWidth="1"/>
    <col min="27" max="28" width="7.5546875" style="175" bestFit="1" customWidth="1"/>
    <col min="29" max="29" width="6.6640625" style="175" customWidth="1"/>
    <col min="30" max="30" width="8" style="175" customWidth="1"/>
    <col min="31" max="31" width="9.33203125" style="175" customWidth="1"/>
    <col min="32" max="32" width="7.33203125" style="175" customWidth="1"/>
    <col min="33" max="33" width="8.33203125" style="175" customWidth="1"/>
    <col min="34" max="34" width="9.33203125" style="175" customWidth="1"/>
    <col min="35" max="35" width="13.44140625" style="175" customWidth="1"/>
    <col min="36" max="38" width="9.5546875" style="175" bestFit="1" customWidth="1"/>
    <col min="39" max="39" width="6.5546875" style="175" bestFit="1" customWidth="1"/>
    <col min="40" max="40" width="4.5546875" style="175" bestFit="1" customWidth="1"/>
    <col min="41" max="41" width="6.5546875" style="175" bestFit="1" customWidth="1"/>
    <col min="42" max="42" width="10.33203125" style="175" customWidth="1"/>
    <col min="43" max="43" width="9.33203125" style="175" customWidth="1"/>
    <col min="44" max="44" width="5.6640625" style="175" customWidth="1"/>
    <col min="45" max="45" width="5.5546875" style="175" bestFit="1" customWidth="1"/>
    <col min="46" max="46" width="7.88671875" style="175" customWidth="1"/>
    <col min="47" max="16384" width="11.5546875" style="175"/>
  </cols>
  <sheetData>
    <row r="2" spans="2:46" x14ac:dyDescent="0.3">
      <c r="B2" s="316" t="s">
        <v>118</v>
      </c>
      <c r="C2" s="314" t="s">
        <v>433</v>
      </c>
      <c r="D2" s="314" t="s">
        <v>435</v>
      </c>
      <c r="E2" s="314" t="s">
        <v>434</v>
      </c>
      <c r="F2" s="314" t="s">
        <v>436</v>
      </c>
      <c r="G2" s="314"/>
      <c r="H2" s="314"/>
      <c r="I2" s="314" t="s">
        <v>204</v>
      </c>
      <c r="J2" s="304" t="s">
        <v>63</v>
      </c>
      <c r="K2" s="306"/>
      <c r="L2" s="314" t="s">
        <v>391</v>
      </c>
      <c r="M2" s="314" t="s">
        <v>380</v>
      </c>
      <c r="N2" s="314" t="s">
        <v>337</v>
      </c>
      <c r="O2" s="314" t="s">
        <v>110</v>
      </c>
      <c r="P2" s="314" t="s">
        <v>120</v>
      </c>
      <c r="Q2" s="314" t="s">
        <v>379</v>
      </c>
      <c r="R2" s="314" t="s">
        <v>438</v>
      </c>
      <c r="S2" s="276" t="s">
        <v>366</v>
      </c>
      <c r="T2" s="278"/>
      <c r="U2" s="247"/>
      <c r="W2" s="171" t="s">
        <v>74</v>
      </c>
      <c r="X2" s="167" t="s">
        <v>269</v>
      </c>
      <c r="Y2" s="166" t="s">
        <v>36</v>
      </c>
      <c r="Z2" s="166" t="s">
        <v>362</v>
      </c>
    </row>
    <row r="3" spans="2:46" x14ac:dyDescent="0.3">
      <c r="B3" s="272"/>
      <c r="C3" s="315"/>
      <c r="D3" s="315"/>
      <c r="E3" s="315"/>
      <c r="F3" s="315"/>
      <c r="G3" s="315"/>
      <c r="H3" s="315"/>
      <c r="I3" s="315"/>
      <c r="J3" s="169" t="s">
        <v>400</v>
      </c>
      <c r="K3" s="169" t="s">
        <v>106</v>
      </c>
      <c r="L3" s="315"/>
      <c r="M3" s="315"/>
      <c r="N3" s="315"/>
      <c r="O3" s="315"/>
      <c r="P3" s="315"/>
      <c r="Q3" s="315"/>
      <c r="R3" s="315"/>
      <c r="S3" s="282"/>
      <c r="T3" s="284"/>
      <c r="U3" s="247"/>
      <c r="W3" s="166" t="s">
        <v>38</v>
      </c>
      <c r="X3" s="68">
        <v>0.6</v>
      </c>
      <c r="Y3" s="102"/>
      <c r="Z3" s="176" t="str">
        <f>IF(Y3="","",X3*Y3)</f>
        <v/>
      </c>
      <c r="AB3" s="229" t="s">
        <v>118</v>
      </c>
      <c r="AC3" s="229" t="s">
        <v>364</v>
      </c>
      <c r="AD3" s="229"/>
      <c r="AE3" s="247" t="s">
        <v>390</v>
      </c>
      <c r="AF3" s="247" t="s">
        <v>391</v>
      </c>
      <c r="AG3" s="247" t="s">
        <v>337</v>
      </c>
      <c r="AH3" s="247" t="s">
        <v>380</v>
      </c>
      <c r="AI3" s="247" t="s">
        <v>379</v>
      </c>
      <c r="AJ3" s="247" t="s">
        <v>365</v>
      </c>
      <c r="AK3" s="247" t="s">
        <v>120</v>
      </c>
      <c r="AL3" s="247" t="s">
        <v>366</v>
      </c>
      <c r="AM3" s="247"/>
      <c r="AN3" s="314" t="s">
        <v>110</v>
      </c>
      <c r="AO3" s="247" t="s">
        <v>426</v>
      </c>
      <c r="AP3" s="247" t="s">
        <v>427</v>
      </c>
      <c r="AQ3" s="247" t="s">
        <v>428</v>
      </c>
      <c r="AS3" s="229" t="s">
        <v>305</v>
      </c>
      <c r="AT3" s="247" t="s">
        <v>439</v>
      </c>
    </row>
    <row r="4" spans="2:46" x14ac:dyDescent="0.3">
      <c r="B4" s="102" t="s">
        <v>324</v>
      </c>
      <c r="C4" s="102" t="s">
        <v>437</v>
      </c>
      <c r="D4" s="106">
        <v>435.85</v>
      </c>
      <c r="E4" s="102" t="s">
        <v>306</v>
      </c>
      <c r="F4" s="173">
        <f>VLOOKUP(E4,'Dotación tub. actual'!$B$5:$M$18,9,FALSE)</f>
        <v>424.0727</v>
      </c>
      <c r="G4" s="102">
        <v>0</v>
      </c>
      <c r="H4" s="102">
        <v>0</v>
      </c>
      <c r="I4" s="192">
        <f>'Masa actual'!T18/1000</f>
        <v>5.5370370370370374E-3</v>
      </c>
      <c r="J4" s="102">
        <v>3</v>
      </c>
      <c r="K4" s="168">
        <f t="shared" ref="K4:K11" si="0">J4*0.0254</f>
        <v>7.619999999999999E-2</v>
      </c>
      <c r="L4" s="168">
        <f t="shared" ref="L4:L11" si="1">PI()*((K4^2)/4)</f>
        <v>4.5603673118774788E-3</v>
      </c>
      <c r="M4" s="173">
        <f t="shared" ref="M4:M11" si="2">I4/L4</f>
        <v>1.2141647061226455</v>
      </c>
      <c r="N4" s="170">
        <f>VLOOKUP(B4,'Dotación tub. actual'!$N$5:$T$20,2,FALSE)</f>
        <v>26.5383</v>
      </c>
      <c r="O4" s="102">
        <v>7.45</v>
      </c>
      <c r="P4" s="189">
        <v>1.5E-6</v>
      </c>
      <c r="Q4" s="102">
        <v>1.207E-6</v>
      </c>
      <c r="R4" s="174">
        <f t="shared" ref="R4:R11" si="3">(M4*K4)/Q4</f>
        <v>76652.320303683155</v>
      </c>
      <c r="S4" s="23">
        <f ca="1">-2*LOG10((P4/(3.7*K4))+((2.51/R4)*S4))</f>
        <v>7.231900217015351</v>
      </c>
      <c r="T4" s="23">
        <f ca="1">(1/S4)^2</f>
        <v>1.9120319693306808E-2</v>
      </c>
      <c r="U4" s="190">
        <f ca="1">(D4-F4)-(((I4^2)/(2*9.81*(L4^2)))*(1+((T4*N4)/K4)+O4))</f>
        <v>10.64204400061063</v>
      </c>
      <c r="W4" s="166" t="s">
        <v>39</v>
      </c>
      <c r="X4" s="68">
        <v>0.8</v>
      </c>
      <c r="Y4" s="102"/>
      <c r="Z4" s="176" t="str">
        <f t="shared" ref="Z4:Z22" si="4">IF(Y4="","",X4*Y4)</f>
        <v/>
      </c>
      <c r="AB4" s="229"/>
      <c r="AC4" s="168" t="s">
        <v>249</v>
      </c>
      <c r="AD4" s="168" t="s">
        <v>226</v>
      </c>
      <c r="AE4" s="247"/>
      <c r="AF4" s="247"/>
      <c r="AG4" s="247"/>
      <c r="AH4" s="247"/>
      <c r="AI4" s="247"/>
      <c r="AJ4" s="247"/>
      <c r="AK4" s="247"/>
      <c r="AL4" s="247"/>
      <c r="AM4" s="247"/>
      <c r="AN4" s="315"/>
      <c r="AO4" s="247"/>
      <c r="AP4" s="247"/>
      <c r="AQ4" s="247"/>
      <c r="AS4" s="229"/>
      <c r="AT4" s="247"/>
    </row>
    <row r="5" spans="2:46" x14ac:dyDescent="0.3">
      <c r="B5" s="102" t="s">
        <v>346</v>
      </c>
      <c r="C5" s="102" t="s">
        <v>306</v>
      </c>
      <c r="D5" s="173">
        <f>VLOOKUP(C5,'Dotación tub. actual'!$B$5:$M$18,9,FALSE)</f>
        <v>424.0727</v>
      </c>
      <c r="E5" s="102" t="s">
        <v>339</v>
      </c>
      <c r="F5" s="173">
        <f>VLOOKUP(E5,'Dotación tub. actual'!$B$5:$M$18,9,FALSE)</f>
        <v>423.84</v>
      </c>
      <c r="G5" s="173">
        <f ca="1">U4</f>
        <v>10.64204400061063</v>
      </c>
      <c r="H5" s="23">
        <f t="shared" ref="H5:H11" si="5">(M5^2)/(2*9.81)</f>
        <v>6.1269079775037434E-2</v>
      </c>
      <c r="I5" s="192">
        <f>'Masa actual'!T17/1000</f>
        <v>5.0000000000000001E-3</v>
      </c>
      <c r="J5" s="102">
        <v>3</v>
      </c>
      <c r="K5" s="168">
        <f t="shared" si="0"/>
        <v>7.619999999999999E-2</v>
      </c>
      <c r="L5" s="168">
        <f t="shared" si="1"/>
        <v>4.5603673118774788E-3</v>
      </c>
      <c r="M5" s="173">
        <f t="shared" si="2"/>
        <v>1.0964029118833252</v>
      </c>
      <c r="N5" s="170">
        <f>VLOOKUP(B5,'Dotación tub. actual'!$N$5:$T$20,2,FALSE)</f>
        <v>7.5</v>
      </c>
      <c r="O5" s="135">
        <v>1.2</v>
      </c>
      <c r="P5" s="189">
        <v>1.5E-6</v>
      </c>
      <c r="Q5" s="102">
        <v>1.207E-6</v>
      </c>
      <c r="R5" s="174">
        <f t="shared" si="3"/>
        <v>69217.814321051672</v>
      </c>
      <c r="S5" s="23">
        <f ca="1">-2*LOG10((P5/(3.7*K5))+((2.51/R5)*S5))</f>
        <v>7.1543193657589521</v>
      </c>
      <c r="T5" s="23">
        <f ca="1">(1/S5)^2</f>
        <v>1.95372464131577E-2</v>
      </c>
      <c r="U5" s="191">
        <f t="shared" ref="U5:U11" ca="1" si="6">(D5-F5)+G5-(((M5^2)/(2*9.81))*(((T5*N5)/K5)+O5))</f>
        <v>10.683403279184512</v>
      </c>
      <c r="W5" s="166" t="s">
        <v>40</v>
      </c>
      <c r="X5" s="68">
        <v>0.9</v>
      </c>
      <c r="Y5" s="102">
        <v>4</v>
      </c>
      <c r="Z5" s="176">
        <f t="shared" si="4"/>
        <v>3.6</v>
      </c>
      <c r="AB5" s="168" t="str">
        <f>'Masa actual'!BA5</f>
        <v>C - D</v>
      </c>
      <c r="AC5" s="173">
        <f ca="1">'Masa actual'!BC5</f>
        <v>7.1929813619481461E-2</v>
      </c>
      <c r="AD5" s="23">
        <f ca="1">AC5/1000</f>
        <v>7.1929813619481462E-5</v>
      </c>
      <c r="AE5" s="173">
        <f>'Masa actual'!Z5</f>
        <v>3.8099999999999995E-2</v>
      </c>
      <c r="AF5" s="173">
        <f>(PI()*(AE5^2))/4</f>
        <v>1.1400918279693697E-3</v>
      </c>
      <c r="AG5" s="170">
        <f>'Masa actual'!AB5</f>
        <v>67.8</v>
      </c>
      <c r="AH5" s="173">
        <f ca="1">AD5/AF5</f>
        <v>6.3091245682899477E-2</v>
      </c>
      <c r="AI5" s="43">
        <f>'Masa actual'!AD5</f>
        <v>1.207E-6</v>
      </c>
      <c r="AJ5" s="173">
        <f ca="1">(AH5*AE5)/AI5</f>
        <v>1991.529793304449</v>
      </c>
      <c r="AK5" s="179">
        <f>'Masa propuesta'!AF5</f>
        <v>1.5E-6</v>
      </c>
      <c r="AL5" s="179"/>
      <c r="AM5" s="173">
        <f ca="1">64/AJ5</f>
        <v>3.2136099703438482E-2</v>
      </c>
      <c r="AN5" s="176">
        <f>VLOOKUP(AB5,'Masa actual'!$V$5:$AG$11,12,FALSE)</f>
        <v>6.3</v>
      </c>
      <c r="AO5" s="173">
        <f ca="1">((AD5^2)/(2*9.81*(AF5^2)))*((AN5)+(AM5*(AG5/AE5)))</f>
        <v>1.2880256759165336E-2</v>
      </c>
      <c r="AP5" s="188">
        <f ca="1">U8</f>
        <v>10.474889537778473</v>
      </c>
      <c r="AQ5" s="176">
        <f ca="1">AP5-AO5</f>
        <v>10.462009281019307</v>
      </c>
      <c r="AS5" s="102" t="s">
        <v>306</v>
      </c>
      <c r="AT5" s="176">
        <f ca="1">U4</f>
        <v>10.64204400061063</v>
      </c>
    </row>
    <row r="6" spans="2:46" x14ac:dyDescent="0.3">
      <c r="B6" s="102" t="s">
        <v>347</v>
      </c>
      <c r="C6" s="102" t="s">
        <v>339</v>
      </c>
      <c r="D6" s="173">
        <f>VLOOKUP(C6,'Dotación tub. actual'!$B$5:$M$18,9,FALSE)</f>
        <v>423.84</v>
      </c>
      <c r="E6" s="102" t="s">
        <v>341</v>
      </c>
      <c r="F6" s="173">
        <f>VLOOKUP(E6,'Dotación tub. actual'!$B$5:$M$18,9,FALSE)</f>
        <v>423.83300000000003</v>
      </c>
      <c r="G6" s="173">
        <f ca="1">U5</f>
        <v>10.683403279184512</v>
      </c>
      <c r="H6" s="23">
        <f t="shared" si="5"/>
        <v>6.1269079775037434E-2</v>
      </c>
      <c r="I6" s="192">
        <f>'Masa actual'!T17/1000</f>
        <v>5.0000000000000001E-3</v>
      </c>
      <c r="J6" s="102">
        <v>3</v>
      </c>
      <c r="K6" s="168">
        <f t="shared" si="0"/>
        <v>7.619999999999999E-2</v>
      </c>
      <c r="L6" s="168">
        <f t="shared" si="1"/>
        <v>4.5603673118774788E-3</v>
      </c>
      <c r="M6" s="173">
        <f t="shared" si="2"/>
        <v>1.0964029118833252</v>
      </c>
      <c r="N6" s="170">
        <f>VLOOKUP(B6,'Dotación tub. actual'!$N$5:$T$20,2,FALSE)</f>
        <v>32.6</v>
      </c>
      <c r="O6" s="135">
        <v>2.4</v>
      </c>
      <c r="P6" s="189">
        <v>1.5E-6</v>
      </c>
      <c r="Q6" s="102">
        <v>1.207E-6</v>
      </c>
      <c r="R6" s="174">
        <f t="shared" si="3"/>
        <v>69217.814321051672</v>
      </c>
      <c r="S6" s="23">
        <f ca="1">-2*LOG10((P6/(3.7*K6))+((2.51/R6)*S6))</f>
        <v>7.1543193657589521</v>
      </c>
      <c r="T6" s="23">
        <f ca="1">(1/S6)^2</f>
        <v>1.95372464131577E-2</v>
      </c>
      <c r="U6" s="191">
        <f t="shared" ca="1" si="6"/>
        <v>10.031242672032011</v>
      </c>
      <c r="W6" s="166" t="s">
        <v>271</v>
      </c>
      <c r="X6" s="68">
        <v>0.4</v>
      </c>
      <c r="Y6" s="102"/>
      <c r="Z6" s="176" t="str">
        <f t="shared" si="4"/>
        <v/>
      </c>
      <c r="AB6" s="168" t="str">
        <f>'Masa actual'!BA6</f>
        <v>C - F</v>
      </c>
      <c r="AC6" s="173">
        <f ca="1">'Masa actual'!BC6</f>
        <v>0.19807018638051851</v>
      </c>
      <c r="AD6" s="23">
        <f t="shared" ref="AD6:AD11" ca="1" si="7">AC6/1000</f>
        <v>1.9807018638051853E-4</v>
      </c>
      <c r="AE6" s="173">
        <f>'Masa actual'!Z6</f>
        <v>3.8099999999999995E-2</v>
      </c>
      <c r="AF6" s="173">
        <f t="shared" ref="AF6:AF11" si="8">(PI()*(AE6^2))/4</f>
        <v>1.1400918279693697E-3</v>
      </c>
      <c r="AG6" s="170">
        <f>'Masa actual'!AB6</f>
        <v>5.7069999999999999</v>
      </c>
      <c r="AH6" s="173">
        <f t="shared" ref="AH6:AH11" ca="1" si="9">AD6/AF6</f>
        <v>0.17373178328389877</v>
      </c>
      <c r="AI6" s="43">
        <f>'Masa actual'!AD6</f>
        <v>1.207E-6</v>
      </c>
      <c r="AJ6" s="173">
        <f t="shared" ref="AJ6:AJ11" ca="1" si="10">(AH6*AE6)/AI6</f>
        <v>5483.9941533691317</v>
      </c>
      <c r="AK6" s="179">
        <f>'Masa propuesta'!AF6</f>
        <v>1.5E-6</v>
      </c>
      <c r="AL6" s="179">
        <f t="shared" ref="AL6:AL10" ca="1" si="11">-2*LOG10((AK6/(3.7*AE6))+((2.51/AJ6)*AL6))</f>
        <v>5.2368575807960926</v>
      </c>
      <c r="AM6" s="173">
        <f t="shared" ref="AM6:AM10" ca="1" si="12">(1/AL6)^2</f>
        <v>3.6463510154576044E-2</v>
      </c>
      <c r="AN6" s="176">
        <f>VLOOKUP(AB6,'Masa actual'!$V$5:$AG$11,12,FALSE)</f>
        <v>5</v>
      </c>
      <c r="AO6" s="173">
        <f t="shared" ref="AO6:AO11" ca="1" si="13">((AD6^2)/(2*9.81*(AF6^2)))*((AN6)+(AM6*(AG6/AE6)))</f>
        <v>1.6094180847075857E-2</v>
      </c>
      <c r="AP6" s="187">
        <f ca="1">AP5</f>
        <v>10.474889537778473</v>
      </c>
      <c r="AQ6" s="176">
        <f t="shared" ref="AQ6:AQ11" ca="1" si="14">AP6+AO6</f>
        <v>10.49098371862555</v>
      </c>
      <c r="AS6" s="102" t="s">
        <v>339</v>
      </c>
      <c r="AT6" s="176">
        <f ca="1">U5</f>
        <v>10.683403279184512</v>
      </c>
    </row>
    <row r="7" spans="2:46" x14ac:dyDescent="0.3">
      <c r="B7" s="102" t="s">
        <v>325</v>
      </c>
      <c r="C7" s="102" t="s">
        <v>306</v>
      </c>
      <c r="D7" s="173">
        <f>VLOOKUP(C7,'Dotación tub. actual'!$B$5:$M$18,9,FALSE)</f>
        <v>424.0727</v>
      </c>
      <c r="E7" s="102" t="s">
        <v>307</v>
      </c>
      <c r="F7" s="173">
        <f>VLOOKUP(E7,'Dotación tub. actual'!$B$5:$M$18,9,FALSE)</f>
        <v>423.36699999999996</v>
      </c>
      <c r="G7" s="173">
        <f ca="1">U4</f>
        <v>10.64204400061063</v>
      </c>
      <c r="H7" s="23">
        <f t="shared" si="5"/>
        <v>8.2372873919772625E-3</v>
      </c>
      <c r="I7" s="192">
        <f>I4-I6-('Masa actual'!T4/1000)</f>
        <v>4.5833333333333354E-4</v>
      </c>
      <c r="J7" s="102">
        <v>1.5</v>
      </c>
      <c r="K7" s="168">
        <f t="shared" si="0"/>
        <v>3.8099999999999995E-2</v>
      </c>
      <c r="L7" s="168">
        <f t="shared" si="1"/>
        <v>1.1400918279693697E-3</v>
      </c>
      <c r="M7" s="173">
        <f t="shared" si="2"/>
        <v>0.40201440102388608</v>
      </c>
      <c r="N7" s="170">
        <f>VLOOKUP(B7,'Dotación tub. actual'!$N$5:$T$20,2,FALSE)</f>
        <v>67.5</v>
      </c>
      <c r="O7" s="135">
        <v>6.1</v>
      </c>
      <c r="P7" s="189">
        <v>1.5E-6</v>
      </c>
      <c r="Q7" s="102">
        <v>1.207E-6</v>
      </c>
      <c r="R7" s="174">
        <f t="shared" si="3"/>
        <v>12689.932625526146</v>
      </c>
      <c r="S7" s="23">
        <f ca="1">-2*LOG10((P7/(3.7*K7))+((2.51/R7)*S7))</f>
        <v>5.8633470492846103</v>
      </c>
      <c r="T7" s="23">
        <f ca="1">(1/S7)^2</f>
        <v>2.908766090219039E-2</v>
      </c>
      <c r="U7" s="191">
        <f ca="1">(D7-F7)+G7-(((M7^2)/(2*9.81))*(((T7*N7)/K7)+O7))</f>
        <v>10.873002295215372</v>
      </c>
      <c r="W7" s="166" t="s">
        <v>272</v>
      </c>
      <c r="X7" s="68">
        <v>0.2</v>
      </c>
      <c r="Y7" s="102"/>
      <c r="Z7" s="176" t="str">
        <f t="shared" si="4"/>
        <v/>
      </c>
      <c r="AB7" s="168" t="str">
        <f>'Masa actual'!BA7</f>
        <v>D - E</v>
      </c>
      <c r="AC7" s="173">
        <f ca="1">'Masa actual'!BC7</f>
        <v>3.1929813619481481E-2</v>
      </c>
      <c r="AD7" s="23">
        <f t="shared" ca="1" si="7"/>
        <v>3.1929813619481479E-5</v>
      </c>
      <c r="AE7" s="173">
        <f>'Masa actual'!Z7</f>
        <v>3.8099999999999995E-2</v>
      </c>
      <c r="AF7" s="173">
        <f t="shared" si="8"/>
        <v>1.1400918279693697E-3</v>
      </c>
      <c r="AG7" s="170">
        <f>'Masa actual'!AB7</f>
        <v>5.21</v>
      </c>
      <c r="AH7" s="173">
        <f t="shared" ca="1" si="9"/>
        <v>2.8006352502633079E-2</v>
      </c>
      <c r="AI7" s="43">
        <f>'Masa actual'!AD7</f>
        <v>1.207E-6</v>
      </c>
      <c r="AJ7" s="173">
        <f t="shared" ca="1" si="10"/>
        <v>884.04476416762236</v>
      </c>
      <c r="AK7" s="179">
        <f>'Masa propuesta'!AF7</f>
        <v>1.5E-6</v>
      </c>
      <c r="AL7" s="179"/>
      <c r="AM7" s="173">
        <f ca="1">64/AJ7</f>
        <v>7.239452411695417E-2</v>
      </c>
      <c r="AN7" s="176">
        <f>VLOOKUP(AB7,'Masa actual'!$V$5:$AG$11,12,FALSE)</f>
        <v>2.1</v>
      </c>
      <c r="AO7" s="173">
        <f t="shared" ca="1" si="13"/>
        <v>4.7971306083996522E-4</v>
      </c>
      <c r="AP7" s="187">
        <f ca="1">AQ5</f>
        <v>10.462009281019307</v>
      </c>
      <c r="AQ7" s="176">
        <f t="shared" ca="1" si="14"/>
        <v>10.462488994080147</v>
      </c>
      <c r="AS7" s="102" t="s">
        <v>341</v>
      </c>
      <c r="AT7" s="176">
        <f ca="1">U6</f>
        <v>10.031242672032011</v>
      </c>
    </row>
    <row r="8" spans="2:46" x14ac:dyDescent="0.3">
      <c r="B8" s="102" t="s">
        <v>326</v>
      </c>
      <c r="C8" s="102" t="s">
        <v>307</v>
      </c>
      <c r="D8" s="173">
        <f>VLOOKUP(C8,'Dotación tub. actual'!$B$5:$M$18,9,FALSE)</f>
        <v>423.36699999999996</v>
      </c>
      <c r="E8" s="102" t="s">
        <v>16</v>
      </c>
      <c r="F8" s="173">
        <f>VLOOKUP(E8,'Dotación tub. actual'!$B$5:$M$18,9,FALSE)</f>
        <v>423.65</v>
      </c>
      <c r="G8" s="173">
        <f ca="1">U7</f>
        <v>10.873002295215372</v>
      </c>
      <c r="H8" s="23">
        <f t="shared" ca="1" si="5"/>
        <v>3.9229208393052354E-3</v>
      </c>
      <c r="I8" s="192">
        <f ca="1">'Masa actual'!BE5+'Masa actual'!BE6+('Masa actual'!T6/1000)</f>
        <v>3.1629629629629634E-4</v>
      </c>
      <c r="J8" s="102">
        <v>1.5</v>
      </c>
      <c r="K8" s="168">
        <f t="shared" si="0"/>
        <v>3.8099999999999995E-2</v>
      </c>
      <c r="L8" s="168">
        <f t="shared" si="1"/>
        <v>1.1400918279693697E-3</v>
      </c>
      <c r="M8" s="173">
        <f t="shared" ca="1" si="2"/>
        <v>0.27743054422173624</v>
      </c>
      <c r="N8" s="170">
        <f>VLOOKUP(B8,'Dotación tub. actual'!$N$5:$T$20,2,FALSE)</f>
        <v>30.6</v>
      </c>
      <c r="O8" s="135">
        <v>3.6</v>
      </c>
      <c r="P8" s="189">
        <v>1.5E-6</v>
      </c>
      <c r="Q8" s="102">
        <v>1.207E-6</v>
      </c>
      <c r="R8" s="174">
        <f t="shared" ca="1" si="3"/>
        <v>8757.3353229893528</v>
      </c>
      <c r="S8" s="23">
        <f ca="1">-2*LOG10((P8/(3.7*K8))+((2.51/R8)*S8))</f>
        <v>5.5855158732778598</v>
      </c>
      <c r="T8" s="23">
        <f ca="1">(1/S8)^2</f>
        <v>3.2053349522490372E-2</v>
      </c>
      <c r="U8" s="191">
        <f t="shared" ca="1" si="6"/>
        <v>10.474889537778473</v>
      </c>
      <c r="W8" s="166" t="s">
        <v>41</v>
      </c>
      <c r="X8" s="68">
        <v>0.5</v>
      </c>
      <c r="Y8" s="102"/>
      <c r="Z8" s="176" t="str">
        <f t="shared" si="4"/>
        <v/>
      </c>
      <c r="AB8" s="168" t="str">
        <f>'Masa actual'!BA8</f>
        <v>F - E</v>
      </c>
      <c r="AC8" s="173">
        <f ca="1">'Masa actual'!BC8</f>
        <v>5.7753528263952768E-2</v>
      </c>
      <c r="AD8" s="23">
        <f t="shared" ca="1" si="7"/>
        <v>5.7753528263952765E-5</v>
      </c>
      <c r="AE8" s="173">
        <f>'Masa actual'!Z8</f>
        <v>3.8099999999999995E-2</v>
      </c>
      <c r="AF8" s="173">
        <f t="shared" si="8"/>
        <v>1.1400918279693697E-3</v>
      </c>
      <c r="AG8" s="170">
        <f>'Masa actual'!AB8</f>
        <v>66.599999999999994</v>
      </c>
      <c r="AH8" s="173">
        <f t="shared" ca="1" si="9"/>
        <v>5.0656909248106986E-2</v>
      </c>
      <c r="AI8" s="43">
        <f>'Masa actual'!AD8</f>
        <v>1.207E-6</v>
      </c>
      <c r="AJ8" s="173">
        <f t="shared" ca="1" si="10"/>
        <v>1599.0291983039567</v>
      </c>
      <c r="AK8" s="179">
        <f>'Masa propuesta'!AF8</f>
        <v>1.5E-6</v>
      </c>
      <c r="AL8" s="179"/>
      <c r="AM8" s="173">
        <f ca="1">64/AJ8</f>
        <v>4.0024284777215403E-2</v>
      </c>
      <c r="AN8" s="176">
        <f>VLOOKUP(AB8,'Masa actual'!$V$5:$AG$11,12,FALSE)</f>
        <v>5.4</v>
      </c>
      <c r="AO8" s="173">
        <f t="shared" ca="1" si="13"/>
        <v>9.8569067029564382E-3</v>
      </c>
      <c r="AP8" s="187">
        <f ca="1">AQ6</f>
        <v>10.49098371862555</v>
      </c>
      <c r="AQ8" s="176">
        <f t="shared" ca="1" si="14"/>
        <v>10.500840625328507</v>
      </c>
      <c r="AS8" s="102" t="s">
        <v>307</v>
      </c>
      <c r="AT8" s="176">
        <f ca="1">U7</f>
        <v>10.873002295215372</v>
      </c>
    </row>
    <row r="9" spans="2:46" x14ac:dyDescent="0.3">
      <c r="B9" s="102" t="s">
        <v>327</v>
      </c>
      <c r="C9" s="102" t="s">
        <v>307</v>
      </c>
      <c r="D9" s="173">
        <f>VLOOKUP(C9,'Dotación tub. actual'!$B$5:$M$18,9,FALSE)</f>
        <v>423.36699999999996</v>
      </c>
      <c r="E9" s="102" t="s">
        <v>29</v>
      </c>
      <c r="F9" s="173">
        <f>VLOOKUP(E9,'Dotación tub. actual'!$B$5:$M$18,9,FALSE)</f>
        <v>422.666</v>
      </c>
      <c r="G9" s="173">
        <f ca="1">U7</f>
        <v>10.873002295215372</v>
      </c>
      <c r="H9" s="23">
        <f t="shared" ca="1" si="5"/>
        <v>1.146567202839799E-4</v>
      </c>
      <c r="I9" s="192">
        <f ca="1">I7-I8-('Masa actual'!T5/1000)</f>
        <v>5.4074074074074237E-5</v>
      </c>
      <c r="J9" s="102">
        <v>1.5</v>
      </c>
      <c r="K9" s="168">
        <f t="shared" si="0"/>
        <v>3.8099999999999995E-2</v>
      </c>
      <c r="L9" s="168">
        <f t="shared" si="1"/>
        <v>1.1400918279693697E-3</v>
      </c>
      <c r="M9" s="173">
        <f t="shared" ca="1" si="2"/>
        <v>4.7429577817767694E-2</v>
      </c>
      <c r="N9" s="170">
        <f>VLOOKUP(B9,'Dotación tub. actual'!$N$5:$T$20,2,FALSE)</f>
        <v>40.581000000000003</v>
      </c>
      <c r="O9" s="135">
        <v>2.5</v>
      </c>
      <c r="P9" s="189">
        <v>1.5E-6</v>
      </c>
      <c r="Q9" s="102">
        <v>1.207E-6</v>
      </c>
      <c r="R9" s="174">
        <f t="shared" ca="1" si="3"/>
        <v>1497.1556875368258</v>
      </c>
      <c r="S9" s="23"/>
      <c r="T9" s="23">
        <f ca="1">64/R9</f>
        <v>4.2747725258483367E-2</v>
      </c>
      <c r="U9" s="191">
        <f t="shared" ca="1" si="6"/>
        <v>11.568495175132984</v>
      </c>
      <c r="W9" s="166" t="s">
        <v>42</v>
      </c>
      <c r="X9" s="68">
        <v>0.9</v>
      </c>
      <c r="Y9" s="102"/>
      <c r="Z9" s="176" t="str">
        <f t="shared" si="4"/>
        <v/>
      </c>
      <c r="AB9" s="168" t="str">
        <f>'Masa actual'!BA9</f>
        <v>E - H</v>
      </c>
      <c r="AC9" s="173">
        <f ca="1">'Masa actual'!BC9</f>
        <v>2.9673631016884736E-2</v>
      </c>
      <c r="AD9" s="23">
        <f t="shared" ca="1" si="7"/>
        <v>2.9673631016884736E-5</v>
      </c>
      <c r="AE9" s="173">
        <f>'Masa actual'!Z9</f>
        <v>3.8099999999999995E-2</v>
      </c>
      <c r="AF9" s="173">
        <f t="shared" si="8"/>
        <v>1.1400918279693697E-3</v>
      </c>
      <c r="AG9" s="170">
        <f>'Masa actual'!AB9</f>
        <v>30.4</v>
      </c>
      <c r="AH9" s="173">
        <f t="shared" ca="1" si="9"/>
        <v>2.6027404362451025E-2</v>
      </c>
      <c r="AI9" s="43">
        <f>'Masa actual'!AD9</f>
        <v>1.207E-6</v>
      </c>
      <c r="AJ9" s="173">
        <f t="shared" ca="1" si="10"/>
        <v>821.57755278325089</v>
      </c>
      <c r="AK9" s="179">
        <f>'Masa propuesta'!AF9</f>
        <v>1.5E-6</v>
      </c>
      <c r="AL9" s="179"/>
      <c r="AM9" s="173">
        <f ca="1">64/AJ9</f>
        <v>7.7898915060651025E-2</v>
      </c>
      <c r="AN9" s="176">
        <f>VLOOKUP(AB9,'Masa actual'!$V$5:$AG$11,12,FALSE)</f>
        <v>3.6</v>
      </c>
      <c r="AO9" s="173">
        <f t="shared" ca="1" si="13"/>
        <v>2.2703626204869623E-3</v>
      </c>
      <c r="AP9" s="176">
        <f ca="1">MIN(AQ7:AQ8)</f>
        <v>10.462488994080147</v>
      </c>
      <c r="AQ9" s="176">
        <f t="shared" ca="1" si="14"/>
        <v>10.464759356700634</v>
      </c>
      <c r="AS9" s="102" t="s">
        <v>16</v>
      </c>
      <c r="AT9" s="176">
        <f ca="1">MIN(U8)</f>
        <v>10.474889537778473</v>
      </c>
    </row>
    <row r="10" spans="2:46" x14ac:dyDescent="0.3">
      <c r="B10" s="102" t="s">
        <v>328</v>
      </c>
      <c r="C10" s="102" t="s">
        <v>29</v>
      </c>
      <c r="D10" s="173">
        <f>VLOOKUP(C10,'Dotación tub. actual'!$B$5:$M$18,9,FALSE)</f>
        <v>422.666</v>
      </c>
      <c r="E10" s="102" t="s">
        <v>269</v>
      </c>
      <c r="F10" s="173">
        <f>VLOOKUP(E10,'Dotación tub. actual'!$B$5:$M$18,9,FALSE)</f>
        <v>422.99799999999999</v>
      </c>
      <c r="G10" s="173">
        <f ca="1">U9</f>
        <v>11.568495175132984</v>
      </c>
      <c r="H10" s="23">
        <f t="shared" ca="1" si="5"/>
        <v>1.4684744437056077E-5</v>
      </c>
      <c r="I10" s="192">
        <f ca="1">I9-('Masa actual'!T13/1000)</f>
        <v>1.9351851851852015E-5</v>
      </c>
      <c r="J10" s="102">
        <v>1.5</v>
      </c>
      <c r="K10" s="168">
        <f t="shared" si="0"/>
        <v>3.8099999999999995E-2</v>
      </c>
      <c r="L10" s="168">
        <f t="shared" si="1"/>
        <v>1.1400918279693697E-3</v>
      </c>
      <c r="M10" s="173">
        <f t="shared" ca="1" si="2"/>
        <v>1.6973941376564217E-2</v>
      </c>
      <c r="N10" s="170">
        <f>VLOOKUP(B10,'Dotación tub. actual'!$N$5:$T$20,2,FALSE)</f>
        <v>47.506</v>
      </c>
      <c r="O10" s="135">
        <v>3.4</v>
      </c>
      <c r="P10" s="189">
        <v>1.5E-6</v>
      </c>
      <c r="Q10" s="102">
        <v>1.207E-6</v>
      </c>
      <c r="R10" s="174">
        <f t="shared" ca="1" si="3"/>
        <v>535.79715529999714</v>
      </c>
      <c r="S10" s="23"/>
      <c r="T10" s="23">
        <f ca="1">64/R10</f>
        <v>0.11944818923901505</v>
      </c>
      <c r="U10" s="191">
        <f t="shared" ca="1" si="6"/>
        <v>11.234258142915609</v>
      </c>
      <c r="W10" s="166" t="s">
        <v>363</v>
      </c>
      <c r="X10" s="176">
        <v>0.3</v>
      </c>
      <c r="Y10" s="102"/>
      <c r="Z10" s="176" t="str">
        <f t="shared" si="4"/>
        <v/>
      </c>
      <c r="AB10" s="168" t="str">
        <f>'Masa actual'!BA10</f>
        <v>F - G</v>
      </c>
      <c r="AC10" s="173">
        <f ca="1">'Masa actual'!BC10</f>
        <v>9.0326368983115288E-2</v>
      </c>
      <c r="AD10" s="23">
        <f t="shared" ca="1" si="7"/>
        <v>9.0326368983115291E-5</v>
      </c>
      <c r="AE10" s="173">
        <f>'Masa actual'!Z10</f>
        <v>3.8099999999999995E-2</v>
      </c>
      <c r="AF10" s="173">
        <f t="shared" si="8"/>
        <v>1.1400918279693697E-3</v>
      </c>
      <c r="AG10" s="170">
        <f>'Masa actual'!AB10</f>
        <v>30.4</v>
      </c>
      <c r="AH10" s="173">
        <f t="shared" ca="1" si="9"/>
        <v>7.9227275178348225E-2</v>
      </c>
      <c r="AI10" s="43">
        <f>'Masa actual'!AD10</f>
        <v>1.207E-6</v>
      </c>
      <c r="AJ10" s="173">
        <f t="shared" ca="1" si="10"/>
        <v>2500.8775346272305</v>
      </c>
      <c r="AK10" s="179">
        <f>'Masa propuesta'!AF10</f>
        <v>1.5E-6</v>
      </c>
      <c r="AL10" s="179">
        <f t="shared" ca="1" si="11"/>
        <v>4.6583909853434573</v>
      </c>
      <c r="AM10" s="173">
        <f t="shared" ca="1" si="12"/>
        <v>4.6081661204582049E-2</v>
      </c>
      <c r="AN10" s="176">
        <f>VLOOKUP(AB10,'Masa actual'!$V$5:$AG$11,12,FALSE)</f>
        <v>2.4</v>
      </c>
      <c r="AO10" s="173">
        <f t="shared" ca="1" si="13"/>
        <v>1.2531069765269111E-2</v>
      </c>
      <c r="AP10" s="176">
        <f ca="1">AQ6</f>
        <v>10.49098371862555</v>
      </c>
      <c r="AQ10" s="176">
        <f t="shared" ca="1" si="14"/>
        <v>10.503514788390818</v>
      </c>
      <c r="AS10" s="102" t="s">
        <v>308</v>
      </c>
      <c r="AT10" s="176">
        <f ca="1">MIN(AQ5)</f>
        <v>10.462009281019307</v>
      </c>
    </row>
    <row r="11" spans="2:46" x14ac:dyDescent="0.3">
      <c r="B11" s="102" t="s">
        <v>335</v>
      </c>
      <c r="C11" s="102" t="s">
        <v>18</v>
      </c>
      <c r="D11" s="173">
        <f>VLOOKUP(C11,'Dotación tub. actual'!$B$5:$M$18,9,FALSE)</f>
        <v>424.35999999999996</v>
      </c>
      <c r="E11" s="102" t="s">
        <v>312</v>
      </c>
      <c r="F11" s="173">
        <f>VLOOKUP(E11,'Dotación tub. actual'!$B$5:$M$18,9,FALSE)</f>
        <v>424.59899999999999</v>
      </c>
      <c r="G11" s="173">
        <f ca="1">AT14</f>
        <v>10.464759356700634</v>
      </c>
      <c r="H11" s="23">
        <f t="shared" ca="1" si="5"/>
        <v>3.8634315044318673E-5</v>
      </c>
      <c r="I11" s="192">
        <f ca="1">'Masa actual'!BE9+'Masa actual'!BE11-('Masa actual'!T11/1000)</f>
        <v>3.1388888888888891E-5</v>
      </c>
      <c r="J11" s="102">
        <v>1.5</v>
      </c>
      <c r="K11" s="168">
        <f t="shared" si="0"/>
        <v>3.8099999999999995E-2</v>
      </c>
      <c r="L11" s="168">
        <f t="shared" si="1"/>
        <v>1.1400918279693697E-3</v>
      </c>
      <c r="M11" s="173">
        <f t="shared" ca="1" si="2"/>
        <v>2.7531895342847945E-2</v>
      </c>
      <c r="N11" s="170">
        <f>VLOOKUP(B11,'Dotación tub. actual'!$N$5:$T$20,2,FALSE)</f>
        <v>24.9</v>
      </c>
      <c r="O11" s="135">
        <v>2.1</v>
      </c>
      <c r="P11" s="189">
        <v>1.5E-6</v>
      </c>
      <c r="Q11" s="102">
        <v>1.207E-6</v>
      </c>
      <c r="R11" s="174">
        <f t="shared" ca="1" si="3"/>
        <v>869.06811314209335</v>
      </c>
      <c r="S11" s="168"/>
      <c r="T11" s="23">
        <f ca="1">64/R11</f>
        <v>7.3642098970366832E-2</v>
      </c>
      <c r="U11" s="191">
        <f t="shared" ca="1" si="6"/>
        <v>10.223818820699417</v>
      </c>
      <c r="W11" s="166" t="s">
        <v>43</v>
      </c>
      <c r="X11" s="68">
        <v>0.2</v>
      </c>
      <c r="Y11" s="102"/>
      <c r="Z11" s="176" t="str">
        <f t="shared" si="4"/>
        <v/>
      </c>
      <c r="AB11" s="168" t="str">
        <f>'Masa actual'!BA11</f>
        <v>G - H</v>
      </c>
      <c r="AC11" s="173">
        <f ca="1">'Masa actual'!BC11</f>
        <v>5.0326368983115273E-2</v>
      </c>
      <c r="AD11" s="23">
        <f t="shared" ca="1" si="7"/>
        <v>5.0326368983115274E-5</v>
      </c>
      <c r="AE11" s="173">
        <f>'Masa actual'!Z11</f>
        <v>3.8099999999999995E-2</v>
      </c>
      <c r="AF11" s="173">
        <f t="shared" si="8"/>
        <v>1.1400918279693697E-3</v>
      </c>
      <c r="AG11" s="170">
        <f>'Masa actual'!AB11</f>
        <v>66.599999999999994</v>
      </c>
      <c r="AH11" s="173">
        <f t="shared" ca="1" si="9"/>
        <v>4.4142381998081799E-2</v>
      </c>
      <c r="AI11" s="43">
        <f>'Masa actual'!AD11</f>
        <v>1.207E-6</v>
      </c>
      <c r="AJ11" s="173">
        <f t="shared" ca="1" si="10"/>
        <v>1393.3925054904028</v>
      </c>
      <c r="AK11" s="179">
        <f>'Masa propuesta'!AF11</f>
        <v>1.5E-6</v>
      </c>
      <c r="AL11" s="179"/>
      <c r="AM11" s="173">
        <f ca="1">64/AJ11</f>
        <v>4.5931063751111022E-2</v>
      </c>
      <c r="AN11" s="176">
        <f>VLOOKUP(AB11,'Masa actual'!$V$5:$AG$11,12,FALSE)</f>
        <v>5.4</v>
      </c>
      <c r="AO11" s="173">
        <f t="shared" ca="1" si="13"/>
        <v>8.5101522087579987E-3</v>
      </c>
      <c r="AP11" s="176">
        <f ca="1">AQ10</f>
        <v>10.503514788390818</v>
      </c>
      <c r="AQ11" s="176">
        <f t="shared" ca="1" si="14"/>
        <v>10.512024940599577</v>
      </c>
      <c r="AS11" s="102" t="s">
        <v>309</v>
      </c>
      <c r="AT11" s="176">
        <f ca="1">MIN(AQ7:AQ8)</f>
        <v>10.462488994080147</v>
      </c>
    </row>
    <row r="12" spans="2:46" x14ac:dyDescent="0.3">
      <c r="W12" s="166" t="s">
        <v>345</v>
      </c>
      <c r="X12" s="68">
        <v>0.05</v>
      </c>
      <c r="Y12" s="102">
        <v>1</v>
      </c>
      <c r="Z12" s="176">
        <f t="shared" si="4"/>
        <v>0.05</v>
      </c>
      <c r="AI12" s="74"/>
      <c r="AJ12" s="74"/>
      <c r="AK12" s="74"/>
      <c r="AL12" s="74"/>
      <c r="AM12" s="73"/>
      <c r="AN12" s="73"/>
      <c r="AO12" s="74"/>
      <c r="AS12" s="102" t="s">
        <v>310</v>
      </c>
      <c r="AT12" s="176">
        <f ca="1">MIN(AQ6)</f>
        <v>10.49098371862555</v>
      </c>
    </row>
    <row r="13" spans="2:46" x14ac:dyDescent="0.3">
      <c r="W13" s="166" t="s">
        <v>44</v>
      </c>
      <c r="X13" s="68">
        <v>10</v>
      </c>
      <c r="Y13" s="102"/>
      <c r="Z13" s="176" t="str">
        <f t="shared" si="4"/>
        <v/>
      </c>
      <c r="AS13" s="102" t="s">
        <v>311</v>
      </c>
      <c r="AT13" s="176">
        <f ca="1">MIN(AQ10)</f>
        <v>10.503514788390818</v>
      </c>
    </row>
    <row r="14" spans="2:46" x14ac:dyDescent="0.3">
      <c r="W14" s="166" t="s">
        <v>45</v>
      </c>
      <c r="X14" s="68">
        <v>5</v>
      </c>
      <c r="Y14" s="102"/>
      <c r="Z14" s="176" t="str">
        <f t="shared" si="4"/>
        <v/>
      </c>
      <c r="AI14" s="178"/>
      <c r="AJ14" s="178"/>
      <c r="AK14" s="178"/>
      <c r="AS14" s="102" t="s">
        <v>18</v>
      </c>
      <c r="AT14" s="176">
        <f ca="1">MIN(AQ9,AQ11)</f>
        <v>10.464759356700634</v>
      </c>
    </row>
    <row r="15" spans="2:46" x14ac:dyDescent="0.3">
      <c r="W15" s="166" t="s">
        <v>46</v>
      </c>
      <c r="X15" s="68">
        <v>0.3</v>
      </c>
      <c r="Y15" s="102"/>
      <c r="Z15" s="176" t="str">
        <f t="shared" si="4"/>
        <v/>
      </c>
      <c r="AI15" s="178"/>
      <c r="AJ15" s="178"/>
      <c r="AK15" s="178"/>
      <c r="AS15" s="102" t="s">
        <v>312</v>
      </c>
      <c r="AT15" s="176">
        <f ca="1">U11</f>
        <v>10.223818820699417</v>
      </c>
    </row>
    <row r="16" spans="2:46" x14ac:dyDescent="0.3">
      <c r="W16" s="166" t="s">
        <v>47</v>
      </c>
      <c r="X16" s="68">
        <v>1.8</v>
      </c>
      <c r="Y16" s="102"/>
      <c r="Z16" s="176" t="str">
        <f t="shared" si="4"/>
        <v/>
      </c>
      <c r="AI16" s="178"/>
      <c r="AJ16" s="178"/>
      <c r="AK16" s="178"/>
      <c r="AS16" s="102" t="s">
        <v>29</v>
      </c>
      <c r="AT16" s="176">
        <f ca="1">U9</f>
        <v>11.568495175132984</v>
      </c>
    </row>
    <row r="17" spans="23:46" x14ac:dyDescent="0.3">
      <c r="W17" s="166" t="s">
        <v>48</v>
      </c>
      <c r="X17" s="68">
        <v>1.8</v>
      </c>
      <c r="Y17" s="102"/>
      <c r="Z17" s="176" t="str">
        <f t="shared" si="4"/>
        <v/>
      </c>
      <c r="AI17" s="178"/>
      <c r="AJ17" s="178"/>
      <c r="AK17" s="178"/>
      <c r="AS17" s="102" t="s">
        <v>269</v>
      </c>
      <c r="AT17" s="176">
        <f ca="1">U10</f>
        <v>11.234258142915609</v>
      </c>
    </row>
    <row r="18" spans="23:46" x14ac:dyDescent="0.3">
      <c r="W18" s="166" t="s">
        <v>49</v>
      </c>
      <c r="X18" s="68">
        <v>3</v>
      </c>
      <c r="Y18" s="102"/>
      <c r="Z18" s="176" t="str">
        <f t="shared" si="4"/>
        <v/>
      </c>
      <c r="AI18" s="178"/>
      <c r="AJ18" s="178"/>
      <c r="AK18" s="178"/>
    </row>
    <row r="19" spans="23:46" x14ac:dyDescent="0.3">
      <c r="W19" s="166" t="s">
        <v>50</v>
      </c>
      <c r="X19" s="68">
        <v>2.5</v>
      </c>
      <c r="Y19" s="102"/>
      <c r="Z19" s="176" t="str">
        <f t="shared" si="4"/>
        <v/>
      </c>
      <c r="AI19" s="178"/>
      <c r="AJ19" s="178"/>
      <c r="AK19" s="178"/>
    </row>
    <row r="20" spans="23:46" x14ac:dyDescent="0.3">
      <c r="W20" s="166" t="s">
        <v>51</v>
      </c>
      <c r="X20" s="68">
        <v>0.35</v>
      </c>
      <c r="Y20" s="102"/>
      <c r="Z20" s="176" t="str">
        <f t="shared" si="4"/>
        <v/>
      </c>
      <c r="AI20" s="178"/>
      <c r="AJ20" s="178"/>
      <c r="AK20" s="178"/>
    </row>
    <row r="21" spans="23:46" x14ac:dyDescent="0.3">
      <c r="W21" s="166" t="s">
        <v>52</v>
      </c>
      <c r="X21" s="68">
        <v>0.3</v>
      </c>
      <c r="Y21" s="102"/>
      <c r="Z21" s="176" t="str">
        <f t="shared" si="4"/>
        <v/>
      </c>
      <c r="AI21" s="178"/>
      <c r="AJ21" s="178"/>
      <c r="AK21" s="178"/>
    </row>
    <row r="22" spans="23:46" x14ac:dyDescent="0.3">
      <c r="W22" s="166" t="s">
        <v>37</v>
      </c>
      <c r="X22" s="68">
        <v>1</v>
      </c>
      <c r="Y22" s="102"/>
      <c r="Z22" s="176" t="str">
        <f t="shared" si="4"/>
        <v/>
      </c>
      <c r="AI22" s="178"/>
      <c r="AJ22" s="178"/>
      <c r="AK22" s="178"/>
    </row>
    <row r="23" spans="23:46" x14ac:dyDescent="0.3">
      <c r="W23" s="172" t="s">
        <v>15</v>
      </c>
      <c r="X23" s="129"/>
      <c r="Y23" s="19"/>
      <c r="Z23" s="176">
        <f>SUM(Z3:Z22)</f>
        <v>3.65</v>
      </c>
      <c r="AI23" s="178"/>
      <c r="AJ23" s="178"/>
      <c r="AK23" s="178"/>
    </row>
    <row r="24" spans="23:46" x14ac:dyDescent="0.3">
      <c r="AI24" s="178"/>
      <c r="AJ24" s="178"/>
      <c r="AK24" s="178"/>
    </row>
    <row r="25" spans="23:46" x14ac:dyDescent="0.3">
      <c r="AI25" s="178"/>
      <c r="AJ25" s="178"/>
      <c r="AK25" s="178"/>
    </row>
    <row r="26" spans="23:46" x14ac:dyDescent="0.3">
      <c r="AI26" s="178"/>
      <c r="AJ26" s="178"/>
      <c r="AK26" s="178"/>
    </row>
    <row r="27" spans="23:46" x14ac:dyDescent="0.3">
      <c r="AI27" s="178"/>
      <c r="AJ27" s="178"/>
      <c r="AK27" s="178"/>
    </row>
    <row r="28" spans="23:46" x14ac:dyDescent="0.3">
      <c r="AI28" s="178"/>
      <c r="AJ28" s="178"/>
      <c r="AK28" s="178"/>
    </row>
    <row r="29" spans="23:46" x14ac:dyDescent="0.3">
      <c r="AI29" s="178"/>
      <c r="AJ29" s="178"/>
      <c r="AK29" s="178"/>
    </row>
    <row r="30" spans="23:46" x14ac:dyDescent="0.3">
      <c r="AI30" s="178"/>
      <c r="AJ30" s="178"/>
      <c r="AK30" s="178"/>
    </row>
    <row r="31" spans="23:46" x14ac:dyDescent="0.3">
      <c r="W31" s="73"/>
      <c r="X31" s="73"/>
      <c r="Y31" s="73"/>
      <c r="Z31" s="73"/>
      <c r="AI31" s="178"/>
      <c r="AJ31" s="178"/>
      <c r="AK31" s="178"/>
    </row>
    <row r="32" spans="23:46" x14ac:dyDescent="0.3">
      <c r="W32" s="73"/>
      <c r="X32" s="73"/>
      <c r="Y32" s="73"/>
      <c r="Z32" s="73"/>
      <c r="AI32" s="178"/>
      <c r="AJ32" s="178"/>
      <c r="AK32" s="178"/>
    </row>
    <row r="33" spans="23:37" x14ac:dyDescent="0.3">
      <c r="W33" s="73"/>
      <c r="X33" s="73"/>
      <c r="Y33" s="73"/>
      <c r="Z33" s="73"/>
      <c r="AI33" s="76"/>
      <c r="AJ33" s="73"/>
      <c r="AK33" s="73"/>
    </row>
    <row r="34" spans="23:37" x14ac:dyDescent="0.3">
      <c r="W34" s="73"/>
      <c r="X34" s="73"/>
      <c r="Y34" s="73"/>
      <c r="Z34" s="73"/>
      <c r="AI34" s="76"/>
      <c r="AJ34" s="73"/>
      <c r="AK34" s="73"/>
    </row>
    <row r="35" spans="23:37" x14ac:dyDescent="0.3">
      <c r="AI35" s="76"/>
      <c r="AJ35" s="73"/>
      <c r="AK35" s="73"/>
    </row>
  </sheetData>
  <mergeCells count="34">
    <mergeCell ref="AP3:AP4"/>
    <mergeCell ref="AQ3:AQ4"/>
    <mergeCell ref="AS3:AS4"/>
    <mergeCell ref="AT3:AT4"/>
    <mergeCell ref="AI3:AI4"/>
    <mergeCell ref="AJ3:AJ4"/>
    <mergeCell ref="AK3:AK4"/>
    <mergeCell ref="AL3:AM4"/>
    <mergeCell ref="AN3:AN4"/>
    <mergeCell ref="AO3:AO4"/>
    <mergeCell ref="AH3:AH4"/>
    <mergeCell ref="O2:O3"/>
    <mergeCell ref="P2:P3"/>
    <mergeCell ref="Q2:Q3"/>
    <mergeCell ref="R2:R3"/>
    <mergeCell ref="S2:T3"/>
    <mergeCell ref="U2:U3"/>
    <mergeCell ref="AB3:AB4"/>
    <mergeCell ref="AC3:AD3"/>
    <mergeCell ref="AE3:AE4"/>
    <mergeCell ref="AF3:AF4"/>
    <mergeCell ref="AG3:AG4"/>
    <mergeCell ref="N2:N3"/>
    <mergeCell ref="B2:B3"/>
    <mergeCell ref="C2:C3"/>
    <mergeCell ref="D2:D3"/>
    <mergeCell ref="E2:E3"/>
    <mergeCell ref="F2:F3"/>
    <mergeCell ref="G2:G3"/>
    <mergeCell ref="H2:H3"/>
    <mergeCell ref="I2:I3"/>
    <mergeCell ref="J2:K2"/>
    <mergeCell ref="L2:L3"/>
    <mergeCell ref="M2:M3"/>
  </mergeCell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V20"/>
  <sheetViews>
    <sheetView workbookViewId="0">
      <selection activeCell="M22" sqref="M22"/>
    </sheetView>
  </sheetViews>
  <sheetFormatPr baseColWidth="10" defaultColWidth="11.5546875" defaultRowHeight="14.4" x14ac:dyDescent="0.3"/>
  <cols>
    <col min="1" max="1" width="5.6640625" style="154" customWidth="1"/>
    <col min="2" max="2" width="5.5546875" style="154" bestFit="1" customWidth="1"/>
    <col min="3" max="3" width="9.6640625" style="154" bestFit="1" customWidth="1"/>
    <col min="4" max="4" width="9.33203125" style="154" bestFit="1" customWidth="1"/>
    <col min="5" max="5" width="6" style="154" bestFit="1" customWidth="1"/>
    <col min="6" max="6" width="6.5546875" style="154" bestFit="1" customWidth="1"/>
    <col min="7" max="7" width="12.6640625" style="154" customWidth="1"/>
    <col min="8" max="8" width="9.109375" style="154" bestFit="1" customWidth="1"/>
    <col min="9" max="9" width="10.88671875" style="154" customWidth="1"/>
    <col min="10" max="10" width="14" style="154" customWidth="1"/>
    <col min="11" max="11" width="7.5546875" style="154" bestFit="1" customWidth="1"/>
    <col min="12" max="13" width="9.6640625" style="154" customWidth="1"/>
    <col min="14" max="14" width="9.6640625" style="154" bestFit="1" customWidth="1"/>
    <col min="15" max="15" width="8.109375" style="154" customWidth="1"/>
    <col min="16" max="16" width="5.33203125" style="154" bestFit="1" customWidth="1"/>
    <col min="17" max="17" width="9.6640625" style="154" customWidth="1"/>
    <col min="18" max="18" width="5.33203125" style="154" bestFit="1" customWidth="1"/>
    <col min="19" max="19" width="9.6640625" style="154" customWidth="1"/>
    <col min="20" max="20" width="10.5546875" style="154" bestFit="1" customWidth="1"/>
    <col min="21" max="16384" width="11.5546875" style="154"/>
  </cols>
  <sheetData>
    <row r="2" spans="2:22" x14ac:dyDescent="0.3">
      <c r="B2" s="229" t="s">
        <v>441</v>
      </c>
      <c r="C2" s="229"/>
      <c r="D2" s="229"/>
      <c r="E2" s="229"/>
      <c r="F2" s="229"/>
      <c r="G2" s="229"/>
      <c r="H2" s="229"/>
      <c r="I2" s="229"/>
      <c r="J2" s="229"/>
      <c r="K2" s="229"/>
      <c r="L2" s="229"/>
      <c r="M2" s="229"/>
      <c r="N2" s="229"/>
      <c r="O2" s="229"/>
      <c r="P2" s="229"/>
      <c r="Q2" s="229"/>
      <c r="R2" s="229"/>
      <c r="S2" s="229"/>
      <c r="T2" s="229"/>
    </row>
    <row r="3" spans="2:22" x14ac:dyDescent="0.3">
      <c r="B3" s="229" t="s">
        <v>305</v>
      </c>
      <c r="C3" s="229" t="s">
        <v>313</v>
      </c>
      <c r="D3" s="229" t="s">
        <v>314</v>
      </c>
      <c r="E3" s="229" t="s">
        <v>315</v>
      </c>
      <c r="F3" s="229" t="s">
        <v>323</v>
      </c>
      <c r="G3" s="247" t="s">
        <v>316</v>
      </c>
      <c r="H3" s="229" t="s">
        <v>319</v>
      </c>
      <c r="I3" s="247" t="s">
        <v>318</v>
      </c>
      <c r="J3" s="247" t="s">
        <v>317</v>
      </c>
      <c r="K3" s="229" t="s">
        <v>343</v>
      </c>
      <c r="L3" s="229"/>
      <c r="M3" s="229"/>
      <c r="N3" s="229" t="s">
        <v>118</v>
      </c>
      <c r="O3" s="247" t="s">
        <v>337</v>
      </c>
      <c r="P3" s="229" t="s">
        <v>63</v>
      </c>
      <c r="Q3" s="229"/>
      <c r="R3" s="229" t="s">
        <v>103</v>
      </c>
      <c r="S3" s="229"/>
      <c r="T3" s="229"/>
      <c r="V3" s="180"/>
    </row>
    <row r="4" spans="2:22" x14ac:dyDescent="0.3">
      <c r="B4" s="229"/>
      <c r="C4" s="229"/>
      <c r="D4" s="229"/>
      <c r="E4" s="229"/>
      <c r="F4" s="229"/>
      <c r="G4" s="247"/>
      <c r="H4" s="229"/>
      <c r="I4" s="247"/>
      <c r="J4" s="247"/>
      <c r="K4" s="152" t="s">
        <v>342</v>
      </c>
      <c r="L4" s="152" t="s">
        <v>69</v>
      </c>
      <c r="M4" s="152" t="s">
        <v>70</v>
      </c>
      <c r="N4" s="229"/>
      <c r="O4" s="247"/>
      <c r="P4" s="152" t="s">
        <v>338</v>
      </c>
      <c r="Q4" s="152" t="s">
        <v>344</v>
      </c>
      <c r="R4" s="152" t="s">
        <v>237</v>
      </c>
      <c r="S4" s="152" t="s">
        <v>70</v>
      </c>
      <c r="T4" s="152" t="s">
        <v>69</v>
      </c>
    </row>
    <row r="5" spans="2:22" x14ac:dyDescent="0.3">
      <c r="B5" s="102" t="s">
        <v>306</v>
      </c>
      <c r="C5" s="102">
        <v>34</v>
      </c>
      <c r="D5" s="152">
        <v>200</v>
      </c>
      <c r="E5" s="152">
        <f>C5*D5</f>
        <v>6800</v>
      </c>
      <c r="F5" s="158">
        <f>E5/(24*60*60)</f>
        <v>7.8703703703703706E-2</v>
      </c>
      <c r="G5" s="106">
        <v>424.68799999999999</v>
      </c>
      <c r="H5" s="106" t="s">
        <v>321</v>
      </c>
      <c r="I5" s="135">
        <v>0.65</v>
      </c>
      <c r="J5" s="158">
        <f>G5-I5</f>
        <v>424.03800000000001</v>
      </c>
      <c r="K5" s="106">
        <v>11.81</v>
      </c>
      <c r="L5" s="153" t="str">
        <f>IF(K5&gt;10,"Cumple","No cumple")</f>
        <v>Cumple</v>
      </c>
      <c r="M5" s="158" t="str">
        <f>IF(K5&lt;60,"Cumple","No cumple")</f>
        <v>Cumple</v>
      </c>
      <c r="N5" s="102" t="s">
        <v>324</v>
      </c>
      <c r="O5" s="106">
        <v>28.0383</v>
      </c>
      <c r="P5" s="102">
        <v>75</v>
      </c>
      <c r="Q5" s="7" t="str">
        <f>IF(P5&gt;=75,"Cumple","No cumple")</f>
        <v>Cumple</v>
      </c>
      <c r="R5" s="135">
        <v>1.2</v>
      </c>
      <c r="S5" s="7" t="str">
        <f>IF(R5&lt;=6,"Cumple","No cumple")</f>
        <v>Cumple</v>
      </c>
      <c r="T5" s="152" t="str">
        <f>IF(R5&gt;=0.5,"Cumple","No cumple")</f>
        <v>Cumple</v>
      </c>
    </row>
    <row r="6" spans="2:22" x14ac:dyDescent="0.3">
      <c r="B6" s="102" t="s">
        <v>307</v>
      </c>
      <c r="C6" s="102">
        <v>38</v>
      </c>
      <c r="D6" s="152">
        <v>200</v>
      </c>
      <c r="E6" s="152">
        <f t="shared" ref="E6:E16" si="0">C6*D6</f>
        <v>7600</v>
      </c>
      <c r="F6" s="158">
        <f t="shared" ref="F6:F16" si="1">E6/(24*60*60)</f>
        <v>8.7962962962962965E-2</v>
      </c>
      <c r="G6" s="106">
        <v>423.995</v>
      </c>
      <c r="H6" s="106" t="s">
        <v>321</v>
      </c>
      <c r="I6" s="135">
        <v>0.65</v>
      </c>
      <c r="J6" s="158">
        <f t="shared" ref="J6:J16" si="2">G6-I6</f>
        <v>423.34500000000003</v>
      </c>
      <c r="K6" s="106">
        <v>12.12</v>
      </c>
      <c r="L6" s="153" t="str">
        <f t="shared" ref="L6:L16" si="3">IF(K6&gt;10,"Cumple","No cumple")</f>
        <v>Cumple</v>
      </c>
      <c r="M6" s="158" t="str">
        <f t="shared" ref="M6:M16" si="4">IF(K6&lt;60,"Cumple","No cumple")</f>
        <v>Cumple</v>
      </c>
      <c r="N6" s="102" t="s">
        <v>325</v>
      </c>
      <c r="O6" s="106">
        <v>65</v>
      </c>
      <c r="P6" s="102">
        <v>75</v>
      </c>
      <c r="Q6" s="7" t="str">
        <f t="shared" ref="Q6:Q20" si="5">IF(P6&gt;=75,"Cumple","No cumple")</f>
        <v>Cumple</v>
      </c>
      <c r="R6" s="135">
        <v>0.59</v>
      </c>
      <c r="S6" s="7" t="str">
        <f t="shared" ref="S6:S20" si="6">IF(R6&lt;=6,"Cumple","No cumple")</f>
        <v>Cumple</v>
      </c>
      <c r="T6" s="152" t="str">
        <f t="shared" ref="T6:T20" si="7">IF(R6&gt;=0.5,"Cumple","No cumple")</f>
        <v>Cumple</v>
      </c>
    </row>
    <row r="7" spans="2:22" x14ac:dyDescent="0.3">
      <c r="B7" s="102" t="s">
        <v>341</v>
      </c>
      <c r="C7" s="102">
        <v>0</v>
      </c>
      <c r="D7" s="152">
        <v>200</v>
      </c>
      <c r="E7" s="102">
        <v>36000</v>
      </c>
      <c r="F7" s="158">
        <f>E7/(2*60*60)</f>
        <v>5</v>
      </c>
      <c r="G7" s="106">
        <v>423.58499999999998</v>
      </c>
      <c r="H7" s="106" t="s">
        <v>340</v>
      </c>
      <c r="I7" s="135">
        <v>1</v>
      </c>
      <c r="J7" s="158">
        <f t="shared" si="2"/>
        <v>422.58499999999998</v>
      </c>
      <c r="K7" s="106">
        <v>12.53</v>
      </c>
      <c r="L7" s="153" t="str">
        <f t="shared" si="3"/>
        <v>Cumple</v>
      </c>
      <c r="M7" s="158" t="str">
        <f t="shared" si="4"/>
        <v>Cumple</v>
      </c>
      <c r="N7" s="102" t="s">
        <v>349</v>
      </c>
      <c r="O7" s="106">
        <v>37.6</v>
      </c>
      <c r="P7" s="102">
        <v>75</v>
      </c>
      <c r="Q7" s="7" t="str">
        <f t="shared" si="5"/>
        <v>Cumple</v>
      </c>
      <c r="R7" s="135">
        <v>0.71</v>
      </c>
      <c r="S7" s="7" t="str">
        <f t="shared" si="6"/>
        <v>Cumple</v>
      </c>
      <c r="T7" s="152" t="str">
        <f t="shared" si="7"/>
        <v>Cumple</v>
      </c>
    </row>
    <row r="8" spans="2:22" x14ac:dyDescent="0.3">
      <c r="B8" s="102" t="s">
        <v>16</v>
      </c>
      <c r="C8" s="102">
        <v>15</v>
      </c>
      <c r="D8" s="152">
        <v>200</v>
      </c>
      <c r="E8" s="152">
        <f t="shared" si="0"/>
        <v>3000</v>
      </c>
      <c r="F8" s="158">
        <f t="shared" si="1"/>
        <v>3.4722222222222224E-2</v>
      </c>
      <c r="G8" s="106">
        <v>423.27699999999999</v>
      </c>
      <c r="H8" s="106" t="s">
        <v>321</v>
      </c>
      <c r="I8" s="135">
        <v>0.65</v>
      </c>
      <c r="J8" s="158">
        <f t="shared" si="2"/>
        <v>422.62700000000001</v>
      </c>
      <c r="K8" s="106">
        <v>12.55</v>
      </c>
      <c r="L8" s="153" t="str">
        <f t="shared" si="3"/>
        <v>Cumple</v>
      </c>
      <c r="M8" s="158" t="str">
        <f t="shared" si="4"/>
        <v>Cumple</v>
      </c>
      <c r="N8" s="102" t="s">
        <v>354</v>
      </c>
      <c r="O8" s="106">
        <v>27.6</v>
      </c>
      <c r="P8" s="102">
        <v>75</v>
      </c>
      <c r="Q8" s="7" t="str">
        <f t="shared" si="5"/>
        <v>Cumple</v>
      </c>
      <c r="R8" s="135">
        <v>0.64</v>
      </c>
      <c r="S8" s="7" t="str">
        <f t="shared" si="6"/>
        <v>Cumple</v>
      </c>
      <c r="T8" s="152" t="str">
        <f t="shared" si="7"/>
        <v>Cumple</v>
      </c>
    </row>
    <row r="9" spans="2:22" x14ac:dyDescent="0.3">
      <c r="B9" s="102" t="s">
        <v>308</v>
      </c>
      <c r="C9" s="102">
        <v>12</v>
      </c>
      <c r="D9" s="152">
        <v>200</v>
      </c>
      <c r="E9" s="152">
        <f t="shared" si="0"/>
        <v>2400</v>
      </c>
      <c r="F9" s="158">
        <f t="shared" si="1"/>
        <v>2.7777777777777776E-2</v>
      </c>
      <c r="G9" s="106">
        <v>423.59</v>
      </c>
      <c r="H9" s="106" t="s">
        <v>321</v>
      </c>
      <c r="I9" s="135">
        <v>0.65</v>
      </c>
      <c r="J9" s="158">
        <f t="shared" si="2"/>
        <v>422.94</v>
      </c>
      <c r="K9" s="106">
        <v>12.39</v>
      </c>
      <c r="L9" s="153" t="str">
        <f t="shared" si="3"/>
        <v>Cumple</v>
      </c>
      <c r="M9" s="158" t="str">
        <f t="shared" si="4"/>
        <v>Cumple</v>
      </c>
      <c r="N9" s="102" t="s">
        <v>353</v>
      </c>
      <c r="O9" s="106">
        <v>65</v>
      </c>
      <c r="P9" s="102">
        <v>75</v>
      </c>
      <c r="Q9" s="7" t="str">
        <f t="shared" si="5"/>
        <v>Cumple</v>
      </c>
      <c r="R9" s="135">
        <v>0.32</v>
      </c>
      <c r="S9" s="7" t="str">
        <f t="shared" si="6"/>
        <v>Cumple</v>
      </c>
      <c r="T9" s="152" t="str">
        <f t="shared" si="7"/>
        <v>No cumple</v>
      </c>
    </row>
    <row r="10" spans="2:22" x14ac:dyDescent="0.3">
      <c r="B10" s="102" t="s">
        <v>309</v>
      </c>
      <c r="C10" s="102">
        <v>19</v>
      </c>
      <c r="D10" s="152">
        <v>200</v>
      </c>
      <c r="E10" s="152">
        <f t="shared" si="0"/>
        <v>3800</v>
      </c>
      <c r="F10" s="158">
        <f t="shared" si="1"/>
        <v>4.3981481481481483E-2</v>
      </c>
      <c r="G10" s="106">
        <v>424.40899999999999</v>
      </c>
      <c r="H10" s="106" t="s">
        <v>321</v>
      </c>
      <c r="I10" s="135">
        <v>0.85</v>
      </c>
      <c r="J10" s="158">
        <f t="shared" si="2"/>
        <v>423.55899999999997</v>
      </c>
      <c r="K10" s="106">
        <v>11.9</v>
      </c>
      <c r="L10" s="153" t="str">
        <f t="shared" si="3"/>
        <v>Cumple</v>
      </c>
      <c r="M10" s="158" t="str">
        <f t="shared" si="4"/>
        <v>Cumple</v>
      </c>
      <c r="N10" s="102" t="s">
        <v>355</v>
      </c>
      <c r="O10" s="106">
        <v>27.6</v>
      </c>
      <c r="P10" s="102">
        <v>75</v>
      </c>
      <c r="Q10" s="7" t="str">
        <f t="shared" si="5"/>
        <v>Cumple</v>
      </c>
      <c r="R10" s="135">
        <v>0.14000000000000001</v>
      </c>
      <c r="S10" s="7" t="str">
        <f t="shared" si="6"/>
        <v>Cumple</v>
      </c>
      <c r="T10" s="152" t="str">
        <f t="shared" si="7"/>
        <v>No cumple</v>
      </c>
    </row>
    <row r="11" spans="2:22" x14ac:dyDescent="0.3">
      <c r="B11" s="102" t="s">
        <v>310</v>
      </c>
      <c r="C11" s="102">
        <v>42</v>
      </c>
      <c r="D11" s="152">
        <v>200</v>
      </c>
      <c r="E11" s="152">
        <f t="shared" si="0"/>
        <v>8400</v>
      </c>
      <c r="F11" s="158">
        <f t="shared" si="1"/>
        <v>9.7222222222222224E-2</v>
      </c>
      <c r="G11" s="106">
        <v>424.24099999999999</v>
      </c>
      <c r="H11" s="106" t="s">
        <v>321</v>
      </c>
      <c r="I11" s="135">
        <v>0.65</v>
      </c>
      <c r="J11" s="158">
        <f t="shared" si="2"/>
        <v>423.59100000000001</v>
      </c>
      <c r="K11" s="106">
        <v>11.89</v>
      </c>
      <c r="L11" s="153" t="str">
        <f t="shared" si="3"/>
        <v>Cumple</v>
      </c>
      <c r="M11" s="158" t="str">
        <f t="shared" si="4"/>
        <v>Cumple</v>
      </c>
      <c r="N11" s="102" t="s">
        <v>356</v>
      </c>
      <c r="O11" s="106">
        <v>34.61</v>
      </c>
      <c r="P11" s="102">
        <v>75</v>
      </c>
      <c r="Q11" s="7" t="str">
        <f t="shared" si="5"/>
        <v>Cumple</v>
      </c>
      <c r="R11" s="135">
        <v>0.16</v>
      </c>
      <c r="S11" s="7" t="str">
        <f t="shared" si="6"/>
        <v>Cumple</v>
      </c>
      <c r="T11" s="152" t="str">
        <f t="shared" si="7"/>
        <v>No cumple</v>
      </c>
    </row>
    <row r="12" spans="2:22" x14ac:dyDescent="0.3">
      <c r="B12" s="102" t="s">
        <v>311</v>
      </c>
      <c r="C12" s="102">
        <v>38</v>
      </c>
      <c r="D12" s="152">
        <v>200</v>
      </c>
      <c r="E12" s="152">
        <f t="shared" si="0"/>
        <v>7600</v>
      </c>
      <c r="F12" s="158">
        <f t="shared" si="1"/>
        <v>8.7962962962962965E-2</v>
      </c>
      <c r="G12" s="106">
        <v>424.86200000000002</v>
      </c>
      <c r="H12" s="106" t="s">
        <v>321</v>
      </c>
      <c r="I12" s="135">
        <v>0.85</v>
      </c>
      <c r="J12" s="158">
        <f t="shared" si="2"/>
        <v>424.012</v>
      </c>
      <c r="K12" s="106">
        <v>11.6</v>
      </c>
      <c r="L12" s="153" t="str">
        <f t="shared" si="3"/>
        <v>Cumple</v>
      </c>
      <c r="M12" s="158" t="str">
        <f t="shared" si="4"/>
        <v>Cumple</v>
      </c>
      <c r="N12" s="102" t="s">
        <v>357</v>
      </c>
      <c r="O12" s="106">
        <v>19.399999999999999</v>
      </c>
      <c r="P12" s="102">
        <v>75</v>
      </c>
      <c r="Q12" s="7" t="str">
        <f t="shared" si="5"/>
        <v>Cumple</v>
      </c>
      <c r="R12" s="135">
        <v>0.3</v>
      </c>
      <c r="S12" s="7" t="str">
        <f t="shared" si="6"/>
        <v>Cumple</v>
      </c>
      <c r="T12" s="152" t="str">
        <f t="shared" si="7"/>
        <v>No cumple</v>
      </c>
    </row>
    <row r="13" spans="2:22" x14ac:dyDescent="0.3">
      <c r="B13" s="102" t="s">
        <v>18</v>
      </c>
      <c r="C13" s="102">
        <v>21</v>
      </c>
      <c r="D13" s="152">
        <v>200</v>
      </c>
      <c r="E13" s="152">
        <f t="shared" si="0"/>
        <v>4200</v>
      </c>
      <c r="F13" s="158">
        <f t="shared" si="1"/>
        <v>4.8611111111111112E-2</v>
      </c>
      <c r="G13" s="106">
        <v>424.95699999999999</v>
      </c>
      <c r="H13" s="106" t="s">
        <v>321</v>
      </c>
      <c r="I13" s="135">
        <v>1</v>
      </c>
      <c r="J13" s="158">
        <f t="shared" si="2"/>
        <v>423.95699999999999</v>
      </c>
      <c r="K13" s="106">
        <v>11.6</v>
      </c>
      <c r="L13" s="153" t="str">
        <f t="shared" si="3"/>
        <v>Cumple</v>
      </c>
      <c r="M13" s="158" t="str">
        <f t="shared" si="4"/>
        <v>Cumple</v>
      </c>
      <c r="N13" s="102" t="s">
        <v>358</v>
      </c>
      <c r="O13" s="106">
        <v>27.9</v>
      </c>
      <c r="P13" s="102">
        <v>75</v>
      </c>
      <c r="Q13" s="7" t="str">
        <f t="shared" si="5"/>
        <v>Cumple</v>
      </c>
      <c r="R13" s="135">
        <v>0.1</v>
      </c>
      <c r="S13" s="7" t="str">
        <f t="shared" si="6"/>
        <v>Cumple</v>
      </c>
      <c r="T13" s="152" t="str">
        <f t="shared" si="7"/>
        <v>No cumple</v>
      </c>
    </row>
    <row r="14" spans="2:22" x14ac:dyDescent="0.3">
      <c r="B14" s="102" t="s">
        <v>312</v>
      </c>
      <c r="C14" s="102">
        <v>13</v>
      </c>
      <c r="D14" s="152">
        <v>200</v>
      </c>
      <c r="E14" s="152">
        <f t="shared" si="0"/>
        <v>2600</v>
      </c>
      <c r="F14" s="158">
        <f t="shared" si="1"/>
        <v>3.0092592592592591E-2</v>
      </c>
      <c r="G14" s="106">
        <v>425.22800000000001</v>
      </c>
      <c r="H14" s="102" t="s">
        <v>321</v>
      </c>
      <c r="I14" s="135">
        <v>1.25</v>
      </c>
      <c r="J14" s="158">
        <f t="shared" si="2"/>
        <v>423.97800000000001</v>
      </c>
      <c r="K14" s="106">
        <v>11.59</v>
      </c>
      <c r="L14" s="153" t="str">
        <f t="shared" si="3"/>
        <v>Cumple</v>
      </c>
      <c r="M14" s="158" t="str">
        <f t="shared" si="4"/>
        <v>Cumple</v>
      </c>
      <c r="N14" s="102" t="s">
        <v>352</v>
      </c>
      <c r="O14" s="106">
        <v>15.21</v>
      </c>
      <c r="P14" s="102">
        <v>75</v>
      </c>
      <c r="Q14" s="7" t="str">
        <f t="shared" si="5"/>
        <v>Cumple</v>
      </c>
      <c r="R14" s="135">
        <v>0.2</v>
      </c>
      <c r="S14" s="7" t="str">
        <f t="shared" si="6"/>
        <v>Cumple</v>
      </c>
      <c r="T14" s="152" t="str">
        <f t="shared" si="7"/>
        <v>No cumple</v>
      </c>
    </row>
    <row r="15" spans="2:22" x14ac:dyDescent="0.3">
      <c r="B15" s="102" t="s">
        <v>29</v>
      </c>
      <c r="C15" s="102">
        <v>0</v>
      </c>
      <c r="D15" s="152">
        <v>200</v>
      </c>
      <c r="E15" s="152">
        <f t="shared" si="0"/>
        <v>0</v>
      </c>
      <c r="F15" s="158">
        <f t="shared" si="1"/>
        <v>0</v>
      </c>
      <c r="G15" s="106">
        <v>425.38900000000001</v>
      </c>
      <c r="H15" s="102" t="s">
        <v>321</v>
      </c>
      <c r="I15" s="135">
        <v>1.4</v>
      </c>
      <c r="J15" s="158">
        <f t="shared" si="2"/>
        <v>423.98900000000003</v>
      </c>
      <c r="K15" s="106">
        <v>11.58</v>
      </c>
      <c r="L15" s="153" t="str">
        <f t="shared" si="3"/>
        <v>Cumple</v>
      </c>
      <c r="M15" s="158" t="str">
        <f t="shared" si="4"/>
        <v>Cumple</v>
      </c>
      <c r="N15" s="102" t="s">
        <v>350</v>
      </c>
      <c r="O15" s="106">
        <v>15.21</v>
      </c>
      <c r="P15" s="102">
        <v>75</v>
      </c>
      <c r="Q15" s="7" t="str">
        <f t="shared" si="5"/>
        <v>Cumple</v>
      </c>
      <c r="R15" s="135">
        <v>0.1</v>
      </c>
      <c r="S15" s="7" t="str">
        <f t="shared" si="6"/>
        <v>Cumple</v>
      </c>
      <c r="T15" s="152" t="str">
        <f t="shared" si="7"/>
        <v>No cumple</v>
      </c>
    </row>
    <row r="16" spans="2:22" x14ac:dyDescent="0.3">
      <c r="B16" s="102" t="s">
        <v>269</v>
      </c>
      <c r="C16" s="102">
        <v>0</v>
      </c>
      <c r="D16" s="152">
        <v>200</v>
      </c>
      <c r="E16" s="152">
        <f t="shared" si="0"/>
        <v>0</v>
      </c>
      <c r="F16" s="158">
        <f t="shared" si="1"/>
        <v>0</v>
      </c>
      <c r="G16" s="106">
        <v>424.89699999999999</v>
      </c>
      <c r="H16" s="102" t="s">
        <v>321</v>
      </c>
      <c r="I16" s="135">
        <v>0.9</v>
      </c>
      <c r="J16" s="158">
        <f t="shared" si="2"/>
        <v>423.99700000000001</v>
      </c>
      <c r="K16" s="106">
        <v>11.58</v>
      </c>
      <c r="L16" s="153" t="str">
        <f t="shared" si="3"/>
        <v>Cumple</v>
      </c>
      <c r="M16" s="158" t="str">
        <f t="shared" si="4"/>
        <v>Cumple</v>
      </c>
      <c r="N16" s="102" t="s">
        <v>351</v>
      </c>
      <c r="O16" s="106">
        <v>27.9</v>
      </c>
      <c r="P16" s="102">
        <v>75</v>
      </c>
      <c r="Q16" s="7" t="str">
        <f t="shared" si="5"/>
        <v>Cumple</v>
      </c>
      <c r="R16" s="135">
        <v>0.09</v>
      </c>
      <c r="S16" s="7" t="str">
        <f t="shared" si="6"/>
        <v>Cumple</v>
      </c>
      <c r="T16" s="152" t="str">
        <f t="shared" si="7"/>
        <v>No cumple</v>
      </c>
    </row>
    <row r="17" spans="10:20" x14ac:dyDescent="0.3">
      <c r="J17" s="73"/>
      <c r="N17" s="102" t="s">
        <v>359</v>
      </c>
      <c r="O17" s="106">
        <v>65</v>
      </c>
      <c r="P17" s="102">
        <v>75</v>
      </c>
      <c r="Q17" s="7" t="str">
        <f t="shared" si="5"/>
        <v>Cumple</v>
      </c>
      <c r="R17" s="135">
        <v>0.28999999999999998</v>
      </c>
      <c r="S17" s="7" t="str">
        <f t="shared" si="6"/>
        <v>Cumple</v>
      </c>
      <c r="T17" s="152" t="str">
        <f t="shared" si="7"/>
        <v>No cumple</v>
      </c>
    </row>
    <row r="18" spans="10:20" x14ac:dyDescent="0.3">
      <c r="N18" s="102" t="s">
        <v>360</v>
      </c>
      <c r="O18" s="106">
        <v>37.6</v>
      </c>
      <c r="P18" s="102">
        <v>75</v>
      </c>
      <c r="Q18" s="7" t="str">
        <f t="shared" si="5"/>
        <v>Cumple</v>
      </c>
      <c r="R18" s="135">
        <v>0.43</v>
      </c>
      <c r="S18" s="7" t="str">
        <f t="shared" si="6"/>
        <v>Cumple</v>
      </c>
      <c r="T18" s="152" t="str">
        <f t="shared" si="7"/>
        <v>No cumple</v>
      </c>
    </row>
    <row r="19" spans="10:20" x14ac:dyDescent="0.3">
      <c r="J19" s="73"/>
      <c r="N19" s="102" t="s">
        <v>361</v>
      </c>
      <c r="O19" s="106">
        <v>46.658000000000001</v>
      </c>
      <c r="P19" s="102">
        <v>75</v>
      </c>
      <c r="Q19" s="7" t="str">
        <f t="shared" si="5"/>
        <v>Cumple</v>
      </c>
      <c r="R19" s="102">
        <v>0.43</v>
      </c>
      <c r="S19" s="7" t="str">
        <f t="shared" si="6"/>
        <v>Cumple</v>
      </c>
      <c r="T19" s="152" t="str">
        <f t="shared" si="7"/>
        <v>No cumple</v>
      </c>
    </row>
    <row r="20" spans="10:20" x14ac:dyDescent="0.3">
      <c r="N20" s="102" t="s">
        <v>348</v>
      </c>
      <c r="O20" s="102">
        <v>15.552</v>
      </c>
      <c r="P20" s="102">
        <v>75</v>
      </c>
      <c r="Q20" s="7" t="str">
        <f t="shared" si="5"/>
        <v>Cumple</v>
      </c>
      <c r="R20" s="102">
        <v>0.42</v>
      </c>
      <c r="S20" s="7" t="str">
        <f t="shared" si="6"/>
        <v>Cumple</v>
      </c>
      <c r="T20" s="152" t="str">
        <f t="shared" si="7"/>
        <v>No cumple</v>
      </c>
    </row>
  </sheetData>
  <mergeCells count="15">
    <mergeCell ref="B2:T2"/>
    <mergeCell ref="B3:B4"/>
    <mergeCell ref="C3:C4"/>
    <mergeCell ref="D3:D4"/>
    <mergeCell ref="E3:E4"/>
    <mergeCell ref="F3:F4"/>
    <mergeCell ref="G3:G4"/>
    <mergeCell ref="H3:H4"/>
    <mergeCell ref="I3:I4"/>
    <mergeCell ref="J3:J4"/>
    <mergeCell ref="K3:M3"/>
    <mergeCell ref="N3:N4"/>
    <mergeCell ref="O3:O4"/>
    <mergeCell ref="P3:Q3"/>
    <mergeCell ref="R3:T3"/>
  </mergeCells>
  <dataValidations count="1">
    <dataValidation allowBlank="1" showInputMessage="1" showErrorMessage="1" prompt="Tener en cuenta la formula ya que el diametro minimo depende de si la red es matriz o menor en la distribución, o si es la tuberia de un hidrante" sqref="Q5:Q20" xr:uid="{00000000-0002-0000-0800-000000000000}"/>
  </dataValidations>
  <pageMargins left="0.7" right="0.7" top="0.75" bottom="0.75"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BF5000"/>
  <sheetViews>
    <sheetView topLeftCell="L1" zoomScaleNormal="100" workbookViewId="0">
      <selection activeCell="BC7" sqref="BC7"/>
    </sheetView>
  </sheetViews>
  <sheetFormatPr baseColWidth="10" defaultColWidth="11.5546875" defaultRowHeight="14.4" x14ac:dyDescent="0.3"/>
  <cols>
    <col min="1" max="1" width="5.6640625" style="175" customWidth="1"/>
    <col min="2" max="2" width="28.33203125" style="175" bestFit="1" customWidth="1"/>
    <col min="3" max="3" width="5.5546875" style="175" bestFit="1" customWidth="1"/>
    <col min="4" max="4" width="8.5546875" style="175" bestFit="1" customWidth="1"/>
    <col min="5" max="5" width="5.33203125" style="175" bestFit="1" customWidth="1"/>
    <col min="6" max="6" width="5.6640625" style="175" customWidth="1"/>
    <col min="7" max="7" width="10.5546875" style="175" bestFit="1" customWidth="1"/>
    <col min="8" max="8" width="8.109375" style="175" bestFit="1" customWidth="1"/>
    <col min="9" max="9" width="11.5546875" style="175" bestFit="1" customWidth="1"/>
    <col min="10" max="10" width="5.6640625" style="175" customWidth="1"/>
    <col min="11" max="17" width="11.5546875" style="175"/>
    <col min="18" max="18" width="5.6640625" style="175" customWidth="1"/>
    <col min="19" max="20" width="5.5546875" style="175" bestFit="1" customWidth="1"/>
    <col min="21" max="21" width="5.6640625" style="175" customWidth="1"/>
    <col min="22" max="22" width="7.5546875" style="175" bestFit="1" customWidth="1"/>
    <col min="23" max="23" width="5.5546875" style="175" bestFit="1" customWidth="1"/>
    <col min="24" max="24" width="7.5546875" style="175" bestFit="1" customWidth="1"/>
    <col min="25" max="25" width="4.88671875" style="175" bestFit="1" customWidth="1"/>
    <col min="26" max="26" width="7" style="175" bestFit="1" customWidth="1"/>
    <col min="27" max="27" width="7.33203125" style="175" customWidth="1"/>
    <col min="28" max="28" width="6.6640625" style="175" customWidth="1"/>
    <col min="29" max="29" width="8.6640625" style="175" customWidth="1"/>
    <col min="30" max="30" width="12.33203125" style="175" customWidth="1"/>
    <col min="31" max="31" width="9.33203125" style="175" customWidth="1"/>
    <col min="32" max="32" width="10" style="175" bestFit="1" customWidth="1"/>
    <col min="33" max="33" width="4.5546875" style="175" bestFit="1" customWidth="1"/>
    <col min="34" max="34" width="5.6640625" style="175" customWidth="1"/>
    <col min="35" max="35" width="8.6640625" style="175" bestFit="1" customWidth="1"/>
    <col min="36" max="36" width="7.5546875" style="175" bestFit="1" customWidth="1"/>
    <col min="37" max="37" width="7.109375" style="175" bestFit="1" customWidth="1"/>
    <col min="38" max="38" width="8.33203125" style="175" bestFit="1" customWidth="1"/>
    <col min="39" max="39" width="5.6640625" style="175" customWidth="1"/>
    <col min="40" max="40" width="8.33203125" style="175" bestFit="1" customWidth="1"/>
    <col min="41" max="41" width="9" style="175" bestFit="1" customWidth="1"/>
    <col min="42" max="42" width="9.5546875" style="175" bestFit="1" customWidth="1"/>
    <col min="43" max="43" width="9.5546875" style="175" customWidth="1"/>
    <col min="44" max="44" width="9.5546875" style="175" bestFit="1" customWidth="1"/>
    <col min="45" max="45" width="8" style="175" bestFit="1" customWidth="1"/>
    <col min="46" max="46" width="4.5546875" style="175" bestFit="1" customWidth="1"/>
    <col min="47" max="48" width="7.33203125" style="175" bestFit="1" customWidth="1"/>
    <col min="49" max="49" width="10.33203125" style="175" bestFit="1" customWidth="1"/>
    <col min="50" max="50" width="11.33203125" style="175" bestFit="1" customWidth="1"/>
    <col min="51" max="51" width="8.33203125" style="175" bestFit="1" customWidth="1"/>
    <col min="52" max="52" width="11.5546875" style="175"/>
    <col min="53" max="53" width="7.5546875" style="175" bestFit="1" customWidth="1"/>
    <col min="54" max="54" width="14.33203125" style="175" bestFit="1" customWidth="1"/>
    <col min="55" max="55" width="5.5546875" style="175" bestFit="1" customWidth="1"/>
    <col min="56" max="56" width="7.33203125" style="175" bestFit="1" customWidth="1"/>
    <col min="57" max="57" width="7.33203125" style="175" customWidth="1"/>
    <col min="58" max="58" width="10.109375" style="175" customWidth="1"/>
    <col min="59" max="16384" width="11.5546875" style="175"/>
  </cols>
  <sheetData>
    <row r="1" spans="2:58" ht="15" thickBot="1" x14ac:dyDescent="0.35"/>
    <row r="2" spans="2:58" ht="14.4" customHeight="1" x14ac:dyDescent="0.3">
      <c r="B2" s="171" t="s">
        <v>74</v>
      </c>
      <c r="C2" s="167" t="s">
        <v>269</v>
      </c>
      <c r="D2" s="166" t="s">
        <v>36</v>
      </c>
      <c r="E2" s="166" t="s">
        <v>362</v>
      </c>
      <c r="F2" s="177"/>
      <c r="G2" s="168" t="s">
        <v>118</v>
      </c>
      <c r="H2" s="303" t="s">
        <v>324</v>
      </c>
      <c r="I2" s="303"/>
      <c r="K2" s="295"/>
      <c r="L2" s="296"/>
      <c r="M2" s="296"/>
      <c r="N2" s="296"/>
      <c r="O2" s="296"/>
      <c r="P2" s="296"/>
      <c r="Q2" s="297"/>
      <c r="S2" s="229" t="s">
        <v>403</v>
      </c>
      <c r="T2" s="229"/>
      <c r="V2" s="229" t="s">
        <v>118</v>
      </c>
      <c r="W2" s="247" t="s">
        <v>399</v>
      </c>
      <c r="X2" s="247"/>
      <c r="Y2" s="229" t="s">
        <v>63</v>
      </c>
      <c r="Z2" s="229"/>
      <c r="AA2" s="247" t="s">
        <v>402</v>
      </c>
      <c r="AB2" s="247" t="s">
        <v>401</v>
      </c>
      <c r="AC2" s="247" t="s">
        <v>380</v>
      </c>
      <c r="AD2" s="247" t="s">
        <v>379</v>
      </c>
      <c r="AE2" s="247" t="s">
        <v>384</v>
      </c>
      <c r="AF2" s="229" t="s">
        <v>120</v>
      </c>
      <c r="AG2" s="229" t="s">
        <v>110</v>
      </c>
      <c r="AI2" s="204" t="s">
        <v>416</v>
      </c>
      <c r="AJ2" s="204"/>
      <c r="AK2" s="204"/>
      <c r="AL2" s="204"/>
      <c r="AM2" s="204"/>
      <c r="AN2" s="204"/>
      <c r="AO2" s="204"/>
      <c r="AP2" s="204"/>
      <c r="AQ2" s="204"/>
      <c r="AR2" s="204"/>
      <c r="AS2" s="204"/>
      <c r="AT2" s="204"/>
      <c r="AU2" s="204"/>
      <c r="AV2" s="204"/>
      <c r="AW2" s="204"/>
      <c r="AX2" s="204"/>
      <c r="AY2" s="204"/>
      <c r="BA2" s="229" t="s">
        <v>424</v>
      </c>
      <c r="BB2" s="229"/>
      <c r="BC2" s="229"/>
      <c r="BD2" s="229"/>
      <c r="BE2" s="229"/>
      <c r="BF2" s="229"/>
    </row>
    <row r="3" spans="2:58" ht="14.4" customHeight="1" x14ac:dyDescent="0.3">
      <c r="B3" s="166" t="s">
        <v>38</v>
      </c>
      <c r="C3" s="68">
        <v>0.6</v>
      </c>
      <c r="D3" s="102"/>
      <c r="E3" s="176" t="str">
        <f>IF(D3="","",C3*D3)</f>
        <v/>
      </c>
      <c r="F3" s="177"/>
      <c r="G3" s="229" t="s">
        <v>430</v>
      </c>
      <c r="H3" s="229"/>
      <c r="I3" s="106">
        <v>435.85</v>
      </c>
      <c r="K3" s="298"/>
      <c r="L3" s="229"/>
      <c r="M3" s="229"/>
      <c r="N3" s="229"/>
      <c r="O3" s="229"/>
      <c r="P3" s="229"/>
      <c r="Q3" s="299"/>
      <c r="S3" s="168" t="s">
        <v>305</v>
      </c>
      <c r="T3" s="168" t="s">
        <v>323</v>
      </c>
      <c r="V3" s="229"/>
      <c r="W3" s="247"/>
      <c r="X3" s="247"/>
      <c r="Y3" s="229"/>
      <c r="Z3" s="229"/>
      <c r="AA3" s="247"/>
      <c r="AB3" s="247"/>
      <c r="AC3" s="247"/>
      <c r="AD3" s="247"/>
      <c r="AE3" s="247"/>
      <c r="AF3" s="229"/>
      <c r="AG3" s="229"/>
      <c r="AI3" s="19"/>
      <c r="AJ3" s="19"/>
      <c r="AK3" s="168" t="s">
        <v>368</v>
      </c>
      <c r="AL3" s="293" t="s">
        <v>364</v>
      </c>
      <c r="AM3" s="294"/>
      <c r="AN3" s="294"/>
      <c r="AO3" s="168" t="s">
        <v>103</v>
      </c>
      <c r="AP3" s="168" t="s">
        <v>365</v>
      </c>
      <c r="AQ3" s="229" t="s">
        <v>366</v>
      </c>
      <c r="AR3" s="229"/>
      <c r="AS3" s="168" t="s">
        <v>409</v>
      </c>
      <c r="AT3" s="168" t="s">
        <v>110</v>
      </c>
      <c r="AU3" s="168" t="s">
        <v>410</v>
      </c>
      <c r="AV3" s="168" t="s">
        <v>411</v>
      </c>
      <c r="AW3" s="168" t="s">
        <v>414</v>
      </c>
      <c r="AX3" s="168" t="s">
        <v>415</v>
      </c>
      <c r="AY3" s="168" t="s">
        <v>119</v>
      </c>
      <c r="BA3" s="229" t="s">
        <v>118</v>
      </c>
      <c r="BB3" s="168" t="s">
        <v>399</v>
      </c>
      <c r="BC3" s="304" t="s">
        <v>425</v>
      </c>
      <c r="BD3" s="305"/>
      <c r="BE3" s="306"/>
      <c r="BF3" s="247" t="s">
        <v>432</v>
      </c>
    </row>
    <row r="4" spans="2:58" x14ac:dyDescent="0.3">
      <c r="B4" s="166" t="s">
        <v>39</v>
      </c>
      <c r="C4" s="68">
        <v>0.8</v>
      </c>
      <c r="D4" s="102"/>
      <c r="E4" s="176" t="str">
        <f t="shared" ref="E4:E22" si="0">IF(D4="","",C4*D4)</f>
        <v/>
      </c>
      <c r="F4" s="26"/>
      <c r="G4" s="229" t="s">
        <v>431</v>
      </c>
      <c r="H4" s="229"/>
      <c r="I4" s="173">
        <f>'Dotación tub. propuesta'!J5</f>
        <v>424.03800000000001</v>
      </c>
      <c r="K4" s="298"/>
      <c r="L4" s="229"/>
      <c r="M4" s="229"/>
      <c r="N4" s="229"/>
      <c r="O4" s="229"/>
      <c r="P4" s="229"/>
      <c r="Q4" s="299"/>
      <c r="S4" s="102" t="s">
        <v>306</v>
      </c>
      <c r="T4" s="170">
        <f>VLOOKUP(S4,'Dotación tub. propuesta'!$B$5:$M$16,5,FALSE)</f>
        <v>7.8703703703703706E-2</v>
      </c>
      <c r="V4" s="229"/>
      <c r="W4" s="169" t="s">
        <v>249</v>
      </c>
      <c r="X4" s="168" t="s">
        <v>226</v>
      </c>
      <c r="Y4" s="168" t="s">
        <v>400</v>
      </c>
      <c r="Z4" s="168" t="s">
        <v>106</v>
      </c>
      <c r="AA4" s="247"/>
      <c r="AB4" s="247"/>
      <c r="AC4" s="247"/>
      <c r="AD4" s="247"/>
      <c r="AE4" s="247"/>
      <c r="AF4" s="229"/>
      <c r="AG4" s="229"/>
      <c r="AI4" s="229" t="s">
        <v>404</v>
      </c>
      <c r="AJ4" s="102" t="s">
        <v>325</v>
      </c>
      <c r="AK4" s="102" t="s">
        <v>111</v>
      </c>
      <c r="AL4" s="23">
        <f>VLOOKUP(AJ4,$V$5:$AG$19,3,FALSE)</f>
        <v>2.5099999999999996E-3</v>
      </c>
      <c r="AM4" s="23"/>
      <c r="AN4" s="23">
        <f t="shared" ref="AN4:AN22" si="1">IF(AM4="SI",(IF(AK4="-",IF(SIGN(AL4)=-1,AL4,-1*AL4),AL4))*-1,(IF(AK4="-",IF(SIGN(AL4)=-1,AL4,-1*AL4),AL4)))</f>
        <v>-2.5099999999999996E-3</v>
      </c>
      <c r="AO4" s="173">
        <f t="shared" ref="AO4:AO22" si="2">ABS(AN4/$AA$5)</f>
        <v>0.55039426176542916</v>
      </c>
      <c r="AP4" s="170">
        <f>(AO4*$Z$5)/$AD$5</f>
        <v>34747.342789167938</v>
      </c>
      <c r="AQ4" s="179">
        <f ca="1">-2*LOG10(($AF$5/(3.7*$Z$5))+((2.51/AP4)*AQ4))</f>
        <v>6.6298874602416982</v>
      </c>
      <c r="AR4" s="179">
        <f ca="1">(1/AQ4)^2</f>
        <v>2.2750329288676881E-2</v>
      </c>
      <c r="AS4" s="170">
        <f t="shared" ref="AS4:AS22" si="3">VLOOKUP(AJ4,$V$5:$AG$19,7,FALSE)</f>
        <v>65</v>
      </c>
      <c r="AT4" s="176">
        <f t="shared" ref="AT4:AT22" si="4">VLOOKUP(AJ4,$V$5:$AG$19,12,FALSE)</f>
        <v>3.3</v>
      </c>
      <c r="AU4" s="173">
        <f ca="1">IF(SIGN(AN4)=-1,-1*(((AN4^2)/(2*9.81*($AA$5^2)))*((AT4)+(AR4*(AS4/$Z$5)))),1*(((AN4^2)/(2*9.81*($AA$5^2)))*((AS4)+(AR4*(AS4/$Z$5)))))</f>
        <v>-0.3505887780469743</v>
      </c>
      <c r="AV4" s="266">
        <f ca="1">SUM(AU4:AU7)</f>
        <v>0.93388799544802625</v>
      </c>
      <c r="AW4" s="173">
        <f t="shared" ref="AW4:AW22" ca="1" si="5">AU4/AN4</f>
        <v>139.67680400277862</v>
      </c>
      <c r="AX4" s="266">
        <f ca="1">SUM(AW4:AW7)</f>
        <v>785.26359588016351</v>
      </c>
      <c r="AY4" s="307">
        <f ca="1">-(AV4/(2*AX4))</f>
        <v>-5.946334456019682E-4</v>
      </c>
      <c r="BA4" s="229"/>
      <c r="BB4" s="168" t="s">
        <v>249</v>
      </c>
      <c r="BC4" s="169" t="s">
        <v>249</v>
      </c>
      <c r="BD4" s="304" t="s">
        <v>226</v>
      </c>
      <c r="BE4" s="306"/>
      <c r="BF4" s="247"/>
    </row>
    <row r="5" spans="2:58" x14ac:dyDescent="0.3">
      <c r="B5" s="166" t="s">
        <v>40</v>
      </c>
      <c r="C5" s="68">
        <v>0.9</v>
      </c>
      <c r="D5" s="102"/>
      <c r="E5" s="176" t="str">
        <f t="shared" si="0"/>
        <v/>
      </c>
      <c r="F5" s="26"/>
      <c r="G5" s="229" t="s">
        <v>63</v>
      </c>
      <c r="H5" s="168" t="s">
        <v>57</v>
      </c>
      <c r="I5" s="102">
        <v>3</v>
      </c>
      <c r="K5" s="298"/>
      <c r="L5" s="229"/>
      <c r="M5" s="229"/>
      <c r="N5" s="229"/>
      <c r="O5" s="229"/>
      <c r="P5" s="229"/>
      <c r="Q5" s="299"/>
      <c r="S5" s="102" t="s">
        <v>307</v>
      </c>
      <c r="T5" s="170">
        <f>VLOOKUP(S5,'Dotación tub. propuesta'!$B$5:$M$16,5,FALSE)</f>
        <v>8.7962962962962965E-2</v>
      </c>
      <c r="V5" s="102" t="s">
        <v>325</v>
      </c>
      <c r="W5" s="30">
        <v>2.5099999999999998</v>
      </c>
      <c r="X5" s="23">
        <f>W5/1000</f>
        <v>2.5099999999999996E-3</v>
      </c>
      <c r="Y5" s="102">
        <v>3</v>
      </c>
      <c r="Z5" s="168">
        <f>Y5*0.0254</f>
        <v>7.619999999999999E-2</v>
      </c>
      <c r="AA5" s="173">
        <f>PI()*((Z5^2)/4)</f>
        <v>4.5603673118774788E-3</v>
      </c>
      <c r="AB5" s="30">
        <v>65</v>
      </c>
      <c r="AC5" s="170">
        <f>X5/AA5</f>
        <v>0.55039426176542916</v>
      </c>
      <c r="AD5" s="102">
        <v>1.207E-6</v>
      </c>
      <c r="AE5" s="170">
        <f>(AC5*Z5)/AD5</f>
        <v>34747.342789167938</v>
      </c>
      <c r="AF5" s="102">
        <v>1.5E-6</v>
      </c>
      <c r="AG5" s="135">
        <v>3.3</v>
      </c>
      <c r="AI5" s="229"/>
      <c r="AJ5" s="102" t="s">
        <v>354</v>
      </c>
      <c r="AK5" s="102" t="s">
        <v>408</v>
      </c>
      <c r="AL5" s="23">
        <f>VLOOKUP(AJ5,$V$5:$AG$19,3,FALSE)</f>
        <v>2.9500000000000004E-3</v>
      </c>
      <c r="AM5" s="23"/>
      <c r="AN5" s="23">
        <f t="shared" si="1"/>
        <v>2.9500000000000004E-3</v>
      </c>
      <c r="AO5" s="173">
        <f t="shared" si="2"/>
        <v>0.64687771801116201</v>
      </c>
      <c r="AP5" s="170">
        <f t="shared" ref="AP5:AP22" si="6">(AO5*$Z$5)/$AD$5</f>
        <v>40838.510449420493</v>
      </c>
      <c r="AQ5" s="179">
        <f t="shared" ref="AQ5:AQ22" ca="1" si="7">-2*LOG10(($AF$5/(3.7*$Z$5))+((2.51/AP5)*AQ5))</f>
        <v>6.7527654603240537</v>
      </c>
      <c r="AR5" s="179">
        <f t="shared" ref="AR5:AR22" ca="1" si="8">(1/AQ5)^2</f>
        <v>2.1929900853342545E-2</v>
      </c>
      <c r="AS5" s="170">
        <f t="shared" si="3"/>
        <v>27.6</v>
      </c>
      <c r="AT5" s="176">
        <f t="shared" si="4"/>
        <v>3.3</v>
      </c>
      <c r="AU5" s="173">
        <f t="shared" ref="AU5:AU22" ca="1" si="9">IF(SIGN(AN5)=-1,-1*(((AN5^2)/(2*9.81*($AA$5^2)))*((AT5)+(AR5*(AS5/$Z$5)))),1*(((AN5^2)/(2*9.81*($AA$5^2)))*((AS5)+(AR5*(AS5/$Z$5)))))</f>
        <v>0.75805523559935428</v>
      </c>
      <c r="AV5" s="229"/>
      <c r="AW5" s="173">
        <f t="shared" ca="1" si="5"/>
        <v>256.96787647435735</v>
      </c>
      <c r="AX5" s="229"/>
      <c r="AY5" s="307"/>
      <c r="BA5" s="102" t="s">
        <v>325</v>
      </c>
      <c r="BB5" s="184">
        <f t="shared" ref="BB5:BB19" si="10">W5</f>
        <v>2.5099999999999998</v>
      </c>
      <c r="BC5" s="170">
        <f ca="1">ABS(BD5*1000)</f>
        <v>3.5294346056201946</v>
      </c>
      <c r="BD5" s="174">
        <f ca="1">AN136</f>
        <v>-3.5294346056201947E-3</v>
      </c>
      <c r="BE5" s="174">
        <f ca="1">ABS(BD5)</f>
        <v>3.5294346056201947E-3</v>
      </c>
      <c r="BF5" s="184">
        <f ca="1">BE5/$AA$5</f>
        <v>0.77393647578075142</v>
      </c>
    </row>
    <row r="6" spans="2:58" x14ac:dyDescent="0.3">
      <c r="B6" s="166" t="s">
        <v>271</v>
      </c>
      <c r="C6" s="68">
        <v>0.4</v>
      </c>
      <c r="D6" s="102"/>
      <c r="E6" s="176" t="str">
        <f t="shared" si="0"/>
        <v/>
      </c>
      <c r="F6" s="26"/>
      <c r="G6" s="229"/>
      <c r="H6" s="168" t="s">
        <v>106</v>
      </c>
      <c r="I6" s="168">
        <f>I5*0.0254</f>
        <v>7.619999999999999E-2</v>
      </c>
      <c r="K6" s="298"/>
      <c r="L6" s="229"/>
      <c r="M6" s="229"/>
      <c r="N6" s="229"/>
      <c r="O6" s="229"/>
      <c r="P6" s="229"/>
      <c r="Q6" s="299"/>
      <c r="S6" s="102" t="s">
        <v>341</v>
      </c>
      <c r="T6" s="170">
        <f>VLOOKUP(S6,'Dotación tub. propuesta'!$B$5:$M$16,5,FALSE)</f>
        <v>5</v>
      </c>
      <c r="V6" s="102" t="s">
        <v>349</v>
      </c>
      <c r="W6" s="30">
        <v>3.17</v>
      </c>
      <c r="X6" s="23">
        <f t="shared" ref="X6:X19" si="11">W6/1000</f>
        <v>3.1700000000000001E-3</v>
      </c>
      <c r="Y6" s="102">
        <v>3</v>
      </c>
      <c r="Z6" s="168">
        <f t="shared" ref="Z6:Z19" si="12">Y6*0.0254</f>
        <v>7.619999999999999E-2</v>
      </c>
      <c r="AA6" s="173">
        <f t="shared" ref="AA6:AA19" si="13">PI()*((Z6^2)/4)</f>
        <v>4.5603673118774788E-3</v>
      </c>
      <c r="AB6" s="30">
        <v>37.6</v>
      </c>
      <c r="AC6" s="170">
        <f t="shared" ref="AC6:AC19" si="14">X6/AA6</f>
        <v>0.69511944613402821</v>
      </c>
      <c r="AD6" s="102">
        <v>1.207E-6</v>
      </c>
      <c r="AE6" s="170">
        <f t="shared" ref="AE6:AE19" si="15">(AC6*Z6)/AD6</f>
        <v>43884.094279546756</v>
      </c>
      <c r="AF6" s="102">
        <v>1.5E-6</v>
      </c>
      <c r="AG6" s="135">
        <v>3.6</v>
      </c>
      <c r="AI6" s="229"/>
      <c r="AJ6" s="102" t="s">
        <v>353</v>
      </c>
      <c r="AK6" s="102" t="s">
        <v>408</v>
      </c>
      <c r="AL6" s="23">
        <f>VLOOKUP(AJ6,$V$5:$AG$19,3,FALSE)</f>
        <v>1.49E-3</v>
      </c>
      <c r="AM6" s="23"/>
      <c r="AN6" s="23">
        <f t="shared" si="1"/>
        <v>1.49E-3</v>
      </c>
      <c r="AO6" s="173">
        <f t="shared" si="2"/>
        <v>0.32672806774123092</v>
      </c>
      <c r="AP6" s="170">
        <f t="shared" si="6"/>
        <v>20626.908667673397</v>
      </c>
      <c r="AQ6" s="179">
        <f t="shared" ca="1" si="7"/>
        <v>6.2339268764687601</v>
      </c>
      <c r="AR6" s="179">
        <f t="shared" ca="1" si="8"/>
        <v>2.5732180702760996E-2</v>
      </c>
      <c r="AS6" s="170">
        <f t="shared" si="3"/>
        <v>65</v>
      </c>
      <c r="AT6" s="176">
        <f t="shared" si="4"/>
        <v>6.6</v>
      </c>
      <c r="AU6" s="173">
        <f t="shared" ca="1" si="9"/>
        <v>0.47308980202922934</v>
      </c>
      <c r="AV6" s="229"/>
      <c r="AW6" s="173">
        <f t="shared" ca="1" si="5"/>
        <v>317.50993424780495</v>
      </c>
      <c r="AX6" s="229"/>
      <c r="AY6" s="307"/>
      <c r="BA6" s="102" t="s">
        <v>349</v>
      </c>
      <c r="BB6" s="184">
        <f t="shared" si="10"/>
        <v>3.17</v>
      </c>
      <c r="BC6" s="170">
        <f t="shared" ref="BC6:BC19" ca="1" si="16">ABS(BD6*1000)</f>
        <v>3.8653014260483416</v>
      </c>
      <c r="BD6" s="174">
        <f ca="1">AN154</f>
        <v>-3.8653014260483418E-3</v>
      </c>
      <c r="BE6" s="174">
        <f t="shared" ref="BE6:BE19" ca="1" si="17">ABS(BD6)</f>
        <v>3.8653014260483418E-3</v>
      </c>
      <c r="BF6" s="184">
        <f t="shared" ref="BF6:BF19" ca="1" si="18">BE6/$AA$5</f>
        <v>0.84758554776523432</v>
      </c>
    </row>
    <row r="7" spans="2:58" x14ac:dyDescent="0.3">
      <c r="B7" s="166" t="s">
        <v>272</v>
      </c>
      <c r="C7" s="68">
        <v>0.2</v>
      </c>
      <c r="D7" s="102"/>
      <c r="E7" s="176" t="str">
        <f t="shared" si="0"/>
        <v/>
      </c>
      <c r="F7" s="26"/>
      <c r="G7" s="229" t="s">
        <v>391</v>
      </c>
      <c r="H7" s="229"/>
      <c r="I7" s="23">
        <f>PI()*((I6^2)/4)</f>
        <v>4.5603673118774788E-3</v>
      </c>
      <c r="K7" s="298"/>
      <c r="L7" s="229"/>
      <c r="M7" s="229"/>
      <c r="N7" s="229"/>
      <c r="O7" s="229"/>
      <c r="P7" s="229"/>
      <c r="Q7" s="299"/>
      <c r="S7" s="102" t="s">
        <v>16</v>
      </c>
      <c r="T7" s="170">
        <f>VLOOKUP(S7,'Dotación tub. propuesta'!$B$5:$M$16,5,FALSE)</f>
        <v>3.4722222222222224E-2</v>
      </c>
      <c r="V7" s="102" t="s">
        <v>354</v>
      </c>
      <c r="W7" s="30">
        <v>2.95</v>
      </c>
      <c r="X7" s="23">
        <f t="shared" si="11"/>
        <v>2.9500000000000004E-3</v>
      </c>
      <c r="Y7" s="102">
        <v>3</v>
      </c>
      <c r="Z7" s="168">
        <f t="shared" si="12"/>
        <v>7.619999999999999E-2</v>
      </c>
      <c r="AA7" s="173">
        <f t="shared" si="13"/>
        <v>4.5603673118774788E-3</v>
      </c>
      <c r="AB7" s="30">
        <v>27.6</v>
      </c>
      <c r="AC7" s="170">
        <f t="shared" si="14"/>
        <v>0.64687771801116201</v>
      </c>
      <c r="AD7" s="102">
        <v>1.207E-6</v>
      </c>
      <c r="AE7" s="170">
        <f t="shared" si="15"/>
        <v>40838.510449420493</v>
      </c>
      <c r="AF7" s="102">
        <v>1.5E-6</v>
      </c>
      <c r="AG7" s="135">
        <v>3.3</v>
      </c>
      <c r="AH7" s="178"/>
      <c r="AI7" s="229"/>
      <c r="AJ7" s="102" t="s">
        <v>355</v>
      </c>
      <c r="AK7" s="102" t="s">
        <v>408</v>
      </c>
      <c r="AL7" s="23">
        <f>VLOOKUP(AJ7,$V$5:$AG$19,3,FALSE)</f>
        <v>7.5000000000000002E-4</v>
      </c>
      <c r="AM7" s="23"/>
      <c r="AN7" s="23">
        <f t="shared" si="1"/>
        <v>7.5000000000000002E-4</v>
      </c>
      <c r="AO7" s="173">
        <f t="shared" si="2"/>
        <v>0.16446043678249878</v>
      </c>
      <c r="AP7" s="170">
        <f t="shared" si="6"/>
        <v>10382.67214815775</v>
      </c>
      <c r="AQ7" s="179">
        <f t="shared" ca="1" si="7"/>
        <v>5.7157816708047697</v>
      </c>
      <c r="AR7" s="179">
        <f t="shared" ca="1" si="8"/>
        <v>3.0608971510540834E-2</v>
      </c>
      <c r="AS7" s="170">
        <f t="shared" si="3"/>
        <v>27.6</v>
      </c>
      <c r="AT7" s="176">
        <f t="shared" si="4"/>
        <v>3</v>
      </c>
      <c r="AU7" s="173">
        <f t="shared" ca="1" si="9"/>
        <v>5.3331735866416881E-2</v>
      </c>
      <c r="AV7" s="229"/>
      <c r="AW7" s="173">
        <f t="shared" ca="1" si="5"/>
        <v>71.108981155222509</v>
      </c>
      <c r="AX7" s="229"/>
      <c r="AY7" s="307"/>
      <c r="BA7" s="102" t="s">
        <v>354</v>
      </c>
      <c r="BB7" s="184">
        <f t="shared" si="10"/>
        <v>2.95</v>
      </c>
      <c r="BC7" s="170">
        <f t="shared" ca="1" si="16"/>
        <v>1.9305653943798053</v>
      </c>
      <c r="BD7" s="174">
        <f ca="1">AN137</f>
        <v>1.9305653943798055E-3</v>
      </c>
      <c r="BE7" s="174">
        <f t="shared" ca="1" si="17"/>
        <v>1.9305653943798055E-3</v>
      </c>
      <c r="BF7" s="184">
        <f t="shared" ca="1" si="18"/>
        <v>0.42333550399583975</v>
      </c>
    </row>
    <row r="8" spans="2:58" x14ac:dyDescent="0.3">
      <c r="B8" s="166" t="s">
        <v>41</v>
      </c>
      <c r="C8" s="68">
        <v>0.5</v>
      </c>
      <c r="D8" s="102"/>
      <c r="E8" s="176" t="str">
        <f t="shared" si="0"/>
        <v/>
      </c>
      <c r="F8" s="26"/>
      <c r="G8" s="229" t="s">
        <v>337</v>
      </c>
      <c r="H8" s="229"/>
      <c r="I8" s="168">
        <f>'Dotación tub. propuesta'!O5</f>
        <v>28.0383</v>
      </c>
      <c r="K8" s="298"/>
      <c r="L8" s="229"/>
      <c r="M8" s="229"/>
      <c r="N8" s="229"/>
      <c r="O8" s="229"/>
      <c r="P8" s="229"/>
      <c r="Q8" s="299"/>
      <c r="S8" s="102" t="s">
        <v>308</v>
      </c>
      <c r="T8" s="170">
        <f>VLOOKUP(S8,'Dotación tub. propuesta'!$B$5:$M$16,5,FALSE)</f>
        <v>2.7777777777777776E-2</v>
      </c>
      <c r="V8" s="102" t="s">
        <v>353</v>
      </c>
      <c r="W8" s="30">
        <v>1.49</v>
      </c>
      <c r="X8" s="23">
        <f t="shared" si="11"/>
        <v>1.49E-3</v>
      </c>
      <c r="Y8" s="102">
        <v>3</v>
      </c>
      <c r="Z8" s="168">
        <f t="shared" si="12"/>
        <v>7.619999999999999E-2</v>
      </c>
      <c r="AA8" s="173">
        <f t="shared" si="13"/>
        <v>4.5603673118774788E-3</v>
      </c>
      <c r="AB8" s="30">
        <v>65</v>
      </c>
      <c r="AC8" s="170">
        <f t="shared" si="14"/>
        <v>0.32672806774123092</v>
      </c>
      <c r="AD8" s="102">
        <v>1.207E-6</v>
      </c>
      <c r="AE8" s="170">
        <f t="shared" si="15"/>
        <v>20626.908667673397</v>
      </c>
      <c r="AF8" s="102">
        <v>1.5E-6</v>
      </c>
      <c r="AG8" s="135">
        <v>6.6</v>
      </c>
      <c r="AH8" s="178"/>
      <c r="AI8" s="317" t="s">
        <v>405</v>
      </c>
      <c r="AJ8" s="102" t="s">
        <v>353</v>
      </c>
      <c r="AK8" s="102" t="s">
        <v>111</v>
      </c>
      <c r="AL8" s="182">
        <f ca="1">(AN6+AY4)</f>
        <v>8.953665543980318E-4</v>
      </c>
      <c r="AM8" s="182"/>
      <c r="AN8" s="182">
        <f t="shared" ca="1" si="1"/>
        <v>-8.953665543980318E-4</v>
      </c>
      <c r="AO8" s="173">
        <f t="shared" ca="1" si="2"/>
        <v>0.19633649948898835</v>
      </c>
      <c r="AP8" s="170">
        <f t="shared" ca="1" si="6"/>
        <v>12395.063182320555</v>
      </c>
      <c r="AQ8" s="179">
        <f t="shared" ca="1" si="7"/>
        <v>5.849081845130808</v>
      </c>
      <c r="AR8" s="179">
        <f t="shared" ca="1" si="8"/>
        <v>2.9229716502754917E-2</v>
      </c>
      <c r="AS8" s="170">
        <f t="shared" si="3"/>
        <v>65</v>
      </c>
      <c r="AT8" s="176">
        <f t="shared" si="4"/>
        <v>6.6</v>
      </c>
      <c r="AU8" s="173">
        <f t="shared" ca="1" si="9"/>
        <v>-6.1954814011775404E-2</v>
      </c>
      <c r="AV8" s="266">
        <f ca="1">SUM(AU8:AU12)</f>
        <v>0.44291478388730904</v>
      </c>
      <c r="AW8" s="173">
        <f t="shared" ca="1" si="5"/>
        <v>69.194916548372234</v>
      </c>
      <c r="AX8" s="266">
        <f ca="1">SUM(AW8:AW12)</f>
        <v>510.74302183782629</v>
      </c>
      <c r="AY8" s="307">
        <f ca="1">-(AV8/(2*AX8))</f>
        <v>-4.3359846826056644E-4</v>
      </c>
      <c r="BA8" s="102" t="s">
        <v>353</v>
      </c>
      <c r="BB8" s="184">
        <f t="shared" si="10"/>
        <v>1.49</v>
      </c>
      <c r="BC8" s="170">
        <f t="shared" ca="1" si="16"/>
        <v>1.1770162676220262</v>
      </c>
      <c r="BD8" s="174">
        <f ca="1">AN140</f>
        <v>-1.1770162676220269E-3</v>
      </c>
      <c r="BE8" s="174">
        <f t="shared" ca="1" si="17"/>
        <v>1.1770162676220269E-3</v>
      </c>
      <c r="BF8" s="184">
        <f t="shared" ca="1" si="18"/>
        <v>0.25809681263096668</v>
      </c>
    </row>
    <row r="9" spans="2:58" x14ac:dyDescent="0.3">
      <c r="B9" s="166" t="s">
        <v>42</v>
      </c>
      <c r="C9" s="68">
        <v>0.9</v>
      </c>
      <c r="D9" s="102"/>
      <c r="E9" s="176" t="str">
        <f t="shared" si="0"/>
        <v/>
      </c>
      <c r="F9" s="26"/>
      <c r="G9" s="229" t="s">
        <v>120</v>
      </c>
      <c r="H9" s="229"/>
      <c r="I9" s="102">
        <v>1.5E-6</v>
      </c>
      <c r="K9" s="298"/>
      <c r="L9" s="229"/>
      <c r="M9" s="229"/>
      <c r="N9" s="229"/>
      <c r="O9" s="229"/>
      <c r="P9" s="229"/>
      <c r="Q9" s="299"/>
      <c r="S9" s="102" t="s">
        <v>309</v>
      </c>
      <c r="T9" s="170">
        <f>VLOOKUP(S9,'Dotación tub. propuesta'!$B$5:$M$16,5,FALSE)</f>
        <v>4.3981481481481483E-2</v>
      </c>
      <c r="V9" s="102" t="s">
        <v>355</v>
      </c>
      <c r="W9" s="30">
        <v>0.75</v>
      </c>
      <c r="X9" s="23">
        <f t="shared" si="11"/>
        <v>7.5000000000000002E-4</v>
      </c>
      <c r="Y9" s="102">
        <v>3</v>
      </c>
      <c r="Z9" s="168">
        <f t="shared" si="12"/>
        <v>7.619999999999999E-2</v>
      </c>
      <c r="AA9" s="173">
        <f t="shared" si="13"/>
        <v>4.5603673118774788E-3</v>
      </c>
      <c r="AB9" s="30">
        <v>27.6</v>
      </c>
      <c r="AC9" s="170">
        <f t="shared" si="14"/>
        <v>0.16446043678249878</v>
      </c>
      <c r="AD9" s="102">
        <v>1.207E-6</v>
      </c>
      <c r="AE9" s="170">
        <f t="shared" si="15"/>
        <v>10382.67214815775</v>
      </c>
      <c r="AF9" s="102">
        <v>1.5E-6</v>
      </c>
      <c r="AG9" s="135">
        <v>3</v>
      </c>
      <c r="AH9" s="178"/>
      <c r="AI9" s="317"/>
      <c r="AJ9" s="102" t="s">
        <v>357</v>
      </c>
      <c r="AK9" s="102" t="s">
        <v>408</v>
      </c>
      <c r="AL9" s="23">
        <f t="shared" ref="AL9:AL15" si="19">VLOOKUP(AJ9,$V$5:$AG$19,3,FALSE)</f>
        <v>1.3700000000000001E-3</v>
      </c>
      <c r="AM9" s="23"/>
      <c r="AN9" s="23">
        <f t="shared" si="1"/>
        <v>1.3700000000000001E-3</v>
      </c>
      <c r="AO9" s="173">
        <f t="shared" si="2"/>
        <v>0.30041439785603113</v>
      </c>
      <c r="AP9" s="170">
        <f t="shared" si="6"/>
        <v>18965.681123968159</v>
      </c>
      <c r="AQ9" s="179">
        <f t="shared" ca="1" si="7"/>
        <v>6.1703318212049298</v>
      </c>
      <c r="AR9" s="179">
        <f t="shared" ca="1" si="8"/>
        <v>2.6265335986287518E-2</v>
      </c>
      <c r="AS9" s="170">
        <f t="shared" si="3"/>
        <v>19.399999999999999</v>
      </c>
      <c r="AT9" s="176">
        <f t="shared" si="4"/>
        <v>3</v>
      </c>
      <c r="AU9" s="173">
        <f t="shared" ca="1" si="9"/>
        <v>0.11999584552020025</v>
      </c>
      <c r="AV9" s="266"/>
      <c r="AW9" s="173">
        <f t="shared" ca="1" si="5"/>
        <v>87.588208408905288</v>
      </c>
      <c r="AX9" s="266"/>
      <c r="AY9" s="307"/>
      <c r="BA9" s="102" t="s">
        <v>355</v>
      </c>
      <c r="BB9" s="184">
        <f t="shared" si="10"/>
        <v>0.75</v>
      </c>
      <c r="BC9" s="170">
        <f t="shared" ca="1" si="16"/>
        <v>0.42541655915119908</v>
      </c>
      <c r="BD9" s="174">
        <f ca="1">AN149</f>
        <v>-4.2541655915119943E-4</v>
      </c>
      <c r="BE9" s="174">
        <f t="shared" ca="1" si="17"/>
        <v>4.2541655915119943E-4</v>
      </c>
      <c r="BF9" s="184">
        <f t="shared" ca="1" si="18"/>
        <v>9.3285590843351987E-2</v>
      </c>
    </row>
    <row r="10" spans="2:58" x14ac:dyDescent="0.3">
      <c r="B10" s="166" t="s">
        <v>363</v>
      </c>
      <c r="C10" s="176">
        <v>0.3</v>
      </c>
      <c r="D10" s="102">
        <v>6</v>
      </c>
      <c r="E10" s="176">
        <f t="shared" si="0"/>
        <v>1.7999999999999998</v>
      </c>
      <c r="F10" s="26"/>
      <c r="G10" s="229" t="s">
        <v>429</v>
      </c>
      <c r="H10" s="229"/>
      <c r="I10" s="186">
        <v>1.207E-6</v>
      </c>
      <c r="K10" s="298"/>
      <c r="L10" s="229"/>
      <c r="M10" s="229"/>
      <c r="N10" s="229"/>
      <c r="O10" s="229"/>
      <c r="P10" s="229"/>
      <c r="Q10" s="299"/>
      <c r="S10" s="102" t="s">
        <v>310</v>
      </c>
      <c r="T10" s="170">
        <f>VLOOKUP(S10,'Dotación tub. propuesta'!$B$5:$M$16,5,FALSE)</f>
        <v>9.7222222222222224E-2</v>
      </c>
      <c r="V10" s="102" t="s">
        <v>356</v>
      </c>
      <c r="W10" s="30">
        <v>0.65</v>
      </c>
      <c r="X10" s="23">
        <f t="shared" si="11"/>
        <v>6.4999999999999997E-4</v>
      </c>
      <c r="Y10" s="102">
        <v>3</v>
      </c>
      <c r="Z10" s="168">
        <f t="shared" si="12"/>
        <v>7.619999999999999E-2</v>
      </c>
      <c r="AA10" s="173">
        <f t="shared" si="13"/>
        <v>4.5603673118774788E-3</v>
      </c>
      <c r="AB10" s="30">
        <v>34.61</v>
      </c>
      <c r="AC10" s="170">
        <f t="shared" si="14"/>
        <v>0.14253237854483228</v>
      </c>
      <c r="AD10" s="102">
        <v>1.207E-6</v>
      </c>
      <c r="AE10" s="170">
        <f t="shared" si="15"/>
        <v>8998.3158617367171</v>
      </c>
      <c r="AF10" s="102">
        <v>1.5E-6</v>
      </c>
      <c r="AG10" s="135">
        <v>3.3</v>
      </c>
      <c r="AH10" s="178"/>
      <c r="AI10" s="317"/>
      <c r="AJ10" s="102" t="s">
        <v>352</v>
      </c>
      <c r="AK10" s="102" t="s">
        <v>408</v>
      </c>
      <c r="AL10" s="23">
        <f t="shared" si="19"/>
        <v>9.3999999999999997E-4</v>
      </c>
      <c r="AM10" s="23"/>
      <c r="AN10" s="23">
        <f t="shared" si="1"/>
        <v>9.3999999999999997E-4</v>
      </c>
      <c r="AO10" s="173">
        <f t="shared" si="2"/>
        <v>0.20612374743406514</v>
      </c>
      <c r="AP10" s="170">
        <f t="shared" si="6"/>
        <v>13012.949092357712</v>
      </c>
      <c r="AQ10" s="179">
        <f t="shared" ca="1" si="7"/>
        <v>5.885740750611931</v>
      </c>
      <c r="AR10" s="179">
        <f t="shared" ca="1" si="8"/>
        <v>2.8866740120168741E-2</v>
      </c>
      <c r="AS10" s="170">
        <f t="shared" si="3"/>
        <v>15.21</v>
      </c>
      <c r="AT10" s="176">
        <f t="shared" si="4"/>
        <v>2.4</v>
      </c>
      <c r="AU10" s="173">
        <f t="shared" ca="1" si="9"/>
        <v>4.5414711170450373E-2</v>
      </c>
      <c r="AV10" s="266"/>
      <c r="AW10" s="173">
        <f t="shared" ca="1" si="5"/>
        <v>48.313522521755715</v>
      </c>
      <c r="AX10" s="266"/>
      <c r="AY10" s="307"/>
      <c r="BA10" s="102" t="s">
        <v>356</v>
      </c>
      <c r="BB10" s="184">
        <f t="shared" si="10"/>
        <v>0.65</v>
      </c>
      <c r="BC10" s="170">
        <f t="shared" ca="1" si="16"/>
        <v>0.66180635398547671</v>
      </c>
      <c r="BD10" s="174">
        <f ca="1">AN150</f>
        <v>6.6180635398547637E-4</v>
      </c>
      <c r="BE10" s="174">
        <f t="shared" ca="1" si="17"/>
        <v>6.6180635398547637E-4</v>
      </c>
      <c r="BF10" s="184">
        <f t="shared" ca="1" si="18"/>
        <v>0.1451212827225126</v>
      </c>
    </row>
    <row r="11" spans="2:58" x14ac:dyDescent="0.3">
      <c r="B11" s="166" t="s">
        <v>43</v>
      </c>
      <c r="C11" s="68">
        <v>0.2</v>
      </c>
      <c r="D11" s="102"/>
      <c r="E11" s="176" t="str">
        <f t="shared" si="0"/>
        <v/>
      </c>
      <c r="F11" s="26"/>
      <c r="G11" s="229" t="s">
        <v>110</v>
      </c>
      <c r="H11" s="229"/>
      <c r="I11" s="102">
        <v>7.45</v>
      </c>
      <c r="K11" s="298"/>
      <c r="L11" s="229"/>
      <c r="M11" s="229"/>
      <c r="N11" s="229"/>
      <c r="O11" s="229"/>
      <c r="P11" s="229"/>
      <c r="Q11" s="299"/>
      <c r="S11" s="102" t="s">
        <v>311</v>
      </c>
      <c r="T11" s="170">
        <f>VLOOKUP(S11,'Dotación tub. propuesta'!$B$5:$M$16,5,FALSE)</f>
        <v>8.7962962962962965E-2</v>
      </c>
      <c r="V11" s="102" t="s">
        <v>357</v>
      </c>
      <c r="W11" s="30">
        <v>1.37</v>
      </c>
      <c r="X11" s="23">
        <f t="shared" si="11"/>
        <v>1.3700000000000001E-3</v>
      </c>
      <c r="Y11" s="102">
        <v>3</v>
      </c>
      <c r="Z11" s="168">
        <f t="shared" si="12"/>
        <v>7.619999999999999E-2</v>
      </c>
      <c r="AA11" s="173">
        <f t="shared" si="13"/>
        <v>4.5603673118774788E-3</v>
      </c>
      <c r="AB11" s="30">
        <v>19.399999999999999</v>
      </c>
      <c r="AC11" s="170">
        <f t="shared" si="14"/>
        <v>0.30041439785603113</v>
      </c>
      <c r="AD11" s="102">
        <v>1.207E-6</v>
      </c>
      <c r="AE11" s="170">
        <f t="shared" si="15"/>
        <v>18965.681123968159</v>
      </c>
      <c r="AF11" s="102">
        <v>1.5E-6</v>
      </c>
      <c r="AG11" s="135">
        <v>3</v>
      </c>
      <c r="AH11" s="178"/>
      <c r="AI11" s="317"/>
      <c r="AJ11" s="102" t="s">
        <v>359</v>
      </c>
      <c r="AK11" s="102" t="s">
        <v>408</v>
      </c>
      <c r="AL11" s="23">
        <f t="shared" si="19"/>
        <v>1.2900000000000001E-3</v>
      </c>
      <c r="AM11" s="23"/>
      <c r="AN11" s="23">
        <f t="shared" si="1"/>
        <v>1.2900000000000001E-3</v>
      </c>
      <c r="AO11" s="173">
        <f t="shared" si="2"/>
        <v>0.28287195126589793</v>
      </c>
      <c r="AP11" s="170">
        <f t="shared" si="6"/>
        <v>17858.196094831332</v>
      </c>
      <c r="AQ11" s="179">
        <f t="shared" ca="1" si="7"/>
        <v>6.1247932738112087</v>
      </c>
      <c r="AR11" s="179">
        <f t="shared" ca="1" si="8"/>
        <v>2.6657359589413222E-2</v>
      </c>
      <c r="AS11" s="170">
        <f t="shared" si="3"/>
        <v>65</v>
      </c>
      <c r="AT11" s="176">
        <f t="shared" si="4"/>
        <v>3.3</v>
      </c>
      <c r="AU11" s="173">
        <f t="shared" ca="1" si="9"/>
        <v>0.35782816910243687</v>
      </c>
      <c r="AV11" s="266"/>
      <c r="AW11" s="173">
        <f t="shared" ca="1" si="5"/>
        <v>277.38617759878827</v>
      </c>
      <c r="AX11" s="266"/>
      <c r="AY11" s="307"/>
      <c r="BA11" s="102" t="s">
        <v>357</v>
      </c>
      <c r="BB11" s="184">
        <f t="shared" si="10"/>
        <v>1.37</v>
      </c>
      <c r="BC11" s="170">
        <f t="shared" ca="1" si="16"/>
        <v>0.66309886548083041</v>
      </c>
      <c r="BD11" s="174">
        <f ca="1">AN141</f>
        <v>6.6309886548083054E-4</v>
      </c>
      <c r="BE11" s="174">
        <f t="shared" ca="1" si="17"/>
        <v>6.6309886548083054E-4</v>
      </c>
      <c r="BF11" s="184">
        <f t="shared" ca="1" si="18"/>
        <v>0.14540470539594239</v>
      </c>
    </row>
    <row r="12" spans="2:58" x14ac:dyDescent="0.3">
      <c r="B12" s="166" t="s">
        <v>345</v>
      </c>
      <c r="C12" s="68">
        <v>0.05</v>
      </c>
      <c r="D12" s="102"/>
      <c r="E12" s="176" t="str">
        <f t="shared" si="0"/>
        <v/>
      </c>
      <c r="F12" s="26"/>
      <c r="G12" s="229" t="s">
        <v>17</v>
      </c>
      <c r="H12" s="229"/>
      <c r="I12" s="173">
        <f>I3-I4</f>
        <v>11.812000000000012</v>
      </c>
      <c r="K12" s="298"/>
      <c r="L12" s="229"/>
      <c r="M12" s="229"/>
      <c r="N12" s="229"/>
      <c r="O12" s="229"/>
      <c r="P12" s="229"/>
      <c r="Q12" s="299"/>
      <c r="S12" s="102" t="s">
        <v>18</v>
      </c>
      <c r="T12" s="170">
        <f>VLOOKUP(S12,'Dotación tub. propuesta'!$B$5:$M$16,5,FALSE)</f>
        <v>4.8611111111111112E-2</v>
      </c>
      <c r="V12" s="102" t="s">
        <v>358</v>
      </c>
      <c r="W12" s="30">
        <v>0.42</v>
      </c>
      <c r="X12" s="23">
        <f t="shared" si="11"/>
        <v>4.1999999999999996E-4</v>
      </c>
      <c r="Y12" s="102">
        <v>3</v>
      </c>
      <c r="Z12" s="168">
        <f t="shared" si="12"/>
        <v>7.619999999999999E-2</v>
      </c>
      <c r="AA12" s="173">
        <f t="shared" si="13"/>
        <v>4.5603673118774788E-3</v>
      </c>
      <c r="AB12" s="30">
        <v>27.9</v>
      </c>
      <c r="AC12" s="170">
        <f t="shared" si="14"/>
        <v>9.2097844598199308E-2</v>
      </c>
      <c r="AD12" s="102">
        <v>1.207E-6</v>
      </c>
      <c r="AE12" s="170">
        <f t="shared" si="15"/>
        <v>5814.2964029683399</v>
      </c>
      <c r="AF12" s="102">
        <v>1.5E-6</v>
      </c>
      <c r="AG12" s="135">
        <v>2.1</v>
      </c>
      <c r="AH12" s="178"/>
      <c r="AI12" s="317"/>
      <c r="AJ12" s="102" t="s">
        <v>356</v>
      </c>
      <c r="AK12" s="102" t="s">
        <v>111</v>
      </c>
      <c r="AL12" s="23">
        <f t="shared" si="19"/>
        <v>6.4999999999999997E-4</v>
      </c>
      <c r="AM12" s="23"/>
      <c r="AN12" s="23">
        <f t="shared" si="1"/>
        <v>-6.4999999999999997E-4</v>
      </c>
      <c r="AO12" s="173">
        <f t="shared" si="2"/>
        <v>0.14253237854483228</v>
      </c>
      <c r="AP12" s="170">
        <f t="shared" si="6"/>
        <v>8998.3158617367171</v>
      </c>
      <c r="AQ12" s="179">
        <f t="shared" ca="1" si="7"/>
        <v>5.6083550949898289</v>
      </c>
      <c r="AR12" s="179">
        <f t="shared" ca="1" si="8"/>
        <v>3.1792815761092136E-2</v>
      </c>
      <c r="AS12" s="170">
        <f t="shared" si="3"/>
        <v>34.61</v>
      </c>
      <c r="AT12" s="176">
        <f t="shared" si="4"/>
        <v>3.3</v>
      </c>
      <c r="AU12" s="173">
        <f t="shared" ca="1" si="9"/>
        <v>-1.83691278940031E-2</v>
      </c>
      <c r="AV12" s="266"/>
      <c r="AW12" s="173">
        <f t="shared" ca="1" si="5"/>
        <v>28.260196760004771</v>
      </c>
      <c r="AX12" s="266"/>
      <c r="AY12" s="307"/>
      <c r="BA12" s="102" t="s">
        <v>358</v>
      </c>
      <c r="BB12" s="184">
        <f t="shared" si="10"/>
        <v>0.42</v>
      </c>
      <c r="BC12" s="170">
        <f t="shared" ca="1" si="16"/>
        <v>0.15393224278802189</v>
      </c>
      <c r="BD12" s="174">
        <f ca="1">AN123</f>
        <v>1.5393224278802188E-4</v>
      </c>
      <c r="BE12" s="174">
        <f t="shared" ca="1" si="17"/>
        <v>1.5393224278802188E-4</v>
      </c>
      <c r="BF12" s="184">
        <f t="shared" ca="1" si="18"/>
        <v>3.3754351845103635E-2</v>
      </c>
    </row>
    <row r="13" spans="2:58" x14ac:dyDescent="0.3">
      <c r="B13" s="166" t="s">
        <v>44</v>
      </c>
      <c r="C13" s="68">
        <v>10</v>
      </c>
      <c r="D13" s="102"/>
      <c r="E13" s="176" t="str">
        <f t="shared" si="0"/>
        <v/>
      </c>
      <c r="F13" s="26"/>
      <c r="G13" s="229" t="s">
        <v>425</v>
      </c>
      <c r="H13" s="168" t="s">
        <v>226</v>
      </c>
      <c r="I13" s="23">
        <f ca="1">BE5+BE7+(T4/1000)</f>
        <v>5.5387037037037045E-3</v>
      </c>
      <c r="K13" s="298"/>
      <c r="L13" s="229"/>
      <c r="M13" s="229"/>
      <c r="N13" s="229"/>
      <c r="O13" s="229"/>
      <c r="P13" s="229"/>
      <c r="Q13" s="299"/>
      <c r="S13" s="102" t="s">
        <v>312</v>
      </c>
      <c r="T13" s="170">
        <f>VLOOKUP(S13,'Dotación tub. propuesta'!$B$5:$M$16,5,FALSE)</f>
        <v>3.0092592592592591E-2</v>
      </c>
      <c r="V13" s="102" t="s">
        <v>352</v>
      </c>
      <c r="W13" s="30">
        <v>0.94</v>
      </c>
      <c r="X13" s="23">
        <f t="shared" si="11"/>
        <v>9.3999999999999997E-4</v>
      </c>
      <c r="Y13" s="102">
        <v>3</v>
      </c>
      <c r="Z13" s="168">
        <f t="shared" si="12"/>
        <v>7.619999999999999E-2</v>
      </c>
      <c r="AA13" s="173">
        <f t="shared" si="13"/>
        <v>4.5603673118774788E-3</v>
      </c>
      <c r="AB13" s="30">
        <v>15.21</v>
      </c>
      <c r="AC13" s="170">
        <f t="shared" si="14"/>
        <v>0.20612374743406514</v>
      </c>
      <c r="AD13" s="102">
        <v>1.207E-6</v>
      </c>
      <c r="AE13" s="170">
        <f t="shared" si="15"/>
        <v>13012.949092357712</v>
      </c>
      <c r="AF13" s="102">
        <v>1.5E-6</v>
      </c>
      <c r="AG13" s="135">
        <v>2.4</v>
      </c>
      <c r="AH13" s="178"/>
      <c r="AI13" s="317" t="s">
        <v>406</v>
      </c>
      <c r="AJ13" s="102" t="s">
        <v>358</v>
      </c>
      <c r="AK13" s="102" t="s">
        <v>408</v>
      </c>
      <c r="AL13" s="23">
        <f t="shared" si="19"/>
        <v>4.1999999999999996E-4</v>
      </c>
      <c r="AM13" s="23"/>
      <c r="AN13" s="23">
        <f t="shared" si="1"/>
        <v>4.1999999999999996E-4</v>
      </c>
      <c r="AO13" s="173">
        <f t="shared" si="2"/>
        <v>9.2097844598199308E-2</v>
      </c>
      <c r="AP13" s="170">
        <f t="shared" si="6"/>
        <v>5814.2964029683399</v>
      </c>
      <c r="AQ13" s="179">
        <f t="shared" ca="1" si="7"/>
        <v>5.2820221910145317</v>
      </c>
      <c r="AR13" s="179">
        <f t="shared" ca="1" si="8"/>
        <v>3.5842604251900334E-2</v>
      </c>
      <c r="AS13" s="170">
        <f t="shared" si="3"/>
        <v>27.9</v>
      </c>
      <c r="AT13" s="176">
        <f t="shared" si="4"/>
        <v>2.1</v>
      </c>
      <c r="AU13" s="173">
        <f t="shared" ca="1" si="9"/>
        <v>1.773504751476997E-2</v>
      </c>
      <c r="AV13" s="266">
        <f ca="1">SUM(AU13:AU16)</f>
        <v>3.7022859255288587E-2</v>
      </c>
      <c r="AW13" s="173">
        <f t="shared" ca="1" si="5"/>
        <v>42.226303606595174</v>
      </c>
      <c r="AX13" s="266">
        <f ca="1">SUM(AW13:AW16)</f>
        <v>116.12923801885107</v>
      </c>
      <c r="AY13" s="307">
        <f ca="1">-(AV13/(2*AX13))</f>
        <v>-1.5940369491307057E-4</v>
      </c>
      <c r="BA13" s="102" t="s">
        <v>352</v>
      </c>
      <c r="BB13" s="184">
        <f t="shared" si="10"/>
        <v>0.94</v>
      </c>
      <c r="BC13" s="170">
        <f t="shared" ca="1" si="16"/>
        <v>0.49926773763880428</v>
      </c>
      <c r="BD13" s="174">
        <f ca="1">AN148</f>
        <v>-4.9926773763880471E-4</v>
      </c>
      <c r="BE13" s="174">
        <f t="shared" ca="1" si="17"/>
        <v>4.9926773763880471E-4</v>
      </c>
      <c r="BF13" s="184">
        <f t="shared" ca="1" si="18"/>
        <v>0.10947972027131711</v>
      </c>
    </row>
    <row r="14" spans="2:58" x14ac:dyDescent="0.3">
      <c r="B14" s="166" t="s">
        <v>45</v>
      </c>
      <c r="C14" s="68">
        <v>5</v>
      </c>
      <c r="D14" s="102"/>
      <c r="E14" s="176" t="str">
        <f t="shared" si="0"/>
        <v/>
      </c>
      <c r="F14" s="26"/>
      <c r="G14" s="229"/>
      <c r="H14" s="168" t="s">
        <v>249</v>
      </c>
      <c r="I14" s="173">
        <f ca="1">I13*1000</f>
        <v>5.5387037037037041</v>
      </c>
      <c r="K14" s="298"/>
      <c r="L14" s="229"/>
      <c r="M14" s="229"/>
      <c r="N14" s="229"/>
      <c r="O14" s="229"/>
      <c r="P14" s="229"/>
      <c r="Q14" s="299"/>
      <c r="S14" s="102" t="s">
        <v>29</v>
      </c>
      <c r="T14" s="170">
        <f>VLOOKUP(S14,'Dotación tub. propuesta'!$B$5:$M$16,5,FALSE)</f>
        <v>0</v>
      </c>
      <c r="V14" s="102" t="s">
        <v>350</v>
      </c>
      <c r="W14" s="30">
        <v>0.42</v>
      </c>
      <c r="X14" s="23">
        <f t="shared" si="11"/>
        <v>4.1999999999999996E-4</v>
      </c>
      <c r="Y14" s="102">
        <v>3</v>
      </c>
      <c r="Z14" s="168">
        <f t="shared" si="12"/>
        <v>7.619999999999999E-2</v>
      </c>
      <c r="AA14" s="173">
        <f t="shared" si="13"/>
        <v>4.5603673118774788E-3</v>
      </c>
      <c r="AB14" s="30">
        <v>15.21</v>
      </c>
      <c r="AC14" s="170">
        <f t="shared" si="14"/>
        <v>9.2097844598199308E-2</v>
      </c>
      <c r="AD14" s="102">
        <v>1.207E-6</v>
      </c>
      <c r="AE14" s="170">
        <f t="shared" si="15"/>
        <v>5814.2964029683399</v>
      </c>
      <c r="AF14" s="102">
        <v>1.5E-6</v>
      </c>
      <c r="AG14" s="135">
        <v>1.5</v>
      </c>
      <c r="AH14" s="178"/>
      <c r="AI14" s="317"/>
      <c r="AJ14" s="102" t="s">
        <v>350</v>
      </c>
      <c r="AK14" s="102" t="s">
        <v>408</v>
      </c>
      <c r="AL14" s="23">
        <f t="shared" si="19"/>
        <v>4.1999999999999996E-4</v>
      </c>
      <c r="AM14" s="23"/>
      <c r="AN14" s="23">
        <f t="shared" si="1"/>
        <v>4.1999999999999996E-4</v>
      </c>
      <c r="AO14" s="173">
        <f t="shared" si="2"/>
        <v>9.2097844598199308E-2</v>
      </c>
      <c r="AP14" s="170">
        <f t="shared" si="6"/>
        <v>5814.2964029683399</v>
      </c>
      <c r="AQ14" s="179">
        <f t="shared" ca="1" si="7"/>
        <v>5.2820221910145317</v>
      </c>
      <c r="AR14" s="179">
        <f t="shared" ca="1" si="8"/>
        <v>3.5842604251900334E-2</v>
      </c>
      <c r="AS14" s="170">
        <f t="shared" si="3"/>
        <v>15.21</v>
      </c>
      <c r="AT14" s="176">
        <f t="shared" si="4"/>
        <v>1.5</v>
      </c>
      <c r="AU14" s="173">
        <f t="shared" ca="1" si="9"/>
        <v>9.6684613870842741E-3</v>
      </c>
      <c r="AV14" s="266"/>
      <c r="AW14" s="173">
        <f t="shared" ca="1" si="5"/>
        <v>23.020146159724465</v>
      </c>
      <c r="AX14" s="266"/>
      <c r="AY14" s="307"/>
      <c r="BA14" s="102" t="s">
        <v>350</v>
      </c>
      <c r="BB14" s="184">
        <f t="shared" si="10"/>
        <v>0.42</v>
      </c>
      <c r="BC14" s="170">
        <f t="shared" ca="1" si="16"/>
        <v>0.15362448232737683</v>
      </c>
      <c r="BD14" s="174">
        <f ca="1">AN146</f>
        <v>1.5362448232737679E-4</v>
      </c>
      <c r="BE14" s="174">
        <f t="shared" ca="1" si="17"/>
        <v>1.5362448232737679E-4</v>
      </c>
      <c r="BF14" s="184">
        <f t="shared" ca="1" si="18"/>
        <v>3.3686865952060871E-2</v>
      </c>
    </row>
    <row r="15" spans="2:58" x14ac:dyDescent="0.3">
      <c r="B15" s="166" t="s">
        <v>46</v>
      </c>
      <c r="C15" s="68">
        <v>0.3</v>
      </c>
      <c r="D15" s="102"/>
      <c r="E15" s="176" t="str">
        <f t="shared" si="0"/>
        <v/>
      </c>
      <c r="F15" s="26"/>
      <c r="G15" s="229" t="s">
        <v>432</v>
      </c>
      <c r="H15" s="229"/>
      <c r="I15" s="173">
        <f ca="1">I13/I7</f>
        <v>1.2145301737599399</v>
      </c>
      <c r="K15" s="298"/>
      <c r="L15" s="229"/>
      <c r="M15" s="229"/>
      <c r="N15" s="229"/>
      <c r="O15" s="229"/>
      <c r="P15" s="229"/>
      <c r="Q15" s="299"/>
      <c r="S15" s="102" t="s">
        <v>269</v>
      </c>
      <c r="T15" s="170">
        <f>VLOOKUP(S15,'Dotación tub. propuesta'!$B$5:$M$16,5,FALSE)</f>
        <v>0</v>
      </c>
      <c r="V15" s="102" t="s">
        <v>351</v>
      </c>
      <c r="W15" s="30">
        <v>0.39</v>
      </c>
      <c r="X15" s="23">
        <f t="shared" si="11"/>
        <v>3.8999999999999999E-4</v>
      </c>
      <c r="Y15" s="102">
        <v>3</v>
      </c>
      <c r="Z15" s="168">
        <f t="shared" si="12"/>
        <v>7.619999999999999E-2</v>
      </c>
      <c r="AA15" s="173">
        <f t="shared" si="13"/>
        <v>4.5603673118774788E-3</v>
      </c>
      <c r="AB15" s="30">
        <v>27.9</v>
      </c>
      <c r="AC15" s="170">
        <f t="shared" si="14"/>
        <v>8.5519427126899361E-2</v>
      </c>
      <c r="AD15" s="102">
        <v>1.207E-6</v>
      </c>
      <c r="AE15" s="170">
        <f t="shared" si="15"/>
        <v>5398.9895170420305</v>
      </c>
      <c r="AF15" s="102">
        <v>1.5E-6</v>
      </c>
      <c r="AG15" s="135">
        <v>1.5</v>
      </c>
      <c r="AH15" s="178"/>
      <c r="AI15" s="317"/>
      <c r="AJ15" s="102" t="s">
        <v>351</v>
      </c>
      <c r="AK15" s="102" t="s">
        <v>408</v>
      </c>
      <c r="AL15" s="23">
        <f t="shared" si="19"/>
        <v>3.8999999999999999E-4</v>
      </c>
      <c r="AM15" s="23"/>
      <c r="AN15" s="23">
        <f t="shared" si="1"/>
        <v>3.8999999999999999E-4</v>
      </c>
      <c r="AO15" s="173">
        <f t="shared" si="2"/>
        <v>8.5519427126899361E-2</v>
      </c>
      <c r="AP15" s="170">
        <f t="shared" si="6"/>
        <v>5398.9895170420305</v>
      </c>
      <c r="AQ15" s="179">
        <f t="shared" ca="1" si="7"/>
        <v>5.2268910065374357</v>
      </c>
      <c r="AR15" s="179">
        <f t="shared" ca="1" si="8"/>
        <v>3.6602699114199055E-2</v>
      </c>
      <c r="AS15" s="170">
        <f t="shared" si="3"/>
        <v>27.9</v>
      </c>
      <c r="AT15" s="176">
        <f t="shared" si="4"/>
        <v>1.5</v>
      </c>
      <c r="AU15" s="173">
        <f t="shared" ca="1" si="9"/>
        <v>1.5395694556722949E-2</v>
      </c>
      <c r="AV15" s="266"/>
      <c r="AW15" s="173">
        <f t="shared" ca="1" si="5"/>
        <v>39.476139889033206</v>
      </c>
      <c r="AX15" s="266"/>
      <c r="AY15" s="307"/>
      <c r="BA15" s="102" t="s">
        <v>351</v>
      </c>
      <c r="BB15" s="184">
        <f t="shared" si="10"/>
        <v>0.39</v>
      </c>
      <c r="BC15" s="170">
        <f t="shared" ca="1" si="16"/>
        <v>0.12362448232737684</v>
      </c>
      <c r="BD15" s="174">
        <f ca="1">AN147</f>
        <v>1.2362448232737682E-4</v>
      </c>
      <c r="BE15" s="174">
        <f t="shared" ca="1" si="17"/>
        <v>1.2362448232737682E-4</v>
      </c>
      <c r="BF15" s="184">
        <f t="shared" ca="1" si="18"/>
        <v>2.7108448480760924E-2</v>
      </c>
    </row>
    <row r="16" spans="2:58" x14ac:dyDescent="0.3">
      <c r="B16" s="166" t="s">
        <v>47</v>
      </c>
      <c r="C16" s="68">
        <v>1.8</v>
      </c>
      <c r="D16" s="102">
        <v>1</v>
      </c>
      <c r="E16" s="176">
        <f t="shared" si="0"/>
        <v>1.8</v>
      </c>
      <c r="F16" s="26"/>
      <c r="G16" s="26"/>
      <c r="H16" s="26"/>
      <c r="I16" s="26"/>
      <c r="K16" s="298"/>
      <c r="L16" s="229"/>
      <c r="M16" s="229"/>
      <c r="N16" s="229"/>
      <c r="O16" s="229"/>
      <c r="P16" s="229"/>
      <c r="Q16" s="299"/>
      <c r="S16" s="168" t="s">
        <v>362</v>
      </c>
      <c r="T16" s="170">
        <f>SUM(T4:T15)</f>
        <v>5.5370370370370372</v>
      </c>
      <c r="V16" s="102" t="s">
        <v>359</v>
      </c>
      <c r="W16" s="30">
        <v>1.29</v>
      </c>
      <c r="X16" s="23">
        <f t="shared" si="11"/>
        <v>1.2900000000000001E-3</v>
      </c>
      <c r="Y16" s="102">
        <v>3</v>
      </c>
      <c r="Z16" s="168">
        <f t="shared" si="12"/>
        <v>7.619999999999999E-2</v>
      </c>
      <c r="AA16" s="173">
        <f t="shared" si="13"/>
        <v>4.5603673118774788E-3</v>
      </c>
      <c r="AB16" s="30">
        <v>65</v>
      </c>
      <c r="AC16" s="170">
        <f t="shared" si="14"/>
        <v>0.28287195126589793</v>
      </c>
      <c r="AD16" s="102">
        <v>1.207E-6</v>
      </c>
      <c r="AE16" s="170">
        <f t="shared" si="15"/>
        <v>17858.196094831332</v>
      </c>
      <c r="AF16" s="102">
        <v>1.5E-6</v>
      </c>
      <c r="AG16" s="135">
        <v>3.3</v>
      </c>
      <c r="AH16" s="178"/>
      <c r="AI16" s="317"/>
      <c r="AJ16" s="102" t="s">
        <v>352</v>
      </c>
      <c r="AK16" s="102" t="s">
        <v>111</v>
      </c>
      <c r="AL16" s="182">
        <f ca="1">(AN10+AY8)</f>
        <v>5.0640153173943359E-4</v>
      </c>
      <c r="AM16" s="182"/>
      <c r="AN16" s="182">
        <f t="shared" ca="1" si="1"/>
        <v>-5.0640153173943359E-4</v>
      </c>
      <c r="AO16" s="173">
        <f t="shared" ca="1" si="2"/>
        <v>0.11104402279625822</v>
      </c>
      <c r="AP16" s="170">
        <f t="shared" ca="1" si="6"/>
        <v>7010.4014391672536</v>
      </c>
      <c r="AQ16" s="179">
        <f t="shared" ca="1" si="7"/>
        <v>5.4215189679179714</v>
      </c>
      <c r="AR16" s="179">
        <f t="shared" ca="1" si="8"/>
        <v>3.4021858729095508E-2</v>
      </c>
      <c r="AS16" s="170">
        <f t="shared" si="3"/>
        <v>15.21</v>
      </c>
      <c r="AT16" s="176">
        <f t="shared" si="4"/>
        <v>2.4</v>
      </c>
      <c r="AU16" s="173">
        <f t="shared" ca="1" si="9"/>
        <v>-5.7763442032886022E-3</v>
      </c>
      <c r="AV16" s="266"/>
      <c r="AW16" s="173">
        <f t="shared" ca="1" si="5"/>
        <v>11.406648363498221</v>
      </c>
      <c r="AX16" s="266"/>
      <c r="AY16" s="307"/>
      <c r="BA16" s="102" t="s">
        <v>359</v>
      </c>
      <c r="BB16" s="184">
        <f t="shared" si="10"/>
        <v>1.29</v>
      </c>
      <c r="BC16" s="170">
        <f t="shared" ca="1" si="16"/>
        <v>0.58309886548083045</v>
      </c>
      <c r="BD16" s="174">
        <f ca="1">AN143</f>
        <v>5.8309886548083055E-4</v>
      </c>
      <c r="BE16" s="174">
        <f t="shared" ca="1" si="17"/>
        <v>5.8309886548083055E-4</v>
      </c>
      <c r="BF16" s="184">
        <f t="shared" ca="1" si="18"/>
        <v>0.1278622588058092</v>
      </c>
    </row>
    <row r="17" spans="2:58" x14ac:dyDescent="0.3">
      <c r="B17" s="166" t="s">
        <v>48</v>
      </c>
      <c r="C17" s="68">
        <v>1.8</v>
      </c>
      <c r="D17" s="102"/>
      <c r="E17" s="176" t="str">
        <f t="shared" si="0"/>
        <v/>
      </c>
      <c r="F17" s="26"/>
      <c r="G17" s="26"/>
      <c r="H17" s="26"/>
      <c r="I17" s="26"/>
      <c r="K17" s="298"/>
      <c r="L17" s="229"/>
      <c r="M17" s="229"/>
      <c r="N17" s="229"/>
      <c r="O17" s="229"/>
      <c r="P17" s="229"/>
      <c r="Q17" s="299"/>
      <c r="V17" s="102" t="s">
        <v>360</v>
      </c>
      <c r="W17" s="30">
        <v>1.89</v>
      </c>
      <c r="X17" s="23">
        <f t="shared" si="11"/>
        <v>1.89E-3</v>
      </c>
      <c r="Y17" s="102">
        <v>3</v>
      </c>
      <c r="Z17" s="168">
        <f t="shared" si="12"/>
        <v>7.619999999999999E-2</v>
      </c>
      <c r="AA17" s="173">
        <f t="shared" si="13"/>
        <v>4.5603673118774788E-3</v>
      </c>
      <c r="AB17" s="30">
        <v>37.6</v>
      </c>
      <c r="AC17" s="170">
        <f t="shared" si="14"/>
        <v>0.41444030069189691</v>
      </c>
      <c r="AD17" s="102">
        <v>1.207E-6</v>
      </c>
      <c r="AE17" s="170">
        <f t="shared" si="15"/>
        <v>26164.333813357534</v>
      </c>
      <c r="AF17" s="102">
        <v>1.5E-6</v>
      </c>
      <c r="AG17" s="135">
        <v>2.7</v>
      </c>
      <c r="AH17" s="178"/>
      <c r="AI17" s="317" t="s">
        <v>407</v>
      </c>
      <c r="AJ17" s="102" t="s">
        <v>355</v>
      </c>
      <c r="AK17" s="102" t="s">
        <v>111</v>
      </c>
      <c r="AL17" s="182">
        <f ca="1">(AN7+AY4)</f>
        <v>1.5536655439803181E-4</v>
      </c>
      <c r="AM17" s="182"/>
      <c r="AN17" s="182">
        <f t="shared" ca="1" si="1"/>
        <v>-1.5536655439803181E-4</v>
      </c>
      <c r="AO17" s="173">
        <f t="shared" ca="1" si="2"/>
        <v>3.4068868530256223E-2</v>
      </c>
      <c r="AP17" s="170">
        <f t="shared" ca="1" si="6"/>
        <v>2150.8266628049078</v>
      </c>
      <c r="AQ17" s="179">
        <f t="shared" ca="1" si="7"/>
        <v>4.5491355878541988</v>
      </c>
      <c r="AR17" s="179">
        <f t="shared" ca="1" si="8"/>
        <v>4.8321703643917066E-2</v>
      </c>
      <c r="AS17" s="170">
        <f t="shared" si="3"/>
        <v>27.6</v>
      </c>
      <c r="AT17" s="176">
        <f t="shared" si="4"/>
        <v>3</v>
      </c>
      <c r="AU17" s="173">
        <f t="shared" ca="1" si="9"/>
        <v>-1.2128861785702745E-3</v>
      </c>
      <c r="AV17" s="266">
        <f ca="1">SUM(AU17:AU22)</f>
        <v>0.91443983322289657</v>
      </c>
      <c r="AW17" s="173">
        <f t="shared" ca="1" si="5"/>
        <v>7.8066105235428926</v>
      </c>
      <c r="AX17" s="266">
        <f ca="1">SUM(AW17:AW22)</f>
        <v>848.07935868649247</v>
      </c>
      <c r="AY17" s="307">
        <f ca="1">-(AV17/(2*AX17))</f>
        <v>-5.3912397693488463E-4</v>
      </c>
      <c r="BA17" s="102" t="s">
        <v>360</v>
      </c>
      <c r="BB17" s="184">
        <f t="shared" si="10"/>
        <v>1.89</v>
      </c>
      <c r="BC17" s="170">
        <f t="shared" ca="1" si="16"/>
        <v>1.1946985739516578</v>
      </c>
      <c r="BD17" s="174">
        <f ca="1">AN151</f>
        <v>1.1946985739516578E-3</v>
      </c>
      <c r="BE17" s="174">
        <f t="shared" ca="1" si="17"/>
        <v>1.1946985739516578E-3</v>
      </c>
      <c r="BF17" s="184">
        <f t="shared" ca="1" si="18"/>
        <v>0.26197419906069075</v>
      </c>
    </row>
    <row r="18" spans="2:58" x14ac:dyDescent="0.3">
      <c r="B18" s="166" t="s">
        <v>49</v>
      </c>
      <c r="C18" s="68">
        <v>3</v>
      </c>
      <c r="D18" s="102"/>
      <c r="E18" s="176" t="str">
        <f t="shared" si="0"/>
        <v/>
      </c>
      <c r="F18" s="26"/>
      <c r="G18" s="26"/>
      <c r="H18" s="26"/>
      <c r="I18" s="26"/>
      <c r="K18" s="298"/>
      <c r="L18" s="229"/>
      <c r="M18" s="229"/>
      <c r="N18" s="229"/>
      <c r="O18" s="229"/>
      <c r="P18" s="229"/>
      <c r="Q18" s="299"/>
      <c r="V18" s="102" t="s">
        <v>361</v>
      </c>
      <c r="W18" s="30">
        <v>1.87</v>
      </c>
      <c r="X18" s="23">
        <f t="shared" si="11"/>
        <v>1.8700000000000001E-3</v>
      </c>
      <c r="Y18" s="102">
        <v>3</v>
      </c>
      <c r="Z18" s="168">
        <f t="shared" si="12"/>
        <v>7.619999999999999E-2</v>
      </c>
      <c r="AA18" s="173">
        <f t="shared" si="13"/>
        <v>4.5603673118774788E-3</v>
      </c>
      <c r="AB18" s="30">
        <v>46.658000000000001</v>
      </c>
      <c r="AC18" s="170">
        <f t="shared" si="14"/>
        <v>0.41005468904436365</v>
      </c>
      <c r="AD18" s="102">
        <v>1.207E-6</v>
      </c>
      <c r="AE18" s="170">
        <f t="shared" si="15"/>
        <v>25887.462556073329</v>
      </c>
      <c r="AF18" s="102">
        <v>1.5E-6</v>
      </c>
      <c r="AG18" s="135">
        <v>2.4</v>
      </c>
      <c r="AH18" s="178"/>
      <c r="AI18" s="317"/>
      <c r="AJ18" s="102" t="s">
        <v>356</v>
      </c>
      <c r="AK18" s="102" t="s">
        <v>408</v>
      </c>
      <c r="AL18" s="182">
        <f ca="1">(AN12+AY8)</f>
        <v>-1.0835984682605665E-3</v>
      </c>
      <c r="AM18" s="182" t="s">
        <v>423</v>
      </c>
      <c r="AN18" s="182">
        <f t="shared" ca="1" si="1"/>
        <v>1.0835984682605665E-3</v>
      </c>
      <c r="AO18" s="173">
        <f t="shared" ca="1" si="2"/>
        <v>0.2376121031826392</v>
      </c>
      <c r="AP18" s="170">
        <f t="shared" ca="1" si="6"/>
        <v>15000.863514927178</v>
      </c>
      <c r="AQ18" s="179">
        <f t="shared" ca="1" si="7"/>
        <v>5.9930002929104482</v>
      </c>
      <c r="AR18" s="179">
        <f t="shared" ca="1" si="8"/>
        <v>2.7842703473568278E-2</v>
      </c>
      <c r="AS18" s="170">
        <f t="shared" si="3"/>
        <v>34.61</v>
      </c>
      <c r="AT18" s="176">
        <f t="shared" si="4"/>
        <v>3.3</v>
      </c>
      <c r="AU18" s="173">
        <f t="shared" ca="1" si="9"/>
        <v>0.13598667976651901</v>
      </c>
      <c r="AV18" s="266"/>
      <c r="AW18" s="173">
        <f t="shared" ca="1" si="5"/>
        <v>125.49545218978577</v>
      </c>
      <c r="AX18" s="266"/>
      <c r="AY18" s="307"/>
      <c r="BA18" s="102" t="s">
        <v>361</v>
      </c>
      <c r="BB18" s="184">
        <f t="shared" si="10"/>
        <v>1.87</v>
      </c>
      <c r="BC18" s="170">
        <f t="shared" ca="1" si="16"/>
        <v>1.174698573951658</v>
      </c>
      <c r="BD18" s="174">
        <f ca="1">AN152</f>
        <v>1.174698573951658E-3</v>
      </c>
      <c r="BE18" s="174">
        <f t="shared" ca="1" si="17"/>
        <v>1.174698573951658E-3</v>
      </c>
      <c r="BF18" s="184">
        <f t="shared" ca="1" si="18"/>
        <v>0.25758858741315749</v>
      </c>
    </row>
    <row r="19" spans="2:58" x14ac:dyDescent="0.3">
      <c r="B19" s="166" t="s">
        <v>50</v>
      </c>
      <c r="C19" s="68">
        <v>2.5</v>
      </c>
      <c r="D19" s="102"/>
      <c r="E19" s="176" t="str">
        <f t="shared" si="0"/>
        <v/>
      </c>
      <c r="F19" s="26"/>
      <c r="G19" s="26"/>
      <c r="H19" s="26"/>
      <c r="I19" s="26"/>
      <c r="K19" s="298"/>
      <c r="L19" s="229"/>
      <c r="M19" s="229"/>
      <c r="N19" s="229"/>
      <c r="O19" s="229"/>
      <c r="P19" s="229"/>
      <c r="Q19" s="299"/>
      <c r="V19" s="102" t="s">
        <v>348</v>
      </c>
      <c r="W19" s="30">
        <v>1.83</v>
      </c>
      <c r="X19" s="23">
        <f t="shared" si="11"/>
        <v>1.83E-3</v>
      </c>
      <c r="Y19" s="102">
        <v>3</v>
      </c>
      <c r="Z19" s="168">
        <f t="shared" si="12"/>
        <v>7.619999999999999E-2</v>
      </c>
      <c r="AA19" s="173">
        <f t="shared" si="13"/>
        <v>4.5603673118774788E-3</v>
      </c>
      <c r="AB19" s="30">
        <v>15.552</v>
      </c>
      <c r="AC19" s="170">
        <f t="shared" si="14"/>
        <v>0.40128346574929702</v>
      </c>
      <c r="AD19" s="102">
        <v>1.207E-6</v>
      </c>
      <c r="AE19" s="170">
        <f t="shared" si="15"/>
        <v>25333.720041504912</v>
      </c>
      <c r="AF19" s="102">
        <v>1.5E-6</v>
      </c>
      <c r="AG19" s="135">
        <v>3.3</v>
      </c>
      <c r="AH19" s="178"/>
      <c r="AI19" s="317"/>
      <c r="AJ19" s="102" t="s">
        <v>360</v>
      </c>
      <c r="AK19" s="102" t="s">
        <v>408</v>
      </c>
      <c r="AL19" s="23">
        <f>VLOOKUP(AJ19,$V$5:$AG$19,3,FALSE)</f>
        <v>1.89E-3</v>
      </c>
      <c r="AM19" s="23"/>
      <c r="AN19" s="23">
        <f t="shared" si="1"/>
        <v>1.89E-3</v>
      </c>
      <c r="AO19" s="173">
        <f t="shared" si="2"/>
        <v>0.41444030069189691</v>
      </c>
      <c r="AP19" s="170">
        <f t="shared" si="6"/>
        <v>26164.333813357534</v>
      </c>
      <c r="AQ19" s="179">
        <f t="shared" ca="1" si="7"/>
        <v>6.414296243237108</v>
      </c>
      <c r="AR19" s="179">
        <f t="shared" ca="1" si="8"/>
        <v>2.4305355199082661E-2</v>
      </c>
      <c r="AS19" s="170">
        <f t="shared" si="3"/>
        <v>37.6</v>
      </c>
      <c r="AT19" s="176">
        <f t="shared" si="4"/>
        <v>2.7</v>
      </c>
      <c r="AU19" s="173">
        <f t="shared" ca="1" si="9"/>
        <v>0.43415722586256805</v>
      </c>
      <c r="AV19" s="266"/>
      <c r="AW19" s="173">
        <f t="shared" ca="1" si="5"/>
        <v>229.71281791670268</v>
      </c>
      <c r="AX19" s="266"/>
      <c r="AY19" s="307"/>
      <c r="BA19" s="102" t="s">
        <v>348</v>
      </c>
      <c r="BB19" s="184">
        <f t="shared" si="10"/>
        <v>1.83</v>
      </c>
      <c r="BC19" s="170">
        <f t="shared" ca="1" si="16"/>
        <v>1.134698573951658</v>
      </c>
      <c r="BD19" s="174">
        <f ca="1">AN153</f>
        <v>1.1346985739516579E-3</v>
      </c>
      <c r="BE19" s="174">
        <f t="shared" ca="1" si="17"/>
        <v>1.1346985739516579E-3</v>
      </c>
      <c r="BF19" s="184">
        <f t="shared" ca="1" si="18"/>
        <v>0.24881736411809086</v>
      </c>
    </row>
    <row r="20" spans="2:58" x14ac:dyDescent="0.3">
      <c r="B20" s="166" t="s">
        <v>51</v>
      </c>
      <c r="C20" s="68">
        <v>0.35</v>
      </c>
      <c r="D20" s="102"/>
      <c r="E20" s="176" t="str">
        <f t="shared" si="0"/>
        <v/>
      </c>
      <c r="F20" s="26"/>
      <c r="G20" s="26"/>
      <c r="H20" s="26"/>
      <c r="I20" s="26"/>
      <c r="K20" s="298"/>
      <c r="L20" s="229"/>
      <c r="M20" s="229"/>
      <c r="N20" s="229"/>
      <c r="O20" s="229"/>
      <c r="P20" s="229"/>
      <c r="Q20" s="299"/>
      <c r="AI20" s="317"/>
      <c r="AJ20" s="102" t="s">
        <v>361</v>
      </c>
      <c r="AK20" s="102" t="s">
        <v>408</v>
      </c>
      <c r="AL20" s="23">
        <f>VLOOKUP(AJ20,$V$5:$AG$19,3,FALSE)</f>
        <v>1.8700000000000001E-3</v>
      </c>
      <c r="AM20" s="23"/>
      <c r="AN20" s="23">
        <f t="shared" si="1"/>
        <v>1.8700000000000001E-3</v>
      </c>
      <c r="AO20" s="173">
        <f t="shared" si="2"/>
        <v>0.41005468904436365</v>
      </c>
      <c r="AP20" s="170">
        <f t="shared" si="6"/>
        <v>25887.462556073329</v>
      </c>
      <c r="AQ20" s="179">
        <f t="shared" ca="1" si="7"/>
        <v>6.4062197199569209</v>
      </c>
      <c r="AR20" s="179">
        <f t="shared" ca="1" si="8"/>
        <v>2.4366678887070461E-2</v>
      </c>
      <c r="AS20" s="170">
        <f t="shared" si="3"/>
        <v>46.658000000000001</v>
      </c>
      <c r="AT20" s="176">
        <f t="shared" si="4"/>
        <v>2.4</v>
      </c>
      <c r="AU20" s="173">
        <f t="shared" ca="1" si="9"/>
        <v>0.5277276113738445</v>
      </c>
      <c r="AV20" s="266"/>
      <c r="AW20" s="173">
        <f t="shared" ca="1" si="5"/>
        <v>282.20727880954252</v>
      </c>
      <c r="AX20" s="266"/>
      <c r="AY20" s="307"/>
    </row>
    <row r="21" spans="2:58" x14ac:dyDescent="0.3">
      <c r="B21" s="166" t="s">
        <v>52</v>
      </c>
      <c r="C21" s="68">
        <v>0.3</v>
      </c>
      <c r="D21" s="102"/>
      <c r="E21" s="176" t="str">
        <f t="shared" si="0"/>
        <v/>
      </c>
      <c r="F21" s="26"/>
      <c r="G21" s="26"/>
      <c r="H21" s="26"/>
      <c r="I21" s="26"/>
      <c r="K21" s="298"/>
      <c r="L21" s="229"/>
      <c r="M21" s="229"/>
      <c r="N21" s="229"/>
      <c r="O21" s="229"/>
      <c r="P21" s="229"/>
      <c r="Q21" s="299"/>
      <c r="AI21" s="317"/>
      <c r="AJ21" s="102" t="s">
        <v>348</v>
      </c>
      <c r="AK21" s="102" t="s">
        <v>408</v>
      </c>
      <c r="AL21" s="23">
        <f>VLOOKUP(AJ21,$V$5:$AG$19,3,FALSE)</f>
        <v>1.83E-3</v>
      </c>
      <c r="AM21" s="23"/>
      <c r="AN21" s="23">
        <f t="shared" si="1"/>
        <v>1.83E-3</v>
      </c>
      <c r="AO21" s="173">
        <f t="shared" si="2"/>
        <v>0.40128346574929702</v>
      </c>
      <c r="AP21" s="170">
        <f t="shared" si="6"/>
        <v>25333.720041504912</v>
      </c>
      <c r="AQ21" s="179">
        <f t="shared" ca="1" si="7"/>
        <v>6.3898062270625777</v>
      </c>
      <c r="AR21" s="179">
        <f t="shared" ca="1" si="8"/>
        <v>2.449202102183147E-2</v>
      </c>
      <c r="AS21" s="170">
        <f t="shared" si="3"/>
        <v>15.552</v>
      </c>
      <c r="AT21" s="176">
        <f t="shared" si="4"/>
        <v>3.3</v>
      </c>
      <c r="AU21" s="173">
        <f t="shared" ca="1" si="9"/>
        <v>0.16866689978812383</v>
      </c>
      <c r="AV21" s="266"/>
      <c r="AW21" s="173">
        <f t="shared" ca="1" si="5"/>
        <v>92.167704802253454</v>
      </c>
      <c r="AX21" s="266"/>
      <c r="AY21" s="307"/>
    </row>
    <row r="22" spans="2:58" x14ac:dyDescent="0.3">
      <c r="B22" s="166" t="s">
        <v>37</v>
      </c>
      <c r="C22" s="68">
        <v>1</v>
      </c>
      <c r="D22" s="102"/>
      <c r="E22" s="176" t="str">
        <f t="shared" si="0"/>
        <v/>
      </c>
      <c r="F22" s="26"/>
      <c r="G22" s="26"/>
      <c r="H22" s="26"/>
      <c r="I22" s="26"/>
      <c r="K22" s="298"/>
      <c r="L22" s="229"/>
      <c r="M22" s="229"/>
      <c r="N22" s="229"/>
      <c r="O22" s="229"/>
      <c r="P22" s="229"/>
      <c r="Q22" s="299"/>
      <c r="AI22" s="317"/>
      <c r="AJ22" s="102" t="s">
        <v>349</v>
      </c>
      <c r="AK22" s="102" t="s">
        <v>111</v>
      </c>
      <c r="AL22" s="23">
        <f>VLOOKUP(AJ22,$V$5:$AG$19,3,FALSE)</f>
        <v>3.1700000000000001E-3</v>
      </c>
      <c r="AM22" s="23"/>
      <c r="AN22" s="23">
        <f t="shared" si="1"/>
        <v>-3.1700000000000001E-3</v>
      </c>
      <c r="AO22" s="173">
        <f t="shared" si="2"/>
        <v>0.69511944613402821</v>
      </c>
      <c r="AP22" s="170">
        <f t="shared" si="6"/>
        <v>43884.094279546756</v>
      </c>
      <c r="AQ22" s="179">
        <f t="shared" ca="1" si="7"/>
        <v>6.8075030404795891</v>
      </c>
      <c r="AR22" s="179">
        <f t="shared" ca="1" si="8"/>
        <v>2.1578652041947831E-2</v>
      </c>
      <c r="AS22" s="170">
        <f t="shared" si="3"/>
        <v>37.6</v>
      </c>
      <c r="AT22" s="176">
        <f t="shared" si="4"/>
        <v>3.6</v>
      </c>
      <c r="AU22" s="173">
        <f t="shared" ca="1" si="9"/>
        <v>-0.35088569738958852</v>
      </c>
      <c r="AV22" s="266"/>
      <c r="AW22" s="173">
        <f t="shared" ca="1" si="5"/>
        <v>110.68949444466514</v>
      </c>
      <c r="AX22" s="266"/>
      <c r="AY22" s="307"/>
    </row>
    <row r="23" spans="2:58" x14ac:dyDescent="0.3">
      <c r="B23" s="172" t="s">
        <v>15</v>
      </c>
      <c r="C23" s="129"/>
      <c r="D23" s="19"/>
      <c r="E23" s="176">
        <f>SUM(E3:E22)</f>
        <v>3.5999999999999996</v>
      </c>
      <c r="F23" s="26"/>
      <c r="G23" s="26"/>
      <c r="H23" s="26"/>
      <c r="I23" s="26"/>
      <c r="K23" s="298"/>
      <c r="L23" s="229"/>
      <c r="M23" s="229"/>
      <c r="N23" s="229"/>
      <c r="O23" s="229"/>
      <c r="P23" s="229"/>
      <c r="Q23" s="299"/>
      <c r="AI23" s="181"/>
      <c r="AJ23" s="41"/>
      <c r="AK23" s="41"/>
      <c r="AL23" s="27"/>
      <c r="AM23" s="27"/>
      <c r="AN23" s="27"/>
      <c r="AO23" s="26"/>
      <c r="AP23" s="18"/>
      <c r="AQ23" s="181"/>
      <c r="AR23" s="181"/>
      <c r="AS23" s="18"/>
      <c r="AT23" s="18"/>
      <c r="AU23" s="26"/>
      <c r="AV23" s="26"/>
      <c r="AW23" s="26"/>
      <c r="AX23" s="26"/>
      <c r="AY23" s="27"/>
    </row>
    <row r="24" spans="2:58" x14ac:dyDescent="0.3">
      <c r="F24" s="26"/>
      <c r="G24" s="26"/>
      <c r="H24" s="26"/>
      <c r="I24" s="26"/>
      <c r="K24" s="298"/>
      <c r="L24" s="229"/>
      <c r="M24" s="229"/>
      <c r="N24" s="229"/>
      <c r="O24" s="229"/>
      <c r="P24" s="229"/>
      <c r="Q24" s="299"/>
      <c r="AI24" s="204" t="s">
        <v>417</v>
      </c>
      <c r="AJ24" s="204"/>
      <c r="AK24" s="204"/>
      <c r="AL24" s="204"/>
      <c r="AM24" s="204"/>
      <c r="AN24" s="204"/>
      <c r="AO24" s="204"/>
      <c r="AP24" s="204"/>
      <c r="AQ24" s="204"/>
      <c r="AR24" s="204"/>
      <c r="AS24" s="204"/>
      <c r="AT24" s="204"/>
      <c r="AU24" s="204"/>
      <c r="AV24" s="204"/>
      <c r="AW24" s="204"/>
      <c r="AX24" s="204"/>
      <c r="AY24" s="204"/>
    </row>
    <row r="25" spans="2:58" x14ac:dyDescent="0.3">
      <c r="F25" s="26"/>
      <c r="G25" s="26"/>
      <c r="H25" s="26"/>
      <c r="I25" s="26"/>
      <c r="K25" s="298"/>
      <c r="L25" s="229"/>
      <c r="M25" s="229"/>
      <c r="N25" s="229"/>
      <c r="O25" s="229"/>
      <c r="P25" s="229"/>
      <c r="Q25" s="299"/>
      <c r="AI25" s="19"/>
      <c r="AJ25" s="19"/>
      <c r="AK25" s="168" t="s">
        <v>368</v>
      </c>
      <c r="AL25" s="293" t="s">
        <v>364</v>
      </c>
      <c r="AM25" s="294"/>
      <c r="AN25" s="318"/>
      <c r="AO25" s="168" t="s">
        <v>103</v>
      </c>
      <c r="AP25" s="168" t="s">
        <v>365</v>
      </c>
      <c r="AQ25" s="229" t="s">
        <v>366</v>
      </c>
      <c r="AR25" s="229"/>
      <c r="AS25" s="168" t="s">
        <v>409</v>
      </c>
      <c r="AT25" s="168" t="s">
        <v>110</v>
      </c>
      <c r="AU25" s="168" t="s">
        <v>410</v>
      </c>
      <c r="AV25" s="168" t="s">
        <v>411</v>
      </c>
      <c r="AW25" s="168" t="s">
        <v>412</v>
      </c>
      <c r="AX25" s="168" t="s">
        <v>413</v>
      </c>
      <c r="AY25" s="168" t="s">
        <v>119</v>
      </c>
    </row>
    <row r="26" spans="2:58" ht="15" thickBot="1" x14ac:dyDescent="0.35">
      <c r="F26" s="26"/>
      <c r="G26" s="26"/>
      <c r="H26" s="26"/>
      <c r="I26" s="26"/>
      <c r="K26" s="300"/>
      <c r="L26" s="301"/>
      <c r="M26" s="301"/>
      <c r="N26" s="301"/>
      <c r="O26" s="301"/>
      <c r="P26" s="301"/>
      <c r="Q26" s="302"/>
      <c r="AI26" s="229" t="s">
        <v>404</v>
      </c>
      <c r="AJ26" s="102" t="s">
        <v>325</v>
      </c>
      <c r="AK26" s="102" t="s">
        <v>111</v>
      </c>
      <c r="AL26" s="23">
        <f ca="1">(AN4+AY4)</f>
        <v>-3.104633445601968E-3</v>
      </c>
      <c r="AM26" s="23"/>
      <c r="AN26" s="23">
        <f ca="1">IF(AM26="SI",(IF(AK26="-",IF(SIGN(AL26)=-1,AL26,-1*AL26),AL26))*-1,(IF(AK26="-",IF(SIGN(AL26)=-1,AL26,-1*AL26),AL26)))</f>
        <v>-3.104633445601968E-3</v>
      </c>
      <c r="AO26" s="173">
        <f t="shared" ref="AO26:AO44" ca="1" si="20">ABS(AN26/$AA$5)</f>
        <v>0.68078583001767179</v>
      </c>
      <c r="AP26" s="170">
        <f ca="1">(AO26*$Z$5)/$AD$5</f>
        <v>42979.188274520784</v>
      </c>
      <c r="AQ26" s="179">
        <f ca="1">-2*LOG10(($AF$5/(3.7*$Z$5))+((2.51/AP26)*AQ26))</f>
        <v>6.7916455308745052</v>
      </c>
      <c r="AR26" s="179">
        <f ca="1">(1/AQ26)^2</f>
        <v>2.1679535739471623E-2</v>
      </c>
      <c r="AS26" s="170">
        <f t="shared" ref="AS26:AS44" si="21">VLOOKUP(AJ26,$V$5:$AG$19,7,FALSE)</f>
        <v>65</v>
      </c>
      <c r="AT26" s="176">
        <f t="shared" ref="AT26:AT44" si="22">VLOOKUP(AJ26,$V$5:$AG$19,12,FALSE)</f>
        <v>3.3</v>
      </c>
      <c r="AU26" s="173">
        <f ca="1">IF(SIGN(AN26)=-1,-1*(((AN26^2)/(2*9.81*($AA$5^2)))*((AT26)+(AR26*(AS26/$Z$5)))),1*(((AN26^2)/(2*9.81*($AA$5^2)))*((AS26)+(AR26*(AS26/$Z$5)))))</f>
        <v>-0.51480158351880534</v>
      </c>
      <c r="AV26" s="266">
        <f ca="1">SUM(AU26:AU29)</f>
        <v>0.3991929855231528</v>
      </c>
      <c r="AW26" s="173">
        <f t="shared" ref="AW26:AW44" ca="1" si="23">AU26/AN26</f>
        <v>165.81718664664734</v>
      </c>
      <c r="AX26" s="266">
        <f ca="1">SUM(AW26:AW29)</f>
        <v>724.86103656017292</v>
      </c>
      <c r="AY26" s="307">
        <f ca="1">-(AV26/(2*AX26))</f>
        <v>-2.7535828620167154E-4</v>
      </c>
    </row>
    <row r="27" spans="2:58" x14ac:dyDescent="0.3">
      <c r="F27" s="26"/>
      <c r="G27" s="26"/>
      <c r="H27" s="26"/>
      <c r="I27" s="26"/>
      <c r="AI27" s="229"/>
      <c r="AJ27" s="102" t="s">
        <v>354</v>
      </c>
      <c r="AK27" s="102" t="s">
        <v>408</v>
      </c>
      <c r="AL27" s="23">
        <f ca="1">(AN5+AY4)</f>
        <v>2.3553665543980321E-3</v>
      </c>
      <c r="AM27" s="23"/>
      <c r="AN27" s="23">
        <f t="shared" ref="AN27:AN44" ca="1" si="24">IF(AM27="SI",(IF(AK27="-",IF(SIGN(AL27)=-1,AL27,-1*AL27),AL27))*-1,(IF(AK27="-",IF(SIGN(AL27)=-1,AL27,-1*AL27),AL27)))</f>
        <v>2.3553665543980321E-3</v>
      </c>
      <c r="AO27" s="173">
        <f t="shared" ca="1" si="20"/>
        <v>0.51648614975891938</v>
      </c>
      <c r="AP27" s="170">
        <f t="shared" ref="AP27:AP44" ca="1" si="25">(AO27*$Z$5)/$AD$5</f>
        <v>32606.664964067644</v>
      </c>
      <c r="AQ27" s="179">
        <f t="shared" ref="AQ27:AQ44" ca="1" si="26">-2*LOG10(($AF$5/(3.7*$Z$5))+((2.51/AP27)*AQ27))</f>
        <v>6.5815369802348327</v>
      </c>
      <c r="AR27" s="179">
        <f t="shared" ref="AR27:AR44" ca="1" si="27">(1/AQ27)^2</f>
        <v>2.3085822294424765E-2</v>
      </c>
      <c r="AS27" s="170">
        <f t="shared" si="21"/>
        <v>27.6</v>
      </c>
      <c r="AT27" s="176">
        <f t="shared" si="22"/>
        <v>3.3</v>
      </c>
      <c r="AU27" s="173">
        <f t="shared" ref="AU27:AU44" ca="1" si="28">IF(SIGN(AN27)=-1,-1*(((AN27^2)/(2*9.81*($AA$5^2)))*((AT27)+(AR27*(AS27/$Z$5)))),1*(((AN27^2)/(2*9.81*($AA$5^2)))*((AS27)+(AR27*(AS27/$Z$5)))))</f>
        <v>0.48894465667737669</v>
      </c>
      <c r="AV27" s="229"/>
      <c r="AW27" s="173">
        <f t="shared" ca="1" si="23"/>
        <v>207.5875008772627</v>
      </c>
      <c r="AX27" s="229"/>
      <c r="AY27" s="307"/>
    </row>
    <row r="28" spans="2:58" x14ac:dyDescent="0.3">
      <c r="F28" s="26"/>
      <c r="G28" s="26"/>
      <c r="H28" s="26"/>
      <c r="I28" s="26"/>
      <c r="AI28" s="229"/>
      <c r="AJ28" s="102" t="s">
        <v>353</v>
      </c>
      <c r="AK28" s="102" t="s">
        <v>408</v>
      </c>
      <c r="AL28" s="23">
        <f ca="1">(AN8+AY8)</f>
        <v>-1.3289650226585982E-3</v>
      </c>
      <c r="AM28" s="23" t="s">
        <v>423</v>
      </c>
      <c r="AN28" s="23">
        <f t="shared" ca="1" si="24"/>
        <v>1.3289650226585982E-3</v>
      </c>
      <c r="AO28" s="173">
        <f t="shared" ca="1" si="20"/>
        <v>0.29141622412679524</v>
      </c>
      <c r="AP28" s="170">
        <f t="shared" ca="1" si="25"/>
        <v>18397.610835511015</v>
      </c>
      <c r="AQ28" s="179">
        <f t="shared" ca="1" si="26"/>
        <v>6.1473122700875589</v>
      </c>
      <c r="AR28" s="179">
        <f t="shared" ca="1" si="27"/>
        <v>2.6462413426555122E-2</v>
      </c>
      <c r="AS28" s="170">
        <f t="shared" si="21"/>
        <v>65</v>
      </c>
      <c r="AT28" s="176">
        <f t="shared" si="22"/>
        <v>6.6</v>
      </c>
      <c r="AU28" s="173">
        <f t="shared" ca="1" si="28"/>
        <v>0.37905157486175395</v>
      </c>
      <c r="AV28" s="229"/>
      <c r="AW28" s="173">
        <f t="shared" ca="1" si="23"/>
        <v>285.22313860710966</v>
      </c>
      <c r="AX28" s="229"/>
      <c r="AY28" s="307"/>
    </row>
    <row r="29" spans="2:58" x14ac:dyDescent="0.3">
      <c r="F29" s="26"/>
      <c r="G29" s="26"/>
      <c r="H29" s="26"/>
      <c r="I29" s="26"/>
      <c r="AI29" s="229"/>
      <c r="AJ29" s="102" t="s">
        <v>355</v>
      </c>
      <c r="AK29" s="102" t="s">
        <v>408</v>
      </c>
      <c r="AL29" s="23">
        <f ca="1">(AN17+AY17)</f>
        <v>-6.9449053133291644E-4</v>
      </c>
      <c r="AM29" s="23" t="s">
        <v>423</v>
      </c>
      <c r="AN29" s="23">
        <f t="shared" ca="1" si="24"/>
        <v>6.9449053133291644E-4</v>
      </c>
      <c r="AO29" s="173">
        <f t="shared" ca="1" si="20"/>
        <v>0.15228828816576145</v>
      </c>
      <c r="AP29" s="170">
        <f t="shared" ca="1" si="25"/>
        <v>9614.2233291060656</v>
      </c>
      <c r="AQ29" s="179">
        <f t="shared" ca="1" si="26"/>
        <v>5.6580279919537864</v>
      </c>
      <c r="AR29" s="179">
        <f t="shared" ca="1" si="27"/>
        <v>3.1237035890439205E-2</v>
      </c>
      <c r="AS29" s="170">
        <f t="shared" si="21"/>
        <v>27.6</v>
      </c>
      <c r="AT29" s="176">
        <f t="shared" si="22"/>
        <v>3</v>
      </c>
      <c r="AU29" s="173">
        <f t="shared" ca="1" si="28"/>
        <v>4.5998337502827488E-2</v>
      </c>
      <c r="AV29" s="229"/>
      <c r="AW29" s="173">
        <f t="shared" ca="1" si="23"/>
        <v>66.233210429153232</v>
      </c>
      <c r="AX29" s="229"/>
      <c r="AY29" s="307"/>
    </row>
    <row r="30" spans="2:58" x14ac:dyDescent="0.3">
      <c r="F30" s="26"/>
      <c r="G30" s="26"/>
      <c r="H30" s="26"/>
      <c r="I30" s="26"/>
      <c r="AI30" s="317" t="s">
        <v>405</v>
      </c>
      <c r="AJ30" s="102" t="s">
        <v>353</v>
      </c>
      <c r="AK30" s="102" t="s">
        <v>111</v>
      </c>
      <c r="AL30" s="182">
        <f ca="1">(AN28+AY26)</f>
        <v>1.0536067364569266E-3</v>
      </c>
      <c r="AM30" s="182"/>
      <c r="AN30" s="182">
        <f t="shared" ca="1" si="24"/>
        <v>-1.0536067364569266E-3</v>
      </c>
      <c r="AO30" s="173">
        <f t="shared" ca="1" si="20"/>
        <v>0.23103549876625232</v>
      </c>
      <c r="AP30" s="170">
        <f t="shared" ca="1" si="25"/>
        <v>14585.671090296955</v>
      </c>
      <c r="AQ30" s="179">
        <f t="shared" ca="1" si="26"/>
        <v>5.971808521892239</v>
      </c>
      <c r="AR30" s="179">
        <f t="shared" ca="1" si="27"/>
        <v>2.804066129690936E-2</v>
      </c>
      <c r="AS30" s="170">
        <f t="shared" si="21"/>
        <v>65</v>
      </c>
      <c r="AT30" s="176">
        <f t="shared" si="22"/>
        <v>6.6</v>
      </c>
      <c r="AU30" s="173">
        <f t="shared" ca="1" si="28"/>
        <v>-8.3029335302991933E-2</v>
      </c>
      <c r="AV30" s="266">
        <f ca="1">SUM(AU30:AU34)</f>
        <v>0.14660889656487103</v>
      </c>
      <c r="AW30" s="173">
        <f t="shared" ca="1" si="23"/>
        <v>78.804863740909013</v>
      </c>
      <c r="AX30" s="266">
        <f ca="1">SUM(AW30:AW34)</f>
        <v>389.29352129985477</v>
      </c>
      <c r="AY30" s="307">
        <f ca="1">-(AV30/(2*AX30))</f>
        <v>-1.8830122843470722E-4</v>
      </c>
    </row>
    <row r="31" spans="2:58" x14ac:dyDescent="0.3">
      <c r="F31" s="26"/>
      <c r="G31" s="26"/>
      <c r="H31" s="26"/>
      <c r="I31" s="26"/>
      <c r="AI31" s="317"/>
      <c r="AJ31" s="102" t="s">
        <v>357</v>
      </c>
      <c r="AK31" s="102" t="s">
        <v>408</v>
      </c>
      <c r="AL31" s="23">
        <f ca="1">(AN9+AY8)</f>
        <v>9.3640153173943363E-4</v>
      </c>
      <c r="AM31" s="23"/>
      <c r="AN31" s="23">
        <f t="shared" ca="1" si="24"/>
        <v>9.3640153173943363E-4</v>
      </c>
      <c r="AO31" s="173">
        <f t="shared" ca="1" si="20"/>
        <v>0.20533467321822421</v>
      </c>
      <c r="AP31" s="170">
        <f t="shared" ca="1" si="25"/>
        <v>12963.133470777699</v>
      </c>
      <c r="AQ31" s="179">
        <f t="shared" ca="1" si="26"/>
        <v>5.8828495716825522</v>
      </c>
      <c r="AR31" s="179">
        <f t="shared" ca="1" si="27"/>
        <v>2.8895120726570928E-2</v>
      </c>
      <c r="AS31" s="170">
        <f t="shared" si="21"/>
        <v>19.399999999999999</v>
      </c>
      <c r="AT31" s="176">
        <f t="shared" si="22"/>
        <v>3</v>
      </c>
      <c r="AU31" s="173">
        <f t="shared" ca="1" si="28"/>
        <v>5.7498285071855608E-2</v>
      </c>
      <c r="AV31" s="266"/>
      <c r="AW31" s="173">
        <f t="shared" ca="1" si="23"/>
        <v>61.40345046750231</v>
      </c>
      <c r="AX31" s="266"/>
      <c r="AY31" s="307"/>
    </row>
    <row r="32" spans="2:58" x14ac:dyDescent="0.3">
      <c r="F32" s="26"/>
      <c r="G32" s="26"/>
      <c r="H32" s="26"/>
      <c r="I32" s="26"/>
      <c r="AI32" s="317"/>
      <c r="AJ32" s="102" t="s">
        <v>352</v>
      </c>
      <c r="AK32" s="102" t="s">
        <v>408</v>
      </c>
      <c r="AL32" s="23">
        <f ca="1">(AN16+AY13)</f>
        <v>-6.6580522665250416E-4</v>
      </c>
      <c r="AM32" s="23" t="s">
        <v>423</v>
      </c>
      <c r="AN32" s="23">
        <f t="shared" ca="1" si="24"/>
        <v>6.6580522665250416E-4</v>
      </c>
      <c r="AO32" s="173">
        <f t="shared" ca="1" si="20"/>
        <v>0.14599815784978859</v>
      </c>
      <c r="AP32" s="170">
        <f t="shared" ca="1" si="25"/>
        <v>9217.1165104837528</v>
      </c>
      <c r="AQ32" s="179">
        <f t="shared" ca="1" si="26"/>
        <v>5.6263745802785774</v>
      </c>
      <c r="AR32" s="179">
        <f t="shared" ca="1" si="27"/>
        <v>3.1589497345165529E-2</v>
      </c>
      <c r="AS32" s="170">
        <f t="shared" si="21"/>
        <v>15.21</v>
      </c>
      <c r="AT32" s="176">
        <f t="shared" si="22"/>
        <v>2.4</v>
      </c>
      <c r="AU32" s="173">
        <f t="shared" ca="1" si="28"/>
        <v>2.3374721140515285E-2</v>
      </c>
      <c r="AV32" s="266"/>
      <c r="AW32" s="173">
        <f t="shared" ca="1" si="23"/>
        <v>35.107446149134809</v>
      </c>
      <c r="AX32" s="266"/>
      <c r="AY32" s="307"/>
    </row>
    <row r="33" spans="6:51" x14ac:dyDescent="0.3">
      <c r="F33" s="26"/>
      <c r="G33" s="26"/>
      <c r="H33" s="26"/>
      <c r="I33" s="26"/>
      <c r="AI33" s="317"/>
      <c r="AJ33" s="102" t="s">
        <v>359</v>
      </c>
      <c r="AK33" s="102" t="s">
        <v>408</v>
      </c>
      <c r="AL33" s="23">
        <f ca="1">(AN11+AY8)</f>
        <v>8.5640153173943364E-4</v>
      </c>
      <c r="AM33" s="23"/>
      <c r="AN33" s="23">
        <f t="shared" ca="1" si="24"/>
        <v>8.5640153173943364E-4</v>
      </c>
      <c r="AO33" s="173">
        <f t="shared" ca="1" si="20"/>
        <v>0.187792226628091</v>
      </c>
      <c r="AP33" s="170">
        <f t="shared" ca="1" si="25"/>
        <v>11855.648441640871</v>
      </c>
      <c r="AQ33" s="179">
        <f t="shared" ca="1" si="26"/>
        <v>5.8155729920803267</v>
      </c>
      <c r="AR33" s="179">
        <f t="shared" ca="1" si="27"/>
        <v>2.9567525363138975E-2</v>
      </c>
      <c r="AS33" s="170">
        <f t="shared" si="21"/>
        <v>65</v>
      </c>
      <c r="AT33" s="176">
        <f t="shared" si="22"/>
        <v>3.3</v>
      </c>
      <c r="AU33" s="173">
        <f t="shared" ca="1" si="28"/>
        <v>0.16216866751032588</v>
      </c>
      <c r="AV33" s="266"/>
      <c r="AW33" s="173">
        <f t="shared" ca="1" si="23"/>
        <v>189.36055284831843</v>
      </c>
      <c r="AX33" s="266"/>
      <c r="AY33" s="307"/>
    </row>
    <row r="34" spans="6:51" x14ac:dyDescent="0.3">
      <c r="F34" s="26"/>
      <c r="G34" s="26"/>
      <c r="H34" s="26"/>
      <c r="I34" s="26"/>
      <c r="AI34" s="317"/>
      <c r="AJ34" s="102" t="s">
        <v>356</v>
      </c>
      <c r="AK34" s="102" t="s">
        <v>111</v>
      </c>
      <c r="AL34" s="23">
        <f ca="1">(AN18+AY17)</f>
        <v>5.4447449132568183E-4</v>
      </c>
      <c r="AM34" s="23"/>
      <c r="AN34" s="23">
        <f t="shared" ca="1" si="24"/>
        <v>-5.4447449132568183E-4</v>
      </c>
      <c r="AO34" s="173">
        <f t="shared" ca="1" si="20"/>
        <v>0.11939268354713398</v>
      </c>
      <c r="AP34" s="170">
        <f t="shared" ca="1" si="25"/>
        <v>7537.4668486260216</v>
      </c>
      <c r="AQ34" s="179">
        <f t="shared" ca="1" si="26"/>
        <v>5.4756943599401406</v>
      </c>
      <c r="AR34" s="179">
        <f t="shared" ca="1" si="27"/>
        <v>3.3351978508468189E-2</v>
      </c>
      <c r="AS34" s="170">
        <f t="shared" si="21"/>
        <v>34.61</v>
      </c>
      <c r="AT34" s="176">
        <f t="shared" si="22"/>
        <v>3.3</v>
      </c>
      <c r="AU34" s="173">
        <f t="shared" ca="1" si="28"/>
        <v>-1.3403441854833801E-2</v>
      </c>
      <c r="AV34" s="266"/>
      <c r="AW34" s="173">
        <f t="shared" ca="1" si="23"/>
        <v>24.617208093990254</v>
      </c>
      <c r="AX34" s="266"/>
      <c r="AY34" s="307"/>
    </row>
    <row r="35" spans="6:51" x14ac:dyDescent="0.3">
      <c r="F35" s="26"/>
      <c r="G35" s="26"/>
      <c r="H35" s="26"/>
      <c r="I35" s="26"/>
      <c r="AI35" s="317" t="s">
        <v>406</v>
      </c>
      <c r="AJ35" s="102" t="s">
        <v>358</v>
      </c>
      <c r="AK35" s="102" t="s">
        <v>408</v>
      </c>
      <c r="AL35" s="23">
        <f ca="1">(AN13+AY13)</f>
        <v>2.6059630508692939E-4</v>
      </c>
      <c r="AM35" s="23"/>
      <c r="AN35" s="23">
        <f t="shared" ca="1" si="24"/>
        <v>2.6059630508692939E-4</v>
      </c>
      <c r="AO35" s="173">
        <f t="shared" ca="1" si="20"/>
        <v>5.7143709544668957E-2</v>
      </c>
      <c r="AP35" s="170">
        <f t="shared" ca="1" si="25"/>
        <v>3607.5813316518424</v>
      </c>
      <c r="AQ35" s="179">
        <f t="shared" ca="1" si="26"/>
        <v>4.9283373197704305</v>
      </c>
      <c r="AR35" s="179">
        <f t="shared" ca="1" si="27"/>
        <v>4.1171733135614383E-2</v>
      </c>
      <c r="AS35" s="170">
        <f t="shared" si="21"/>
        <v>27.9</v>
      </c>
      <c r="AT35" s="176">
        <f t="shared" si="22"/>
        <v>2.1</v>
      </c>
      <c r="AU35" s="173">
        <f t="shared" ca="1" si="28"/>
        <v>7.1523804215717279E-3</v>
      </c>
      <c r="AV35" s="266">
        <f ca="1">SUM(AU35:AU38)</f>
        <v>1.1527744947314971E-2</v>
      </c>
      <c r="AW35" s="173">
        <f t="shared" ca="1" si="23"/>
        <v>27.446208107923272</v>
      </c>
      <c r="AX35" s="266">
        <f ca="1">SUM(AW35:AW38)</f>
        <v>77.901476377898902</v>
      </c>
      <c r="AY35" s="307">
        <f ca="1">-(AV35/(2*AX35))</f>
        <v>-7.3989258505153684E-5</v>
      </c>
    </row>
    <row r="36" spans="6:51" x14ac:dyDescent="0.3">
      <c r="F36" s="26"/>
      <c r="G36" s="26"/>
      <c r="H36" s="26"/>
      <c r="I36" s="26"/>
      <c r="AI36" s="317"/>
      <c r="AJ36" s="102" t="s">
        <v>350</v>
      </c>
      <c r="AK36" s="102" t="s">
        <v>408</v>
      </c>
      <c r="AL36" s="23">
        <f ca="1">(AN14+AY13)</f>
        <v>2.6059630508692939E-4</v>
      </c>
      <c r="AM36" s="23"/>
      <c r="AN36" s="23">
        <f t="shared" ca="1" si="24"/>
        <v>2.6059630508692939E-4</v>
      </c>
      <c r="AO36" s="173">
        <f t="shared" ca="1" si="20"/>
        <v>5.7143709544668957E-2</v>
      </c>
      <c r="AP36" s="170">
        <f t="shared" ca="1" si="25"/>
        <v>3607.5813316518424</v>
      </c>
      <c r="AQ36" s="179">
        <f t="shared" ca="1" si="26"/>
        <v>4.9283373197704305</v>
      </c>
      <c r="AR36" s="179">
        <f t="shared" ca="1" si="27"/>
        <v>4.1171733135614383E-2</v>
      </c>
      <c r="AS36" s="170">
        <f t="shared" si="21"/>
        <v>15.21</v>
      </c>
      <c r="AT36" s="176">
        <f t="shared" si="22"/>
        <v>1.5</v>
      </c>
      <c r="AU36" s="173">
        <f t="shared" ca="1" si="28"/>
        <v>3.8992009395020068E-3</v>
      </c>
      <c r="AV36" s="266"/>
      <c r="AW36" s="173">
        <f t="shared" ca="1" si="23"/>
        <v>14.962610226577526</v>
      </c>
      <c r="AX36" s="266"/>
      <c r="AY36" s="307"/>
    </row>
    <row r="37" spans="6:51" x14ac:dyDescent="0.3">
      <c r="F37" s="26"/>
      <c r="G37" s="26"/>
      <c r="H37" s="26"/>
      <c r="I37" s="26"/>
      <c r="AI37" s="317"/>
      <c r="AJ37" s="102" t="s">
        <v>351</v>
      </c>
      <c r="AK37" s="102" t="s">
        <v>408</v>
      </c>
      <c r="AL37" s="23">
        <f ca="1">(AN15+AY13)</f>
        <v>2.3059630508692942E-4</v>
      </c>
      <c r="AM37" s="23"/>
      <c r="AN37" s="23">
        <f t="shared" ca="1" si="24"/>
        <v>2.3059630508692942E-4</v>
      </c>
      <c r="AO37" s="173">
        <f t="shared" ca="1" si="20"/>
        <v>5.056529207336901E-2</v>
      </c>
      <c r="AP37" s="170">
        <f t="shared" ca="1" si="25"/>
        <v>3192.2744457255326</v>
      </c>
      <c r="AQ37" s="179">
        <f t="shared" ca="1" si="26"/>
        <v>4.8382605890804991</v>
      </c>
      <c r="AR37" s="179">
        <f t="shared" ca="1" si="27"/>
        <v>4.2719040387255484E-2</v>
      </c>
      <c r="AS37" s="170">
        <f t="shared" si="21"/>
        <v>27.9</v>
      </c>
      <c r="AT37" s="176">
        <f t="shared" si="22"/>
        <v>1.5</v>
      </c>
      <c r="AU37" s="173">
        <f t="shared" ca="1" si="28"/>
        <v>5.6742264674555665E-3</v>
      </c>
      <c r="AV37" s="266"/>
      <c r="AW37" s="173">
        <f t="shared" ca="1" si="23"/>
        <v>24.606753630837733</v>
      </c>
      <c r="AX37" s="266"/>
      <c r="AY37" s="307"/>
    </row>
    <row r="38" spans="6:51" x14ac:dyDescent="0.3">
      <c r="F38" s="26"/>
      <c r="G38" s="26"/>
      <c r="H38" s="26"/>
      <c r="I38" s="26"/>
      <c r="AI38" s="317"/>
      <c r="AJ38" s="102" t="s">
        <v>352</v>
      </c>
      <c r="AK38" s="102" t="s">
        <v>111</v>
      </c>
      <c r="AL38" s="182">
        <f ca="1">(AN32+AY30)</f>
        <v>4.7750399821779694E-4</v>
      </c>
      <c r="AM38" s="182"/>
      <c r="AN38" s="182">
        <f t="shared" ca="1" si="24"/>
        <v>-4.7750399821779694E-4</v>
      </c>
      <c r="AO38" s="173">
        <f t="shared" ca="1" si="20"/>
        <v>0.10470735481638455</v>
      </c>
      <c r="AP38" s="170">
        <f t="shared" ca="1" si="25"/>
        <v>6610.3566172398514</v>
      </c>
      <c r="AQ38" s="179">
        <f t="shared" ca="1" si="26"/>
        <v>5.37765610931522</v>
      </c>
      <c r="AR38" s="179">
        <f t="shared" ca="1" si="27"/>
        <v>3.4579120817024744E-2</v>
      </c>
      <c r="AS38" s="170">
        <f t="shared" si="21"/>
        <v>15.21</v>
      </c>
      <c r="AT38" s="176">
        <f t="shared" si="22"/>
        <v>2.4</v>
      </c>
      <c r="AU38" s="173">
        <f t="shared" ca="1" si="28"/>
        <v>-5.1980628812143322E-3</v>
      </c>
      <c r="AV38" s="266"/>
      <c r="AW38" s="173">
        <f t="shared" ca="1" si="23"/>
        <v>10.885904412560365</v>
      </c>
      <c r="AX38" s="266"/>
      <c r="AY38" s="307"/>
    </row>
    <row r="39" spans="6:51" x14ac:dyDescent="0.3">
      <c r="F39" s="26"/>
      <c r="G39" s="26"/>
      <c r="H39" s="26"/>
      <c r="I39" s="26"/>
      <c r="AI39" s="317" t="s">
        <v>407</v>
      </c>
      <c r="AJ39" s="102" t="s">
        <v>355</v>
      </c>
      <c r="AK39" s="102" t="s">
        <v>111</v>
      </c>
      <c r="AL39" s="182">
        <f ca="1">(AN29+AY26)</f>
        <v>4.191322451312449E-4</v>
      </c>
      <c r="AM39" s="182"/>
      <c r="AN39" s="182">
        <f t="shared" ca="1" si="24"/>
        <v>-4.191322451312449E-4</v>
      </c>
      <c r="AO39" s="173">
        <f t="shared" ca="1" si="20"/>
        <v>9.1907562805218515E-2</v>
      </c>
      <c r="AP39" s="170">
        <f t="shared" ca="1" si="25"/>
        <v>5802.2835838920046</v>
      </c>
      <c r="AQ39" s="179">
        <f t="shared" ca="1" si="26"/>
        <v>5.2804825638467285</v>
      </c>
      <c r="AR39" s="179">
        <f t="shared" ca="1" si="27"/>
        <v>3.5863508512684397E-2</v>
      </c>
      <c r="AS39" s="170">
        <f t="shared" si="21"/>
        <v>27.6</v>
      </c>
      <c r="AT39" s="176">
        <f t="shared" si="22"/>
        <v>3</v>
      </c>
      <c r="AU39" s="173">
        <f t="shared" ca="1" si="28"/>
        <v>-6.8841467405879484E-3</v>
      </c>
      <c r="AV39" s="266">
        <f ca="1">SUM(AU39:AU44)</f>
        <v>0.17386466796559996</v>
      </c>
      <c r="AW39" s="173">
        <f t="shared" ca="1" si="23"/>
        <v>16.424760491601599</v>
      </c>
      <c r="AX39" s="266">
        <f ca="1">SUM(AW39:AW44)</f>
        <v>668.86283351136262</v>
      </c>
      <c r="AY39" s="307">
        <f ca="1">-(AV39/(2*AX39))</f>
        <v>-1.2997034612676408E-4</v>
      </c>
    </row>
    <row r="40" spans="6:51" x14ac:dyDescent="0.3">
      <c r="F40" s="26"/>
      <c r="G40" s="26"/>
      <c r="H40" s="26"/>
      <c r="I40" s="26"/>
      <c r="AI40" s="317"/>
      <c r="AJ40" s="102" t="s">
        <v>356</v>
      </c>
      <c r="AK40" s="102" t="s">
        <v>408</v>
      </c>
      <c r="AL40" s="182">
        <f ca="1">(AN34+AY30)</f>
        <v>-7.3277571976038906E-4</v>
      </c>
      <c r="AM40" s="182" t="s">
        <v>423</v>
      </c>
      <c r="AN40" s="182">
        <f t="shared" ca="1" si="24"/>
        <v>7.3277571976038906E-4</v>
      </c>
      <c r="AO40" s="173">
        <f t="shared" ca="1" si="20"/>
        <v>0.16068348658053802</v>
      </c>
      <c r="AP40" s="170">
        <f t="shared" ca="1" si="25"/>
        <v>10144.226741869921</v>
      </c>
      <c r="AQ40" s="179">
        <f t="shared" ca="1" si="26"/>
        <v>5.6983247038949703</v>
      </c>
      <c r="AR40" s="179">
        <f t="shared" ca="1" si="27"/>
        <v>3.0796801552736928E-2</v>
      </c>
      <c r="AS40" s="170">
        <f t="shared" si="21"/>
        <v>34.61</v>
      </c>
      <c r="AT40" s="176">
        <f t="shared" si="22"/>
        <v>3.3</v>
      </c>
      <c r="AU40" s="173">
        <f t="shared" ca="1" si="28"/>
        <v>6.3952998821538459E-2</v>
      </c>
      <c r="AV40" s="266"/>
      <c r="AW40" s="173">
        <f t="shared" ca="1" si="23"/>
        <v>87.274997106141157</v>
      </c>
      <c r="AX40" s="266"/>
      <c r="AY40" s="307"/>
    </row>
    <row r="41" spans="6:51" x14ac:dyDescent="0.3">
      <c r="F41" s="26"/>
      <c r="G41" s="26"/>
      <c r="H41" s="26"/>
      <c r="I41" s="26"/>
      <c r="AI41" s="317"/>
      <c r="AJ41" s="102" t="s">
        <v>360</v>
      </c>
      <c r="AK41" s="102" t="s">
        <v>408</v>
      </c>
      <c r="AL41" s="23">
        <f ca="1">(AN19+AY17)</f>
        <v>1.3508760230651153E-3</v>
      </c>
      <c r="AM41" s="23"/>
      <c r="AN41" s="23">
        <f t="shared" ca="1" si="24"/>
        <v>1.3508760230651153E-3</v>
      </c>
      <c r="AO41" s="173">
        <f t="shared" ca="1" si="20"/>
        <v>0.29622088105639172</v>
      </c>
      <c r="AP41" s="170">
        <f t="shared" ca="1" si="25"/>
        <v>18700.937147056375</v>
      </c>
      <c r="AQ41" s="179">
        <f t="shared" ca="1" si="26"/>
        <v>6.1596899197893942</v>
      </c>
      <c r="AR41" s="179">
        <f t="shared" ca="1" si="27"/>
        <v>2.6356169964243944E-2</v>
      </c>
      <c r="AS41" s="170">
        <f t="shared" si="21"/>
        <v>37.6</v>
      </c>
      <c r="AT41" s="176">
        <f t="shared" si="22"/>
        <v>2.7</v>
      </c>
      <c r="AU41" s="173">
        <f t="shared" ca="1" si="28"/>
        <v>0.2263221200341175</v>
      </c>
      <c r="AV41" s="266"/>
      <c r="AW41" s="173">
        <f t="shared" ca="1" si="23"/>
        <v>167.5372988859454</v>
      </c>
      <c r="AX41" s="266"/>
      <c r="AY41" s="307"/>
    </row>
    <row r="42" spans="6:51" x14ac:dyDescent="0.3">
      <c r="F42" s="26"/>
      <c r="G42" s="26"/>
      <c r="H42" s="26"/>
      <c r="I42" s="26"/>
      <c r="AI42" s="317"/>
      <c r="AJ42" s="102" t="s">
        <v>361</v>
      </c>
      <c r="AK42" s="102" t="s">
        <v>408</v>
      </c>
      <c r="AL42" s="23">
        <f ca="1">(AN20+AY17)</f>
        <v>1.3308760230651155E-3</v>
      </c>
      <c r="AM42" s="23"/>
      <c r="AN42" s="23">
        <f t="shared" ca="1" si="24"/>
        <v>1.3308760230651155E-3</v>
      </c>
      <c r="AO42" s="173">
        <f t="shared" ca="1" si="20"/>
        <v>0.2918352694088584</v>
      </c>
      <c r="AP42" s="170">
        <f t="shared" ca="1" si="25"/>
        <v>18424.065889772166</v>
      </c>
      <c r="AQ42" s="179">
        <f t="shared" ca="1" si="26"/>
        <v>6.148399815147835</v>
      </c>
      <c r="AR42" s="179">
        <f t="shared" ca="1" si="27"/>
        <v>2.6453052772527456E-2</v>
      </c>
      <c r="AS42" s="170">
        <f t="shared" si="21"/>
        <v>46.658000000000001</v>
      </c>
      <c r="AT42" s="176">
        <f t="shared" si="22"/>
        <v>2.4</v>
      </c>
      <c r="AU42" s="173">
        <f t="shared" ca="1" si="28"/>
        <v>0.27284724151362366</v>
      </c>
      <c r="AV42" s="266"/>
      <c r="AW42" s="173">
        <f t="shared" ca="1" si="23"/>
        <v>205.01326703988124</v>
      </c>
      <c r="AX42" s="266"/>
      <c r="AY42" s="307"/>
    </row>
    <row r="43" spans="6:51" x14ac:dyDescent="0.3">
      <c r="F43" s="26"/>
      <c r="G43" s="26"/>
      <c r="H43" s="26"/>
      <c r="I43" s="26"/>
      <c r="AI43" s="317"/>
      <c r="AJ43" s="102" t="s">
        <v>348</v>
      </c>
      <c r="AK43" s="102" t="s">
        <v>408</v>
      </c>
      <c r="AL43" s="23">
        <f ca="1">(AN21+AY17)</f>
        <v>1.2908760230651154E-3</v>
      </c>
      <c r="AM43" s="23"/>
      <c r="AN43" s="23">
        <f t="shared" ca="1" si="24"/>
        <v>1.2908760230651154E-3</v>
      </c>
      <c r="AO43" s="173">
        <f t="shared" ca="1" si="20"/>
        <v>0.28306404611379182</v>
      </c>
      <c r="AP43" s="170">
        <f t="shared" ca="1" si="25"/>
        <v>17870.323375203756</v>
      </c>
      <c r="AQ43" s="179">
        <f t="shared" ca="1" si="26"/>
        <v>6.1253069081943163</v>
      </c>
      <c r="AR43" s="179">
        <f t="shared" ca="1" si="27"/>
        <v>2.665288909917338E-2</v>
      </c>
      <c r="AS43" s="170">
        <f t="shared" si="21"/>
        <v>15.552</v>
      </c>
      <c r="AT43" s="176">
        <f t="shared" si="22"/>
        <v>3.3</v>
      </c>
      <c r="AU43" s="173">
        <f t="shared" ca="1" si="28"/>
        <v>8.5727111129807326E-2</v>
      </c>
      <c r="AV43" s="266"/>
      <c r="AW43" s="173">
        <f t="shared" ca="1" si="23"/>
        <v>66.410026678048396</v>
      </c>
      <c r="AX43" s="266"/>
      <c r="AY43" s="307"/>
    </row>
    <row r="44" spans="6:51" x14ac:dyDescent="0.3">
      <c r="F44" s="26"/>
      <c r="G44" s="26"/>
      <c r="H44" s="26"/>
      <c r="I44" s="26"/>
      <c r="AI44" s="317"/>
      <c r="AJ44" s="102" t="s">
        <v>349</v>
      </c>
      <c r="AK44" s="102" t="s">
        <v>111</v>
      </c>
      <c r="AL44" s="23">
        <f ca="1">(AN22+AY17)</f>
        <v>-3.7091239769348845E-3</v>
      </c>
      <c r="AM44" s="23"/>
      <c r="AN44" s="23">
        <f t="shared" ca="1" si="24"/>
        <v>-3.7091239769348845E-3</v>
      </c>
      <c r="AO44" s="173">
        <f t="shared" ca="1" si="20"/>
        <v>0.8133388657695334</v>
      </c>
      <c r="AP44" s="170">
        <f t="shared" ca="1" si="25"/>
        <v>51347.490945847916</v>
      </c>
      <c r="AQ44" s="179">
        <f t="shared" ca="1" si="26"/>
        <v>6.9270528402193934</v>
      </c>
      <c r="AR44" s="179">
        <f t="shared" ca="1" si="27"/>
        <v>2.0840253577811076E-2</v>
      </c>
      <c r="AS44" s="170">
        <f t="shared" si="21"/>
        <v>37.6</v>
      </c>
      <c r="AT44" s="176">
        <f t="shared" si="22"/>
        <v>3.6</v>
      </c>
      <c r="AU44" s="173">
        <f t="shared" ca="1" si="28"/>
        <v>-0.46810065679289903</v>
      </c>
      <c r="AV44" s="266"/>
      <c r="AW44" s="173">
        <f t="shared" ca="1" si="23"/>
        <v>126.20248330974481</v>
      </c>
      <c r="AX44" s="266"/>
      <c r="AY44" s="307"/>
    </row>
    <row r="45" spans="6:51" x14ac:dyDescent="0.3">
      <c r="F45" s="26"/>
      <c r="G45" s="26"/>
      <c r="H45" s="26"/>
      <c r="I45" s="26"/>
      <c r="AI45" s="181"/>
      <c r="AJ45" s="41"/>
      <c r="AK45" s="41"/>
      <c r="AL45" s="27"/>
      <c r="AM45" s="27"/>
      <c r="AN45" s="27"/>
      <c r="AO45" s="26"/>
      <c r="AP45" s="18"/>
      <c r="AQ45" s="181"/>
      <c r="AR45" s="181"/>
      <c r="AS45" s="18"/>
      <c r="AT45" s="18"/>
      <c r="AU45" s="26"/>
      <c r="AV45" s="26"/>
      <c r="AW45" s="26"/>
      <c r="AX45" s="26"/>
      <c r="AY45" s="27"/>
    </row>
    <row r="46" spans="6:51" x14ac:dyDescent="0.3">
      <c r="F46" s="26"/>
      <c r="G46" s="26"/>
      <c r="H46" s="26"/>
      <c r="I46" s="26"/>
      <c r="AI46" s="204" t="s">
        <v>418</v>
      </c>
      <c r="AJ46" s="204"/>
      <c r="AK46" s="204"/>
      <c r="AL46" s="204"/>
      <c r="AM46" s="204"/>
      <c r="AN46" s="204"/>
      <c r="AO46" s="204"/>
      <c r="AP46" s="204"/>
      <c r="AQ46" s="204"/>
      <c r="AR46" s="204"/>
      <c r="AS46" s="204"/>
      <c r="AT46" s="204"/>
      <c r="AU46" s="204"/>
      <c r="AV46" s="204"/>
      <c r="AW46" s="204"/>
      <c r="AX46" s="204"/>
      <c r="AY46" s="204"/>
    </row>
    <row r="47" spans="6:51" x14ac:dyDescent="0.3">
      <c r="F47" s="26"/>
      <c r="G47" s="26"/>
      <c r="H47" s="26"/>
      <c r="I47" s="26"/>
      <c r="AI47" s="19"/>
      <c r="AJ47" s="19"/>
      <c r="AK47" s="168" t="s">
        <v>368</v>
      </c>
      <c r="AL47" s="293" t="s">
        <v>364</v>
      </c>
      <c r="AM47" s="294"/>
      <c r="AN47" s="318"/>
      <c r="AO47" s="168" t="s">
        <v>103</v>
      </c>
      <c r="AP47" s="168" t="s">
        <v>365</v>
      </c>
      <c r="AQ47" s="229" t="s">
        <v>366</v>
      </c>
      <c r="AR47" s="229"/>
      <c r="AS47" s="168" t="s">
        <v>409</v>
      </c>
      <c r="AT47" s="168" t="s">
        <v>110</v>
      </c>
      <c r="AU47" s="168" t="s">
        <v>410</v>
      </c>
      <c r="AV47" s="168" t="s">
        <v>411</v>
      </c>
      <c r="AW47" s="168" t="s">
        <v>412</v>
      </c>
      <c r="AX47" s="168" t="s">
        <v>413</v>
      </c>
      <c r="AY47" s="168" t="s">
        <v>119</v>
      </c>
    </row>
    <row r="48" spans="6:51" x14ac:dyDescent="0.3">
      <c r="F48" s="26"/>
      <c r="G48" s="26"/>
      <c r="H48" s="26"/>
      <c r="I48" s="26"/>
      <c r="AI48" s="229" t="s">
        <v>404</v>
      </c>
      <c r="AJ48" s="102" t="s">
        <v>325</v>
      </c>
      <c r="AK48" s="102" t="s">
        <v>111</v>
      </c>
      <c r="AL48" s="23">
        <f ca="1">(AN26+AY26)</f>
        <v>-3.3799917318036395E-3</v>
      </c>
      <c r="AM48" s="23"/>
      <c r="AN48" s="23">
        <f ca="1">IF(AM48="SI",(IF(AK48="-",IF(SIGN(AL48)=-1,AL48,-1*AL48),AL48))*-1,(IF(AK48="-",IF(SIGN(AL48)=-1,AL48,-1*AL48),AL48)))</f>
        <v>-3.3799917318036395E-3</v>
      </c>
      <c r="AO48" s="173">
        <f t="shared" ref="AO48:AO66" ca="1" si="29">ABS(AN48/$AA$5)</f>
        <v>0.74116655537821474</v>
      </c>
      <c r="AP48" s="170">
        <f ca="1">(AO48*$Z$5)/$AD$5</f>
        <v>46791.128019734846</v>
      </c>
      <c r="AQ48" s="179">
        <f ca="1">-2*LOG10(($AF$5/(3.7*$Z$5))+((2.51/AP48)*AQ48))</f>
        <v>6.8563225514809352</v>
      </c>
      <c r="AR48" s="179">
        <f ca="1">(1/AQ48)^2</f>
        <v>2.127245036419859E-2</v>
      </c>
      <c r="AS48" s="170">
        <f t="shared" ref="AS48:AS66" si="30">VLOOKUP(AJ48,$V$5:$AG$19,7,FALSE)</f>
        <v>65</v>
      </c>
      <c r="AT48" s="176">
        <f t="shared" ref="AT48:AT66" si="31">VLOOKUP(AJ48,$V$5:$AG$19,12,FALSE)</f>
        <v>3.3</v>
      </c>
      <c r="AU48" s="173">
        <f ca="1">IF(SIGN(AN48)=-1,-1*(((AN48^2)/(2*9.81*($AA$5^2)))*((AT48)+(AR48*(AS48/$Z$5)))),1*(((AN48^2)/(2*9.81*($AA$5^2)))*((AS48)+(AR48*(AS48/$Z$5)))))</f>
        <v>-0.60044702000642336</v>
      </c>
      <c r="AV48" s="266">
        <f ca="1">SUM(AU48:AU51)</f>
        <v>0.14521823475529977</v>
      </c>
      <c r="AW48" s="173">
        <f t="shared" ref="AW48:AW66" ca="1" si="32">AU48/AN48</f>
        <v>177.64748190257001</v>
      </c>
      <c r="AX48" s="266">
        <f ca="1">SUM(AW48:AW51)</f>
        <v>683.2775205675357</v>
      </c>
      <c r="AY48" s="307">
        <f ca="1">-(AV48/(2*AX48))</f>
        <v>-1.0626592444800494E-4</v>
      </c>
    </row>
    <row r="49" spans="6:51" x14ac:dyDescent="0.3">
      <c r="F49" s="26"/>
      <c r="G49" s="26"/>
      <c r="H49" s="26"/>
      <c r="I49" s="26"/>
      <c r="AI49" s="229"/>
      <c r="AJ49" s="102" t="s">
        <v>354</v>
      </c>
      <c r="AK49" s="102" t="s">
        <v>408</v>
      </c>
      <c r="AL49" s="23">
        <f ca="1">(AN27+AY26)</f>
        <v>2.0800082681963605E-3</v>
      </c>
      <c r="AM49" s="23"/>
      <c r="AN49" s="23">
        <f t="shared" ref="AN49:AN66" ca="1" si="33">IF(AM49="SI",(IF(AK49="-",IF(SIGN(AL49)=-1,AL49,-1*AL49),AL49))*-1,(IF(AK49="-",IF(SIGN(AL49)=-1,AL49,-1*AL49),AL49)))</f>
        <v>2.0800082681963605E-3</v>
      </c>
      <c r="AO49" s="173">
        <f t="shared" ca="1" si="29"/>
        <v>0.45610542439837642</v>
      </c>
      <c r="AP49" s="170">
        <f t="shared" ref="AP49:AP66" ca="1" si="34">(AO49*$Z$5)/$AD$5</f>
        <v>28794.725218853582</v>
      </c>
      <c r="AQ49" s="179">
        <f t="shared" ref="AQ49:AQ66" ca="1" si="35">-2*LOG10(($AF$5/(3.7*$Z$5))+((2.51/AP49)*AQ49))</f>
        <v>6.4870499238993586</v>
      </c>
      <c r="AR49" s="179">
        <f t="shared" ref="AR49:AR66" ca="1" si="36">(1/AQ49)^2</f>
        <v>2.3763232627732202E-2</v>
      </c>
      <c r="AS49" s="170">
        <f t="shared" si="30"/>
        <v>27.6</v>
      </c>
      <c r="AT49" s="176">
        <f t="shared" si="31"/>
        <v>3.3</v>
      </c>
      <c r="AU49" s="173">
        <f t="shared" ref="AU49:AU66" ca="1" si="37">IF(SIGN(AN49)=-1,-1*(((AN49^2)/(2*9.81*($AA$5^2)))*((AT49)+(AR49*(AS49/$Z$5)))),1*(((AN49^2)/(2*9.81*($AA$5^2)))*((AS49)+(AR49*(AS49/$Z$5)))))</f>
        <v>0.38390686145221031</v>
      </c>
      <c r="AV49" s="229"/>
      <c r="AW49" s="173">
        <f t="shared" ca="1" si="32"/>
        <v>184.56987278474034</v>
      </c>
      <c r="AX49" s="229"/>
      <c r="AY49" s="307"/>
    </row>
    <row r="50" spans="6:51" x14ac:dyDescent="0.3">
      <c r="F50" s="26"/>
      <c r="G50" s="26"/>
      <c r="H50" s="26"/>
      <c r="I50" s="26"/>
      <c r="AI50" s="229"/>
      <c r="AJ50" s="102" t="s">
        <v>353</v>
      </c>
      <c r="AK50" s="102" t="s">
        <v>408</v>
      </c>
      <c r="AL50" s="23">
        <f ca="1">(AN30+AY30)</f>
        <v>-1.2419079648916338E-3</v>
      </c>
      <c r="AM50" s="23" t="s">
        <v>423</v>
      </c>
      <c r="AN50" s="23">
        <f t="shared" ca="1" si="33"/>
        <v>1.2419079648916338E-3</v>
      </c>
      <c r="AO50" s="173">
        <f t="shared" ca="1" si="29"/>
        <v>0.27232630179965633</v>
      </c>
      <c r="AP50" s="170">
        <f t="shared" ca="1" si="34"/>
        <v>17192.430983540853</v>
      </c>
      <c r="AQ50" s="179">
        <f t="shared" ca="1" si="35"/>
        <v>6.096052806484396</v>
      </c>
      <c r="AR50" s="179">
        <f t="shared" ca="1" si="36"/>
        <v>2.6909309836982753E-2</v>
      </c>
      <c r="AS50" s="170">
        <f t="shared" si="30"/>
        <v>65</v>
      </c>
      <c r="AT50" s="176">
        <f t="shared" si="31"/>
        <v>6.6</v>
      </c>
      <c r="AU50" s="173">
        <f t="shared" ca="1" si="37"/>
        <v>0.33245773281912661</v>
      </c>
      <c r="AV50" s="229"/>
      <c r="AW50" s="173">
        <f t="shared" ca="1" si="32"/>
        <v>267.69917112830188</v>
      </c>
      <c r="AX50" s="229"/>
      <c r="AY50" s="307"/>
    </row>
    <row r="51" spans="6:51" x14ac:dyDescent="0.3">
      <c r="F51" s="26"/>
      <c r="G51" s="26"/>
      <c r="H51" s="26"/>
      <c r="I51" s="26"/>
      <c r="AI51" s="229"/>
      <c r="AJ51" s="102" t="s">
        <v>355</v>
      </c>
      <c r="AK51" s="102" t="s">
        <v>408</v>
      </c>
      <c r="AL51" s="23">
        <f ca="1">(AN39+AY39)</f>
        <v>-5.4910259125800901E-4</v>
      </c>
      <c r="AM51" s="23" t="s">
        <v>423</v>
      </c>
      <c r="AN51" s="23">
        <f t="shared" ca="1" si="33"/>
        <v>5.4910259125800901E-4</v>
      </c>
      <c r="AO51" s="173">
        <f t="shared" ca="1" si="29"/>
        <v>0.12040753599559208</v>
      </c>
      <c r="AP51" s="170">
        <f t="shared" ca="1" si="34"/>
        <v>7601.5362409810386</v>
      </c>
      <c r="AQ51" s="179">
        <f t="shared" ca="1" si="35"/>
        <v>5.4820242302448774</v>
      </c>
      <c r="AR51" s="179">
        <f t="shared" ca="1" si="36"/>
        <v>3.3275002629739869E-2</v>
      </c>
      <c r="AS51" s="170">
        <f t="shared" si="30"/>
        <v>27.6</v>
      </c>
      <c r="AT51" s="176">
        <f t="shared" si="31"/>
        <v>3</v>
      </c>
      <c r="AU51" s="173">
        <f t="shared" ca="1" si="37"/>
        <v>2.93006604903862E-2</v>
      </c>
      <c r="AV51" s="229"/>
      <c r="AW51" s="173">
        <f t="shared" ca="1" si="32"/>
        <v>53.360994751923471</v>
      </c>
      <c r="AX51" s="229"/>
      <c r="AY51" s="307"/>
    </row>
    <row r="52" spans="6:51" x14ac:dyDescent="0.3">
      <c r="F52" s="26"/>
      <c r="G52" s="26"/>
      <c r="H52" s="26"/>
      <c r="I52" s="26"/>
      <c r="AI52" s="317" t="s">
        <v>405</v>
      </c>
      <c r="AJ52" s="102" t="s">
        <v>353</v>
      </c>
      <c r="AK52" s="102" t="s">
        <v>111</v>
      </c>
      <c r="AL52" s="182">
        <f ca="1">(AN50+AY48)</f>
        <v>1.135642040443629E-3</v>
      </c>
      <c r="AM52" s="182"/>
      <c r="AN52" s="182">
        <f t="shared" ca="1" si="33"/>
        <v>-1.135642040443629E-3</v>
      </c>
      <c r="AO52" s="173">
        <f t="shared" ca="1" si="29"/>
        <v>0.24902424799990316</v>
      </c>
      <c r="AP52" s="170">
        <f t="shared" ca="1" si="34"/>
        <v>15721.331978121472</v>
      </c>
      <c r="AQ52" s="179">
        <f t="shared" ca="1" si="35"/>
        <v>6.0284341066087848</v>
      </c>
      <c r="AR52" s="179">
        <f t="shared" ca="1" si="36"/>
        <v>2.7516358781073322E-2</v>
      </c>
      <c r="AS52" s="170">
        <f t="shared" si="30"/>
        <v>65</v>
      </c>
      <c r="AT52" s="176">
        <f t="shared" si="31"/>
        <v>6.6</v>
      </c>
      <c r="AU52" s="173">
        <f t="shared" ca="1" si="37"/>
        <v>-9.5048660463675175E-2</v>
      </c>
      <c r="AV52" s="266">
        <f ca="1">SUM(AU52:AU56)</f>
        <v>4.3031114837294562E-2</v>
      </c>
      <c r="AW52" s="173">
        <f t="shared" ca="1" si="32"/>
        <v>83.69596851710881</v>
      </c>
      <c r="AX52" s="266">
        <f ca="1">SUM(AW52:AW56)</f>
        <v>340.23843957913977</v>
      </c>
      <c r="AY52" s="307">
        <f ca="1">-(AV52/(2*AX52))</f>
        <v>-6.32367037812103E-5</v>
      </c>
    </row>
    <row r="53" spans="6:51" x14ac:dyDescent="0.3">
      <c r="F53" s="26"/>
      <c r="G53" s="26"/>
      <c r="H53" s="26"/>
      <c r="I53" s="26"/>
      <c r="AI53" s="317"/>
      <c r="AJ53" s="102" t="s">
        <v>357</v>
      </c>
      <c r="AK53" s="102" t="s">
        <v>408</v>
      </c>
      <c r="AL53" s="23">
        <f ca="1">(AN31+AY30)</f>
        <v>7.4810030330472641E-4</v>
      </c>
      <c r="AM53" s="23"/>
      <c r="AN53" s="23">
        <f t="shared" ca="1" si="33"/>
        <v>7.4810030330472641E-4</v>
      </c>
      <c r="AO53" s="173">
        <f t="shared" ca="1" si="29"/>
        <v>0.16404387018482017</v>
      </c>
      <c r="AP53" s="170">
        <f t="shared" ca="1" si="34"/>
        <v>10356.373577533797</v>
      </c>
      <c r="AQ53" s="179">
        <f t="shared" ca="1" si="35"/>
        <v>5.7138758055753627</v>
      </c>
      <c r="AR53" s="179">
        <f t="shared" ca="1" si="36"/>
        <v>3.0629394181801942E-2</v>
      </c>
      <c r="AS53" s="170">
        <f t="shared" si="30"/>
        <v>19.399999999999999</v>
      </c>
      <c r="AT53" s="176">
        <f t="shared" si="31"/>
        <v>3</v>
      </c>
      <c r="AU53" s="173">
        <f t="shared" ca="1" si="37"/>
        <v>3.7304269044473586E-2</v>
      </c>
      <c r="AV53" s="266"/>
      <c r="AW53" s="173">
        <f t="shared" ca="1" si="32"/>
        <v>49.865330731296737</v>
      </c>
      <c r="AX53" s="266"/>
      <c r="AY53" s="307"/>
    </row>
    <row r="54" spans="6:51" x14ac:dyDescent="0.3">
      <c r="F54" s="26"/>
      <c r="G54" s="26"/>
      <c r="H54" s="26"/>
      <c r="I54" s="26"/>
      <c r="AI54" s="317"/>
      <c r="AJ54" s="102" t="s">
        <v>352</v>
      </c>
      <c r="AK54" s="102" t="s">
        <v>408</v>
      </c>
      <c r="AL54" s="23">
        <f ca="1">(AN38+AY35)</f>
        <v>-5.5149325672295064E-4</v>
      </c>
      <c r="AM54" s="23" t="s">
        <v>423</v>
      </c>
      <c r="AN54" s="23">
        <f t="shared" ca="1" si="33"/>
        <v>5.5149325672295064E-4</v>
      </c>
      <c r="AO54" s="173">
        <f t="shared" ca="1" si="29"/>
        <v>0.12093176251101226</v>
      </c>
      <c r="AP54" s="170">
        <f t="shared" ca="1" si="34"/>
        <v>7634.631568632255</v>
      </c>
      <c r="AQ54" s="179">
        <f t="shared" ca="1" si="35"/>
        <v>5.4852734285987648</v>
      </c>
      <c r="AR54" s="179">
        <f t="shared" ca="1" si="36"/>
        <v>3.323559345036789E-2</v>
      </c>
      <c r="AS54" s="170">
        <f t="shared" si="30"/>
        <v>15.21</v>
      </c>
      <c r="AT54" s="176">
        <f t="shared" si="31"/>
        <v>2.4</v>
      </c>
      <c r="AU54" s="173">
        <f t="shared" ca="1" si="37"/>
        <v>1.6282256875072725E-2</v>
      </c>
      <c r="AV54" s="266"/>
      <c r="AW54" s="173">
        <f t="shared" ca="1" si="32"/>
        <v>29.523945536205016</v>
      </c>
      <c r="AX54" s="266"/>
      <c r="AY54" s="307"/>
    </row>
    <row r="55" spans="6:51" x14ac:dyDescent="0.3">
      <c r="F55" s="26"/>
      <c r="G55" s="26"/>
      <c r="H55" s="26"/>
      <c r="I55" s="26"/>
      <c r="AI55" s="317"/>
      <c r="AJ55" s="102" t="s">
        <v>359</v>
      </c>
      <c r="AK55" s="102" t="s">
        <v>408</v>
      </c>
      <c r="AL55" s="23">
        <f ca="1">(AN33+AY30)</f>
        <v>6.6810030330472642E-4</v>
      </c>
      <c r="AM55" s="23"/>
      <c r="AN55" s="23">
        <f t="shared" ca="1" si="33"/>
        <v>6.6810030330472642E-4</v>
      </c>
      <c r="AO55" s="173">
        <f t="shared" ca="1" si="29"/>
        <v>0.14650142359468696</v>
      </c>
      <c r="AP55" s="170">
        <f t="shared" ca="1" si="34"/>
        <v>9248.8885483969716</v>
      </c>
      <c r="AQ55" s="179">
        <f t="shared" ca="1" si="35"/>
        <v>5.6289561015782033</v>
      </c>
      <c r="AR55" s="179">
        <f t="shared" ca="1" si="36"/>
        <v>3.1560529181620126E-2</v>
      </c>
      <c r="AS55" s="170">
        <f t="shared" si="30"/>
        <v>65</v>
      </c>
      <c r="AT55" s="176">
        <f t="shared" si="31"/>
        <v>3.3</v>
      </c>
      <c r="AU55" s="173">
        <f t="shared" ca="1" si="37"/>
        <v>0.10055479557081842</v>
      </c>
      <c r="AV55" s="266"/>
      <c r="AW55" s="173">
        <f t="shared" ca="1" si="32"/>
        <v>150.50853153849638</v>
      </c>
      <c r="AX55" s="266"/>
      <c r="AY55" s="307"/>
    </row>
    <row r="56" spans="6:51" x14ac:dyDescent="0.3">
      <c r="F56" s="26"/>
      <c r="G56" s="26"/>
      <c r="H56" s="26"/>
      <c r="I56" s="26"/>
      <c r="AI56" s="317"/>
      <c r="AJ56" s="102" t="s">
        <v>356</v>
      </c>
      <c r="AK56" s="102" t="s">
        <v>111</v>
      </c>
      <c r="AL56" s="23">
        <f ca="1">(AN40+AY39)</f>
        <v>6.02805373633625E-4</v>
      </c>
      <c r="AM56" s="23"/>
      <c r="AN56" s="23">
        <f t="shared" ca="1" si="33"/>
        <v>-6.02805373633625E-4</v>
      </c>
      <c r="AO56" s="173">
        <f t="shared" ca="1" si="29"/>
        <v>0.13218351339016446</v>
      </c>
      <c r="AP56" s="170">
        <f t="shared" ca="1" si="34"/>
        <v>8344.9740847808862</v>
      </c>
      <c r="AQ56" s="179">
        <f t="shared" ca="1" si="35"/>
        <v>5.5518622442090448</v>
      </c>
      <c r="AR56" s="179">
        <f t="shared" ca="1" si="36"/>
        <v>3.2443121779562246E-2</v>
      </c>
      <c r="AS56" s="170">
        <f t="shared" si="30"/>
        <v>34.61</v>
      </c>
      <c r="AT56" s="176">
        <f t="shared" si="31"/>
        <v>3.3</v>
      </c>
      <c r="AU56" s="173">
        <f t="shared" ca="1" si="37"/>
        <v>-1.6061546189394992E-2</v>
      </c>
      <c r="AV56" s="266"/>
      <c r="AW56" s="173">
        <f t="shared" ca="1" si="32"/>
        <v>26.644663256032835</v>
      </c>
      <c r="AX56" s="266"/>
      <c r="AY56" s="307"/>
    </row>
    <row r="57" spans="6:51" x14ac:dyDescent="0.3">
      <c r="F57" s="26"/>
      <c r="G57" s="26"/>
      <c r="H57" s="26"/>
      <c r="I57" s="26"/>
      <c r="AI57" s="317" t="s">
        <v>406</v>
      </c>
      <c r="AJ57" s="102" t="s">
        <v>358</v>
      </c>
      <c r="AK57" s="102" t="s">
        <v>408</v>
      </c>
      <c r="AL57" s="23">
        <f ca="1">(AN35+AY35)</f>
        <v>1.8660704658177569E-4</v>
      </c>
      <c r="AM57" s="23"/>
      <c r="AN57" s="23">
        <f t="shared" ca="1" si="33"/>
        <v>1.8660704658177569E-4</v>
      </c>
      <c r="AO57" s="173">
        <f t="shared" ca="1" si="29"/>
        <v>4.0919301850041237E-2</v>
      </c>
      <c r="AP57" s="170">
        <f t="shared" ca="1" si="34"/>
        <v>2583.3063802594379</v>
      </c>
      <c r="AQ57" s="179">
        <f t="shared" ca="1" si="35"/>
        <v>4.6829502709353097</v>
      </c>
      <c r="AR57" s="179">
        <f t="shared" ca="1" si="36"/>
        <v>4.5599586879305973E-2</v>
      </c>
      <c r="AS57" s="170">
        <f t="shared" si="30"/>
        <v>27.9</v>
      </c>
      <c r="AT57" s="176">
        <f t="shared" si="31"/>
        <v>2.1</v>
      </c>
      <c r="AU57" s="173">
        <f t="shared" ca="1" si="37"/>
        <v>3.8058570752627333E-3</v>
      </c>
      <c r="AV57" s="266">
        <f ca="1">SUM(AU57:AU60)</f>
        <v>3.2083927731762878E-3</v>
      </c>
      <c r="AW57" s="173">
        <f t="shared" ca="1" si="32"/>
        <v>20.395034083532934</v>
      </c>
      <c r="AX57" s="266">
        <f ca="1">SUM(AW57:AW60)</f>
        <v>60.075318989581731</v>
      </c>
      <c r="AY57" s="307">
        <f ca="1">-(AV57/(2*AX57))</f>
        <v>-2.6703085619343007E-5</v>
      </c>
    </row>
    <row r="58" spans="6:51" x14ac:dyDescent="0.3">
      <c r="F58" s="26"/>
      <c r="G58" s="26"/>
      <c r="H58" s="26"/>
      <c r="I58" s="26"/>
      <c r="AI58" s="317"/>
      <c r="AJ58" s="102" t="s">
        <v>350</v>
      </c>
      <c r="AK58" s="102" t="s">
        <v>408</v>
      </c>
      <c r="AL58" s="23">
        <f ca="1">(AN36+AY35)</f>
        <v>1.8660704658177569E-4</v>
      </c>
      <c r="AM58" s="23"/>
      <c r="AN58" s="23">
        <f t="shared" ca="1" si="33"/>
        <v>1.8660704658177569E-4</v>
      </c>
      <c r="AO58" s="173">
        <f t="shared" ca="1" si="29"/>
        <v>4.0919301850041237E-2</v>
      </c>
      <c r="AP58" s="170">
        <f t="shared" ca="1" si="34"/>
        <v>2583.3063802594379</v>
      </c>
      <c r="AQ58" s="179">
        <f t="shared" ca="1" si="35"/>
        <v>4.6829502709353097</v>
      </c>
      <c r="AR58" s="179">
        <f t="shared" ca="1" si="36"/>
        <v>4.5599586879305973E-2</v>
      </c>
      <c r="AS58" s="170">
        <f t="shared" si="30"/>
        <v>15.21</v>
      </c>
      <c r="AT58" s="176">
        <f t="shared" si="31"/>
        <v>1.5</v>
      </c>
      <c r="AU58" s="173">
        <f t="shared" ca="1" si="37"/>
        <v>2.0748059539335553E-3</v>
      </c>
      <c r="AV58" s="266"/>
      <c r="AW58" s="173">
        <f t="shared" ca="1" si="32"/>
        <v>11.118583097151829</v>
      </c>
      <c r="AX58" s="266"/>
      <c r="AY58" s="307"/>
    </row>
    <row r="59" spans="6:51" x14ac:dyDescent="0.3">
      <c r="F59" s="26"/>
      <c r="G59" s="26"/>
      <c r="H59" s="26"/>
      <c r="I59" s="26"/>
      <c r="AI59" s="317"/>
      <c r="AJ59" s="102" t="s">
        <v>351</v>
      </c>
      <c r="AK59" s="102" t="s">
        <v>408</v>
      </c>
      <c r="AL59" s="23">
        <f ca="1">(AN37+AY35)</f>
        <v>1.5660704658177572E-4</v>
      </c>
      <c r="AM59" s="23"/>
      <c r="AN59" s="23">
        <f t="shared" ca="1" si="33"/>
        <v>1.5660704658177572E-4</v>
      </c>
      <c r="AO59" s="173">
        <f t="shared" ca="1" si="29"/>
        <v>3.434088437874129E-2</v>
      </c>
      <c r="AP59" s="170">
        <f t="shared" ca="1" si="34"/>
        <v>2167.999494333128</v>
      </c>
      <c r="AQ59" s="179">
        <f t="shared" ca="1" si="35"/>
        <v>4.5549313759221679</v>
      </c>
      <c r="AR59" s="179">
        <f t="shared" ca="1" si="36"/>
        <v>4.8198810826544362E-2</v>
      </c>
      <c r="AS59" s="170">
        <f t="shared" si="30"/>
        <v>27.9</v>
      </c>
      <c r="AT59" s="176">
        <f t="shared" si="31"/>
        <v>1.5</v>
      </c>
      <c r="AU59" s="173">
        <f t="shared" ca="1" si="37"/>
        <v>2.7377223935199698E-3</v>
      </c>
      <c r="AV59" s="266"/>
      <c r="AW59" s="173">
        <f t="shared" ca="1" si="32"/>
        <v>17.481476429545012</v>
      </c>
      <c r="AX59" s="266"/>
      <c r="AY59" s="307"/>
    </row>
    <row r="60" spans="6:51" x14ac:dyDescent="0.3">
      <c r="F60" s="26"/>
      <c r="G60" s="26"/>
      <c r="H60" s="26"/>
      <c r="I60" s="26"/>
      <c r="AI60" s="317"/>
      <c r="AJ60" s="102" t="s">
        <v>352</v>
      </c>
      <c r="AK60" s="102" t="s">
        <v>111</v>
      </c>
      <c r="AL60" s="182">
        <f ca="1">(AN54+AY52)</f>
        <v>4.8825655294174031E-4</v>
      </c>
      <c r="AM60" s="182"/>
      <c r="AN60" s="182">
        <f t="shared" ca="1" si="33"/>
        <v>-4.8825655294174031E-4</v>
      </c>
      <c r="AO60" s="173">
        <f t="shared" ca="1" si="29"/>
        <v>0.1070651812782878</v>
      </c>
      <c r="AP60" s="170">
        <f t="shared" ca="1" si="34"/>
        <v>6759.2102845116224</v>
      </c>
      <c r="AQ60" s="179">
        <f t="shared" ca="1" si="35"/>
        <v>5.3942744966966432</v>
      </c>
      <c r="AR60" s="179">
        <f t="shared" ca="1" si="36"/>
        <v>3.4366390059120587E-2</v>
      </c>
      <c r="AS60" s="170">
        <f t="shared" si="30"/>
        <v>15.21</v>
      </c>
      <c r="AT60" s="176">
        <f t="shared" si="31"/>
        <v>2.4</v>
      </c>
      <c r="AU60" s="173">
        <f t="shared" ca="1" si="37"/>
        <v>-5.409992649539971E-3</v>
      </c>
      <c r="AV60" s="266"/>
      <c r="AW60" s="173">
        <f t="shared" ca="1" si="32"/>
        <v>11.080225379351953</v>
      </c>
      <c r="AX60" s="266"/>
      <c r="AY60" s="307"/>
    </row>
    <row r="61" spans="6:51" x14ac:dyDescent="0.3">
      <c r="F61" s="26"/>
      <c r="G61" s="26"/>
      <c r="H61" s="26"/>
      <c r="I61" s="26"/>
      <c r="AI61" s="317" t="s">
        <v>407</v>
      </c>
      <c r="AJ61" s="102" t="s">
        <v>355</v>
      </c>
      <c r="AK61" s="102" t="s">
        <v>111</v>
      </c>
      <c r="AL61" s="182">
        <f ca="1">(AN51+AY48)</f>
        <v>4.4283666681000408E-4</v>
      </c>
      <c r="AM61" s="182"/>
      <c r="AN61" s="182">
        <f t="shared" ca="1" si="33"/>
        <v>-4.4283666681000408E-4</v>
      </c>
      <c r="AO61" s="173">
        <f t="shared" ca="1" si="29"/>
        <v>9.7105482195838866E-2</v>
      </c>
      <c r="AP61" s="170">
        <f t="shared" ca="1" si="34"/>
        <v>6130.437235561657</v>
      </c>
      <c r="AQ61" s="179">
        <f t="shared" ca="1" si="35"/>
        <v>5.321456098266462</v>
      </c>
      <c r="AR61" s="179">
        <f t="shared" ca="1" si="36"/>
        <v>3.5313359266145442E-2</v>
      </c>
      <c r="AS61" s="170">
        <f t="shared" si="30"/>
        <v>27.6</v>
      </c>
      <c r="AT61" s="176">
        <f t="shared" si="31"/>
        <v>3</v>
      </c>
      <c r="AU61" s="173">
        <f t="shared" ca="1" si="37"/>
        <v>-7.5890765019792283E-3</v>
      </c>
      <c r="AV61" s="266">
        <f ca="1">SUM(AU61:AU66)</f>
        <v>2.6468589555331323E-2</v>
      </c>
      <c r="AW61" s="173">
        <f t="shared" ca="1" si="32"/>
        <v>17.137416728943244</v>
      </c>
      <c r="AX61" s="266">
        <f ca="1">SUM(AW61:AW66)</f>
        <v>625.7078875822142</v>
      </c>
      <c r="AY61" s="307">
        <f ca="1">-(AV61/(2*AX61))</f>
        <v>-2.1150915691352471E-5</v>
      </c>
    </row>
    <row r="62" spans="6:51" x14ac:dyDescent="0.3">
      <c r="F62" s="26"/>
      <c r="G62" s="26"/>
      <c r="H62" s="26"/>
      <c r="I62" s="26"/>
      <c r="AI62" s="317"/>
      <c r="AJ62" s="102" t="s">
        <v>356</v>
      </c>
      <c r="AK62" s="102" t="s">
        <v>408</v>
      </c>
      <c r="AL62" s="182">
        <f ca="1">(AN56+AY52)</f>
        <v>-6.6604207741483533E-4</v>
      </c>
      <c r="AM62" s="182" t="s">
        <v>423</v>
      </c>
      <c r="AN62" s="182">
        <f t="shared" ca="1" si="33"/>
        <v>6.6604207741483533E-4</v>
      </c>
      <c r="AO62" s="173">
        <f t="shared" ca="1" si="29"/>
        <v>0.14605009462288893</v>
      </c>
      <c r="AP62" s="170">
        <f t="shared" ca="1" si="34"/>
        <v>9220.3953689015198</v>
      </c>
      <c r="AQ62" s="179">
        <f t="shared" ca="1" si="35"/>
        <v>5.6266413971907374</v>
      </c>
      <c r="AR62" s="179">
        <f t="shared" ca="1" si="36"/>
        <v>3.1586501450563485E-2</v>
      </c>
      <c r="AS62" s="170">
        <f t="shared" si="30"/>
        <v>34.61</v>
      </c>
      <c r="AT62" s="176">
        <f t="shared" si="31"/>
        <v>3.3</v>
      </c>
      <c r="AU62" s="173">
        <f t="shared" ca="1" si="37"/>
        <v>5.3225001951365154E-2</v>
      </c>
      <c r="AV62" s="266"/>
      <c r="AW62" s="173">
        <f t="shared" ca="1" si="32"/>
        <v>79.912371539575688</v>
      </c>
      <c r="AX62" s="266"/>
      <c r="AY62" s="307"/>
    </row>
    <row r="63" spans="6:51" x14ac:dyDescent="0.3">
      <c r="F63" s="26"/>
      <c r="G63" s="26"/>
      <c r="H63" s="26"/>
      <c r="I63" s="26"/>
      <c r="AI63" s="317"/>
      <c r="AJ63" s="102" t="s">
        <v>360</v>
      </c>
      <c r="AK63" s="102" t="s">
        <v>408</v>
      </c>
      <c r="AL63" s="23">
        <f ca="1">(AN41+AY39)</f>
        <v>1.2209056769383513E-3</v>
      </c>
      <c r="AM63" s="23"/>
      <c r="AN63" s="23">
        <f t="shared" ca="1" si="33"/>
        <v>1.2209056769383513E-3</v>
      </c>
      <c r="AO63" s="173">
        <f t="shared" ca="1" si="29"/>
        <v>0.26772090786601815</v>
      </c>
      <c r="AP63" s="170">
        <f t="shared" ca="1" si="34"/>
        <v>16901.684489967342</v>
      </c>
      <c r="AQ63" s="179">
        <f t="shared" ca="1" si="35"/>
        <v>6.0831544885949134</v>
      </c>
      <c r="AR63" s="179">
        <f t="shared" ca="1" si="36"/>
        <v>2.702354425301182E-2</v>
      </c>
      <c r="AS63" s="170">
        <f t="shared" si="30"/>
        <v>37.6</v>
      </c>
      <c r="AT63" s="176">
        <f t="shared" si="31"/>
        <v>2.7</v>
      </c>
      <c r="AU63" s="173">
        <f t="shared" ca="1" si="37"/>
        <v>0.18607036753638415</v>
      </c>
      <c r="AV63" s="266"/>
      <c r="AW63" s="173">
        <f t="shared" ca="1" si="32"/>
        <v>152.40355668014445</v>
      </c>
      <c r="AX63" s="266"/>
      <c r="AY63" s="307"/>
    </row>
    <row r="64" spans="6:51" x14ac:dyDescent="0.3">
      <c r="F64" s="26"/>
      <c r="G64" s="26"/>
      <c r="H64" s="26"/>
      <c r="I64" s="26"/>
      <c r="AI64" s="317"/>
      <c r="AJ64" s="102" t="s">
        <v>361</v>
      </c>
      <c r="AK64" s="102" t="s">
        <v>408</v>
      </c>
      <c r="AL64" s="23">
        <f ca="1">(AN42+AY39)</f>
        <v>1.2009056769383515E-3</v>
      </c>
      <c r="AM64" s="23"/>
      <c r="AN64" s="23">
        <f t="shared" ca="1" si="33"/>
        <v>1.2009056769383515E-3</v>
      </c>
      <c r="AO64" s="173">
        <f t="shared" ca="1" si="29"/>
        <v>0.26333529621848489</v>
      </c>
      <c r="AP64" s="170">
        <f t="shared" ca="1" si="34"/>
        <v>16624.813232683136</v>
      </c>
      <c r="AQ64" s="179">
        <f t="shared" ca="1" si="35"/>
        <v>6.070666078761187</v>
      </c>
      <c r="AR64" s="179">
        <f t="shared" ca="1" si="36"/>
        <v>2.7134842822194596E-2</v>
      </c>
      <c r="AS64" s="170">
        <f t="shared" si="30"/>
        <v>46.658000000000001</v>
      </c>
      <c r="AT64" s="176">
        <f t="shared" si="31"/>
        <v>2.4</v>
      </c>
      <c r="AU64" s="173">
        <f t="shared" ca="1" si="37"/>
        <v>0.22363361038741056</v>
      </c>
      <c r="AV64" s="266"/>
      <c r="AW64" s="173">
        <f t="shared" ca="1" si="32"/>
        <v>186.22079542296211</v>
      </c>
      <c r="AX64" s="266"/>
      <c r="AY64" s="307"/>
    </row>
    <row r="65" spans="6:51" x14ac:dyDescent="0.3">
      <c r="F65" s="26"/>
      <c r="G65" s="26"/>
      <c r="H65" s="26"/>
      <c r="I65" s="26"/>
      <c r="AI65" s="317"/>
      <c r="AJ65" s="102" t="s">
        <v>348</v>
      </c>
      <c r="AK65" s="102" t="s">
        <v>408</v>
      </c>
      <c r="AL65" s="23">
        <f ca="1">(AN43+AY39)</f>
        <v>1.1609056769383513E-3</v>
      </c>
      <c r="AM65" s="23"/>
      <c r="AN65" s="23">
        <f t="shared" ca="1" si="33"/>
        <v>1.1609056769383513E-3</v>
      </c>
      <c r="AO65" s="173">
        <f t="shared" ca="1" si="29"/>
        <v>0.25456407292341826</v>
      </c>
      <c r="AP65" s="170">
        <f t="shared" ca="1" si="34"/>
        <v>16071.070718114719</v>
      </c>
      <c r="AQ65" s="179">
        <f t="shared" ca="1" si="35"/>
        <v>6.0450600568604944</v>
      </c>
      <c r="AR65" s="179">
        <f t="shared" ca="1" si="36"/>
        <v>2.7365208424193141E-2</v>
      </c>
      <c r="AS65" s="170">
        <f t="shared" si="30"/>
        <v>15.552</v>
      </c>
      <c r="AT65" s="176">
        <f t="shared" si="31"/>
        <v>3.3</v>
      </c>
      <c r="AU65" s="173">
        <f t="shared" ca="1" si="37"/>
        <v>6.9813655484219056E-2</v>
      </c>
      <c r="AV65" s="266"/>
      <c r="AW65" s="173">
        <f t="shared" ca="1" si="32"/>
        <v>60.137233257690781</v>
      </c>
      <c r="AX65" s="266"/>
      <c r="AY65" s="307"/>
    </row>
    <row r="66" spans="6:51" x14ac:dyDescent="0.3">
      <c r="F66" s="26"/>
      <c r="G66" s="26"/>
      <c r="H66" s="26"/>
      <c r="I66" s="26"/>
      <c r="AI66" s="317"/>
      <c r="AJ66" s="102" t="s">
        <v>349</v>
      </c>
      <c r="AK66" s="102" t="s">
        <v>111</v>
      </c>
      <c r="AL66" s="23">
        <f ca="1">(AN44+AY39)</f>
        <v>-3.8390943230616485E-3</v>
      </c>
      <c r="AM66" s="23"/>
      <c r="AN66" s="23">
        <f t="shared" ca="1" si="33"/>
        <v>-3.8390943230616485E-3</v>
      </c>
      <c r="AO66" s="173">
        <f t="shared" ca="1" si="29"/>
        <v>0.84183883895990697</v>
      </c>
      <c r="AP66" s="170">
        <f t="shared" ca="1" si="34"/>
        <v>53146.743602936949</v>
      </c>
      <c r="AQ66" s="179">
        <f t="shared" ca="1" si="35"/>
        <v>6.9532684354945138</v>
      </c>
      <c r="AR66" s="179">
        <f t="shared" ca="1" si="36"/>
        <v>2.0683403676682265E-2</v>
      </c>
      <c r="AS66" s="170">
        <f t="shared" si="30"/>
        <v>37.6</v>
      </c>
      <c r="AT66" s="176">
        <f t="shared" si="31"/>
        <v>3.6</v>
      </c>
      <c r="AU66" s="173">
        <f t="shared" ca="1" si="37"/>
        <v>-0.49868496930206835</v>
      </c>
      <c r="AV66" s="266"/>
      <c r="AW66" s="173">
        <f t="shared" ca="1" si="32"/>
        <v>129.89651395289783</v>
      </c>
      <c r="AX66" s="266"/>
      <c r="AY66" s="307"/>
    </row>
    <row r="67" spans="6:51" x14ac:dyDescent="0.3">
      <c r="F67" s="26"/>
      <c r="G67" s="26"/>
      <c r="H67" s="26"/>
      <c r="I67" s="26"/>
    </row>
    <row r="68" spans="6:51" x14ac:dyDescent="0.3">
      <c r="F68" s="26"/>
      <c r="G68" s="26"/>
      <c r="H68" s="26"/>
      <c r="I68" s="26"/>
      <c r="AI68" s="204" t="s">
        <v>419</v>
      </c>
      <c r="AJ68" s="204"/>
      <c r="AK68" s="204"/>
      <c r="AL68" s="204"/>
      <c r="AM68" s="204"/>
      <c r="AN68" s="204"/>
      <c r="AO68" s="204"/>
      <c r="AP68" s="204"/>
      <c r="AQ68" s="204"/>
      <c r="AR68" s="204"/>
      <c r="AS68" s="204"/>
      <c r="AT68" s="204"/>
      <c r="AU68" s="204"/>
      <c r="AV68" s="204"/>
      <c r="AW68" s="204"/>
      <c r="AX68" s="204"/>
      <c r="AY68" s="204"/>
    </row>
    <row r="69" spans="6:51" x14ac:dyDescent="0.3">
      <c r="F69" s="26"/>
      <c r="G69" s="26"/>
      <c r="H69" s="26"/>
      <c r="I69" s="26"/>
      <c r="AI69" s="19"/>
      <c r="AJ69" s="19"/>
      <c r="AK69" s="168" t="s">
        <v>368</v>
      </c>
      <c r="AL69" s="293" t="s">
        <v>364</v>
      </c>
      <c r="AM69" s="294"/>
      <c r="AN69" s="318"/>
      <c r="AO69" s="168" t="s">
        <v>103</v>
      </c>
      <c r="AP69" s="168" t="s">
        <v>365</v>
      </c>
      <c r="AQ69" s="229" t="s">
        <v>366</v>
      </c>
      <c r="AR69" s="229"/>
      <c r="AS69" s="168" t="s">
        <v>409</v>
      </c>
      <c r="AT69" s="168" t="s">
        <v>110</v>
      </c>
      <c r="AU69" s="168" t="s">
        <v>410</v>
      </c>
      <c r="AV69" s="168" t="s">
        <v>411</v>
      </c>
      <c r="AW69" s="168" t="s">
        <v>412</v>
      </c>
      <c r="AX69" s="168" t="s">
        <v>413</v>
      </c>
      <c r="AY69" s="168" t="s">
        <v>119</v>
      </c>
    </row>
    <row r="70" spans="6:51" x14ac:dyDescent="0.3">
      <c r="F70" s="26"/>
      <c r="G70" s="26"/>
      <c r="H70" s="26"/>
      <c r="I70" s="26"/>
      <c r="AI70" s="229" t="s">
        <v>404</v>
      </c>
      <c r="AJ70" s="102" t="s">
        <v>325</v>
      </c>
      <c r="AK70" s="102" t="s">
        <v>111</v>
      </c>
      <c r="AL70" s="23">
        <f ca="1">(AN48+AY48)</f>
        <v>-3.4862576562516446E-3</v>
      </c>
      <c r="AM70" s="23"/>
      <c r="AN70" s="23">
        <f ca="1">IF(AM70="SI",(IF(AK70="-",IF(SIGN(AL70)=-1,AL70,-1*AL70),AL70))*-1,(IF(AK70="-",IF(SIGN(AL70)=-1,AL70,-1*AL70),AL70)))</f>
        <v>-3.4862576562516446E-3</v>
      </c>
      <c r="AO70" s="173">
        <f t="shared" ref="AO70:AO88" ca="1" si="38">ABS(AN70/$AA$5)</f>
        <v>0.76446860917796799</v>
      </c>
      <c r="AP70" s="170">
        <f ca="1">(AO70*$Z$5)/$AD$5</f>
        <v>48262.227025154229</v>
      </c>
      <c r="AQ70" s="179">
        <f ca="1">-2*LOG10(($AF$5/(3.7*$Z$5))+((2.51/AP70)*AQ70))</f>
        <v>6.8798848113931044</v>
      </c>
      <c r="AR70" s="179">
        <f ca="1">(1/AQ70)^2</f>
        <v>2.1126991910768906E-2</v>
      </c>
      <c r="AS70" s="170">
        <f t="shared" ref="AS70:AS88" si="39">VLOOKUP(AJ70,$V$5:$AG$19,7,FALSE)</f>
        <v>65</v>
      </c>
      <c r="AT70" s="176">
        <f t="shared" ref="AT70:AT88" si="40">VLOOKUP(AJ70,$V$5:$AG$19,12,FALSE)</f>
        <v>3.3</v>
      </c>
      <c r="AU70" s="173">
        <f ca="1">IF(SIGN(AN70)=-1,-1*(((AN70^2)/(2*9.81*($AA$5^2)))*((AT70)+(AR70*(AS70/$Z$5)))),1*(((AN70^2)/(2*9.81*($AA$5^2)))*((AS70)+(AR70*(AS70/$Z$5)))))</f>
        <v>-0.63510040417109614</v>
      </c>
      <c r="AV70" s="266">
        <f ca="1">SUM(AU70:AU73)</f>
        <v>4.3354333397022479E-2</v>
      </c>
      <c r="AW70" s="173">
        <f t="shared" ref="AW70:AW88" ca="1" si="41">AU70/AN70</f>
        <v>182.17253765860312</v>
      </c>
      <c r="AX70" s="266">
        <f ca="1">SUM(AW70:AW73)</f>
        <v>662.58774152619162</v>
      </c>
      <c r="AY70" s="307">
        <f ca="1">-(AV70/(2*AX70))</f>
        <v>-3.2715918722825268E-5</v>
      </c>
    </row>
    <row r="71" spans="6:51" x14ac:dyDescent="0.3">
      <c r="F71" s="26"/>
      <c r="G71" s="26"/>
      <c r="H71" s="26"/>
      <c r="I71" s="26"/>
      <c r="AI71" s="229"/>
      <c r="AJ71" s="102" t="s">
        <v>354</v>
      </c>
      <c r="AK71" s="102" t="s">
        <v>408</v>
      </c>
      <c r="AL71" s="23">
        <f ca="1">(AN49+AY48)</f>
        <v>1.9737423437483554E-3</v>
      </c>
      <c r="AM71" s="23"/>
      <c r="AN71" s="23">
        <f t="shared" ref="AN71:AN88" ca="1" si="42">IF(AM71="SI",(IF(AK71="-",IF(SIGN(AL71)=-1,AL71,-1*AL71),AL71))*-1,(IF(AK71="-",IF(SIGN(AL71)=-1,AL71,-1*AL71),AL71)))</f>
        <v>1.9737423437483554E-3</v>
      </c>
      <c r="AO71" s="173">
        <f t="shared" ca="1" si="38"/>
        <v>0.43280337059862317</v>
      </c>
      <c r="AP71" s="170">
        <f t="shared" ref="AP71:AP88" ca="1" si="43">(AO71*$Z$5)/$AD$5</f>
        <v>27323.6262134342</v>
      </c>
      <c r="AQ71" s="179">
        <f t="shared" ref="AQ71:AQ88" ca="1" si="44">-2*LOG10(($AF$5/(3.7*$Z$5))+((2.51/AP71)*AQ71))</f>
        <v>6.4472168734382098</v>
      </c>
      <c r="AR71" s="179">
        <f t="shared" ref="AR71:AR88" ca="1" si="45">(1/AQ71)^2</f>
        <v>2.4057774024619474E-2</v>
      </c>
      <c r="AS71" s="170">
        <f t="shared" si="39"/>
        <v>27.6</v>
      </c>
      <c r="AT71" s="176">
        <f t="shared" si="40"/>
        <v>3.3</v>
      </c>
      <c r="AU71" s="173">
        <f t="shared" ref="AU71:AU88" ca="1" si="46">IF(SIGN(AN71)=-1,-1*(((AN71^2)/(2*9.81*($AA$5^2)))*((AT71)+(AR71*(AS71/$Z$5)))),1*(((AN71^2)/(2*9.81*($AA$5^2)))*((AS71)+(AR71*(AS71/$Z$5)))))</f>
        <v>0.34670047309453739</v>
      </c>
      <c r="AV71" s="229"/>
      <c r="AW71" s="173">
        <f t="shared" ca="1" si="41"/>
        <v>175.65639922185323</v>
      </c>
      <c r="AX71" s="229"/>
      <c r="AY71" s="307"/>
    </row>
    <row r="72" spans="6:51" x14ac:dyDescent="0.3">
      <c r="F72" s="26"/>
      <c r="G72" s="26"/>
      <c r="H72" s="26"/>
      <c r="I72" s="26"/>
      <c r="AI72" s="229"/>
      <c r="AJ72" s="102" t="s">
        <v>353</v>
      </c>
      <c r="AK72" s="102" t="s">
        <v>408</v>
      </c>
      <c r="AL72" s="23">
        <f ca="1">(AN52+AY52)</f>
        <v>-1.1988787442248393E-3</v>
      </c>
      <c r="AM72" s="23" t="s">
        <v>423</v>
      </c>
      <c r="AN72" s="23">
        <f t="shared" ca="1" si="42"/>
        <v>1.1988787442248393E-3</v>
      </c>
      <c r="AO72" s="173">
        <f t="shared" ca="1" si="38"/>
        <v>0.26289082923262763</v>
      </c>
      <c r="AP72" s="170">
        <f t="shared" ca="1" si="43"/>
        <v>16596.753262242106</v>
      </c>
      <c r="AQ72" s="179">
        <f t="shared" ca="1" si="44"/>
        <v>6.0693889605220877</v>
      </c>
      <c r="AR72" s="179">
        <f t="shared" ca="1" si="45"/>
        <v>2.7146263427758378E-2</v>
      </c>
      <c r="AS72" s="170">
        <f t="shared" si="39"/>
        <v>65</v>
      </c>
      <c r="AT72" s="176">
        <f t="shared" si="40"/>
        <v>6.6</v>
      </c>
      <c r="AU72" s="173">
        <f t="shared" ca="1" si="46"/>
        <v>0.31053105145662385</v>
      </c>
      <c r="AV72" s="229"/>
      <c r="AW72" s="173">
        <f t="shared" ca="1" si="41"/>
        <v>259.01789730820889</v>
      </c>
      <c r="AX72" s="229"/>
      <c r="AY72" s="307"/>
    </row>
    <row r="73" spans="6:51" x14ac:dyDescent="0.3">
      <c r="F73" s="26"/>
      <c r="G73" s="26"/>
      <c r="H73" s="26"/>
      <c r="I73" s="26"/>
      <c r="AI73" s="229"/>
      <c r="AJ73" s="102" t="s">
        <v>355</v>
      </c>
      <c r="AK73" s="102" t="s">
        <v>408</v>
      </c>
      <c r="AL73" s="23">
        <f ca="1">(AN61+AY61)</f>
        <v>-4.6398758250135657E-4</v>
      </c>
      <c r="AM73" s="23" t="s">
        <v>423</v>
      </c>
      <c r="AN73" s="23">
        <f t="shared" ca="1" si="42"/>
        <v>4.6398758250135657E-4</v>
      </c>
      <c r="AO73" s="173">
        <f t="shared" ca="1" si="38"/>
        <v>0.10174346730643839</v>
      </c>
      <c r="AP73" s="170">
        <f t="shared" ca="1" si="43"/>
        <v>6423.2412665705087</v>
      </c>
      <c r="AQ73" s="179">
        <f t="shared" ca="1" si="44"/>
        <v>5.3562364903409634</v>
      </c>
      <c r="AR73" s="179">
        <f t="shared" ca="1" si="45"/>
        <v>3.4856237993824188E-2</v>
      </c>
      <c r="AS73" s="170">
        <f t="shared" si="39"/>
        <v>27.6</v>
      </c>
      <c r="AT73" s="176">
        <f t="shared" si="40"/>
        <v>3</v>
      </c>
      <c r="AU73" s="173">
        <f t="shared" ca="1" si="46"/>
        <v>2.1223213016957385E-2</v>
      </c>
      <c r="AV73" s="229"/>
      <c r="AW73" s="173">
        <f t="shared" ca="1" si="41"/>
        <v>45.740907337526288</v>
      </c>
      <c r="AX73" s="229"/>
      <c r="AY73" s="307"/>
    </row>
    <row r="74" spans="6:51" x14ac:dyDescent="0.3">
      <c r="F74" s="26"/>
      <c r="G74" s="26"/>
      <c r="H74" s="26"/>
      <c r="I74" s="26"/>
      <c r="AI74" s="317" t="s">
        <v>405</v>
      </c>
      <c r="AJ74" s="102" t="s">
        <v>353</v>
      </c>
      <c r="AK74" s="102" t="s">
        <v>111</v>
      </c>
      <c r="AL74" s="182">
        <f ca="1">(AN72+AY70)</f>
        <v>1.1661628255020141E-3</v>
      </c>
      <c r="AM74" s="182"/>
      <c r="AN74" s="182">
        <f t="shared" ca="1" si="42"/>
        <v>-1.1661628255020141E-3</v>
      </c>
      <c r="AO74" s="173">
        <f t="shared" ca="1" si="38"/>
        <v>0.25571686352209888</v>
      </c>
      <c r="AP74" s="170">
        <f t="shared" ca="1" si="43"/>
        <v>16143.848384742279</v>
      </c>
      <c r="AQ74" s="179">
        <f t="shared" ca="1" si="44"/>
        <v>6.0484747834601889</v>
      </c>
      <c r="AR74" s="179">
        <f t="shared" ca="1" si="45"/>
        <v>2.7334318545045797E-2</v>
      </c>
      <c r="AS74" s="170">
        <f t="shared" si="39"/>
        <v>65</v>
      </c>
      <c r="AT74" s="176">
        <f t="shared" si="40"/>
        <v>6.6</v>
      </c>
      <c r="AU74" s="173">
        <f t="shared" ca="1" si="46"/>
        <v>-9.9708704104335313E-2</v>
      </c>
      <c r="AV74" s="266">
        <f ca="1">SUM(AU74:AU78)</f>
        <v>1.1005375691120051E-2</v>
      </c>
      <c r="AW74" s="173">
        <f t="shared" ca="1" si="41"/>
        <v>85.501528537760024</v>
      </c>
      <c r="AX74" s="266">
        <f ca="1">SUM(AW74:AW78)</f>
        <v>324.61505850047405</v>
      </c>
      <c r="AY74" s="307">
        <f ca="1">-(AV74/(2*AX74))</f>
        <v>-1.6951425084773107E-5</v>
      </c>
    </row>
    <row r="75" spans="6:51" x14ac:dyDescent="0.3">
      <c r="F75" s="26"/>
      <c r="G75" s="26"/>
      <c r="H75" s="26"/>
      <c r="I75" s="26"/>
      <c r="AI75" s="317"/>
      <c r="AJ75" s="102" t="s">
        <v>357</v>
      </c>
      <c r="AK75" s="102" t="s">
        <v>408</v>
      </c>
      <c r="AL75" s="23">
        <f ca="1">(AN53+AY52)</f>
        <v>6.8486359952351608E-4</v>
      </c>
      <c r="AM75" s="23"/>
      <c r="AN75" s="23">
        <f t="shared" ca="1" si="42"/>
        <v>6.8486359952351608E-4</v>
      </c>
      <c r="AO75" s="173">
        <f t="shared" ca="1" si="38"/>
        <v>0.1501772889520957</v>
      </c>
      <c r="AP75" s="170">
        <f t="shared" ca="1" si="43"/>
        <v>9480.9522934131655</v>
      </c>
      <c r="AQ75" s="179">
        <f t="shared" ca="1" si="44"/>
        <v>5.6475508879975527</v>
      </c>
      <c r="AR75" s="179">
        <f t="shared" ca="1" si="45"/>
        <v>3.135304272282672E-2</v>
      </c>
      <c r="AS75" s="170">
        <f t="shared" si="39"/>
        <v>19.399999999999999</v>
      </c>
      <c r="AT75" s="176">
        <f t="shared" si="40"/>
        <v>3</v>
      </c>
      <c r="AU75" s="173">
        <f t="shared" ca="1" si="46"/>
        <v>3.147595943296401E-2</v>
      </c>
      <c r="AV75" s="266"/>
      <c r="AW75" s="173">
        <f t="shared" ca="1" si="41"/>
        <v>45.959457408545219</v>
      </c>
      <c r="AX75" s="266"/>
      <c r="AY75" s="307"/>
    </row>
    <row r="76" spans="6:51" x14ac:dyDescent="0.3">
      <c r="F76" s="26"/>
      <c r="G76" s="26"/>
      <c r="H76" s="26"/>
      <c r="I76" s="26"/>
      <c r="AI76" s="317"/>
      <c r="AJ76" s="102" t="s">
        <v>352</v>
      </c>
      <c r="AK76" s="102" t="s">
        <v>408</v>
      </c>
      <c r="AL76" s="23">
        <f ca="1">(AN60+AY57)</f>
        <v>-5.149596385610833E-4</v>
      </c>
      <c r="AM76" s="23" t="s">
        <v>423</v>
      </c>
      <c r="AN76" s="23">
        <f t="shared" ca="1" si="42"/>
        <v>5.149596385610833E-4</v>
      </c>
      <c r="AO76" s="173">
        <f t="shared" ca="1" si="38"/>
        <v>0.11292064944415128</v>
      </c>
      <c r="AP76" s="170">
        <f t="shared" ca="1" si="43"/>
        <v>7128.8761289513886</v>
      </c>
      <c r="AQ76" s="179">
        <f t="shared" ca="1" si="44"/>
        <v>5.4340374739407</v>
      </c>
      <c r="AR76" s="179">
        <f t="shared" ca="1" si="45"/>
        <v>3.3865285549469423E-2</v>
      </c>
      <c r="AS76" s="170">
        <f t="shared" si="39"/>
        <v>15.21</v>
      </c>
      <c r="AT76" s="176">
        <f t="shared" si="40"/>
        <v>2.4</v>
      </c>
      <c r="AU76" s="173">
        <f t="shared" ca="1" si="46"/>
        <v>1.427816310680559E-2</v>
      </c>
      <c r="AV76" s="266"/>
      <c r="AW76" s="173">
        <f t="shared" ca="1" si="41"/>
        <v>27.726761551064644</v>
      </c>
      <c r="AX76" s="266"/>
      <c r="AY76" s="307"/>
    </row>
    <row r="77" spans="6:51" x14ac:dyDescent="0.3">
      <c r="F77" s="26"/>
      <c r="G77" s="26"/>
      <c r="H77" s="26"/>
      <c r="I77" s="26"/>
      <c r="AI77" s="317"/>
      <c r="AJ77" s="102" t="s">
        <v>359</v>
      </c>
      <c r="AK77" s="102" t="s">
        <v>408</v>
      </c>
      <c r="AL77" s="23">
        <f ca="1">(AN55+AY52)</f>
        <v>6.0486359952351609E-4</v>
      </c>
      <c r="AM77" s="23"/>
      <c r="AN77" s="23">
        <f t="shared" ca="1" si="42"/>
        <v>6.0486359952351609E-4</v>
      </c>
      <c r="AO77" s="173">
        <f t="shared" ca="1" si="38"/>
        <v>0.13263484236196249</v>
      </c>
      <c r="AP77" s="170">
        <f t="shared" ca="1" si="43"/>
        <v>8373.467264276338</v>
      </c>
      <c r="AQ77" s="179">
        <f t="shared" ca="1" si="44"/>
        <v>5.5544154149445166</v>
      </c>
      <c r="AR77" s="179">
        <f t="shared" ca="1" si="45"/>
        <v>3.2413302695021635E-2</v>
      </c>
      <c r="AS77" s="170">
        <f t="shared" si="39"/>
        <v>65</v>
      </c>
      <c r="AT77" s="176">
        <f t="shared" si="40"/>
        <v>3.3</v>
      </c>
      <c r="AU77" s="173">
        <f t="shared" ca="1" si="46"/>
        <v>8.3072571314753429E-2</v>
      </c>
      <c r="AV77" s="266"/>
      <c r="AW77" s="173">
        <f t="shared" ca="1" si="41"/>
        <v>137.34099949177667</v>
      </c>
      <c r="AX77" s="266"/>
      <c r="AY77" s="307"/>
    </row>
    <row r="78" spans="6:51" x14ac:dyDescent="0.3">
      <c r="F78" s="26"/>
      <c r="G78" s="26"/>
      <c r="H78" s="26"/>
      <c r="I78" s="26"/>
      <c r="AI78" s="317"/>
      <c r="AJ78" s="102" t="s">
        <v>356</v>
      </c>
      <c r="AK78" s="102" t="s">
        <v>111</v>
      </c>
      <c r="AL78" s="23">
        <f ca="1">(AN62+AY61)</f>
        <v>6.4489116172348289E-4</v>
      </c>
      <c r="AM78" s="23"/>
      <c r="AN78" s="23">
        <f t="shared" ca="1" si="42"/>
        <v>-6.4489116172348289E-4</v>
      </c>
      <c r="AO78" s="173">
        <f t="shared" ca="1" si="38"/>
        <v>0.14141210951228941</v>
      </c>
      <c r="AP78" s="170">
        <f t="shared" ca="1" si="43"/>
        <v>8927.5913378926689</v>
      </c>
      <c r="AQ78" s="179">
        <f t="shared" ca="1" si="44"/>
        <v>5.6024381507467194</v>
      </c>
      <c r="AR78" s="179">
        <f t="shared" ca="1" si="45"/>
        <v>3.1860006384696146E-2</v>
      </c>
      <c r="AS78" s="170">
        <f t="shared" si="39"/>
        <v>34.61</v>
      </c>
      <c r="AT78" s="176">
        <f t="shared" si="40"/>
        <v>3.3</v>
      </c>
      <c r="AU78" s="173">
        <f t="shared" ca="1" si="46"/>
        <v>-1.8112614059067649E-2</v>
      </c>
      <c r="AV78" s="266"/>
      <c r="AW78" s="173">
        <f t="shared" ca="1" si="41"/>
        <v>28.086311511327541</v>
      </c>
      <c r="AX78" s="266"/>
      <c r="AY78" s="307"/>
    </row>
    <row r="79" spans="6:51" x14ac:dyDescent="0.3">
      <c r="F79" s="26"/>
      <c r="G79" s="26"/>
      <c r="H79" s="26"/>
      <c r="I79" s="26"/>
      <c r="AI79" s="317" t="s">
        <v>406</v>
      </c>
      <c r="AJ79" s="102" t="s">
        <v>358</v>
      </c>
      <c r="AK79" s="102" t="s">
        <v>408</v>
      </c>
      <c r="AL79" s="23">
        <f ca="1">(AN57+AY57)</f>
        <v>1.5990396096243268E-4</v>
      </c>
      <c r="AM79" s="23"/>
      <c r="AN79" s="23">
        <f t="shared" ca="1" si="42"/>
        <v>1.5990396096243268E-4</v>
      </c>
      <c r="AO79" s="173">
        <f t="shared" ca="1" si="38"/>
        <v>3.5063833684177752E-2</v>
      </c>
      <c r="AP79" s="170">
        <f t="shared" ca="1" si="43"/>
        <v>2213.6405358196721</v>
      </c>
      <c r="AQ79" s="179">
        <f t="shared" ca="1" si="44"/>
        <v>4.5701201943809755</v>
      </c>
      <c r="AR79" s="179">
        <f t="shared" ca="1" si="45"/>
        <v>4.7878965213885377E-2</v>
      </c>
      <c r="AS79" s="170">
        <f t="shared" si="39"/>
        <v>27.9</v>
      </c>
      <c r="AT79" s="176">
        <f t="shared" si="40"/>
        <v>2.1</v>
      </c>
      <c r="AU79" s="173">
        <f t="shared" ca="1" si="46"/>
        <v>2.8468670586807104E-3</v>
      </c>
      <c r="AV79" s="266">
        <f ca="1">SUM(AU79:AU82)</f>
        <v>4.8609486396995142E-4</v>
      </c>
      <c r="AW79" s="173">
        <f t="shared" ca="1" si="41"/>
        <v>17.803605623937884</v>
      </c>
      <c r="AX79" s="266">
        <f ca="1">SUM(AW79:AW82)</f>
        <v>51.796097112002236</v>
      </c>
      <c r="AY79" s="307">
        <f ca="1">-(AV79/(2*AX79))</f>
        <v>-4.6923889160879756E-6</v>
      </c>
    </row>
    <row r="80" spans="6:51" x14ac:dyDescent="0.3">
      <c r="F80" s="26"/>
      <c r="G80" s="26"/>
      <c r="H80" s="26"/>
      <c r="I80" s="26"/>
      <c r="AI80" s="317"/>
      <c r="AJ80" s="102" t="s">
        <v>350</v>
      </c>
      <c r="AK80" s="102" t="s">
        <v>408</v>
      </c>
      <c r="AL80" s="23">
        <f ca="1">(AN58+AY57)</f>
        <v>1.5990396096243268E-4</v>
      </c>
      <c r="AM80" s="23"/>
      <c r="AN80" s="23">
        <f t="shared" ca="1" si="42"/>
        <v>1.5990396096243268E-4</v>
      </c>
      <c r="AO80" s="173">
        <f t="shared" ca="1" si="38"/>
        <v>3.5063833684177752E-2</v>
      </c>
      <c r="AP80" s="170">
        <f t="shared" ca="1" si="43"/>
        <v>2213.6405358196721</v>
      </c>
      <c r="AQ80" s="179">
        <f t="shared" ca="1" si="44"/>
        <v>4.5701201943809755</v>
      </c>
      <c r="AR80" s="179">
        <f t="shared" ca="1" si="45"/>
        <v>4.7878965213885377E-2</v>
      </c>
      <c r="AS80" s="170">
        <f t="shared" si="39"/>
        <v>15.21</v>
      </c>
      <c r="AT80" s="176">
        <f t="shared" si="40"/>
        <v>1.5</v>
      </c>
      <c r="AU80" s="173">
        <f t="shared" ca="1" si="46"/>
        <v>1.5520017190872259E-3</v>
      </c>
      <c r="AV80" s="266"/>
      <c r="AW80" s="173">
        <f t="shared" ca="1" si="41"/>
        <v>9.7058366143403294</v>
      </c>
      <c r="AX80" s="266"/>
      <c r="AY80" s="307"/>
    </row>
    <row r="81" spans="6:51" x14ac:dyDescent="0.3">
      <c r="F81" s="26"/>
      <c r="G81" s="26"/>
      <c r="H81" s="26"/>
      <c r="I81" s="26"/>
      <c r="AI81" s="317"/>
      <c r="AJ81" s="102" t="s">
        <v>351</v>
      </c>
      <c r="AK81" s="102" t="s">
        <v>408</v>
      </c>
      <c r="AL81" s="23">
        <f ca="1">(AN59+AY57)</f>
        <v>1.2990396096243271E-4</v>
      </c>
      <c r="AM81" s="23"/>
      <c r="AN81" s="23">
        <f t="shared" ca="1" si="42"/>
        <v>1.2990396096243271E-4</v>
      </c>
      <c r="AO81" s="173">
        <f t="shared" ca="1" si="38"/>
        <v>2.8485416212877805E-2</v>
      </c>
      <c r="AP81" s="170">
        <f t="shared" ca="1" si="43"/>
        <v>1798.3336498933622</v>
      </c>
      <c r="AQ81" s="179"/>
      <c r="AR81" s="179">
        <f ca="1">64/AP81</f>
        <v>3.5588501613032196E-2</v>
      </c>
      <c r="AS81" s="170">
        <f t="shared" si="39"/>
        <v>27.9</v>
      </c>
      <c r="AT81" s="176">
        <f t="shared" si="40"/>
        <v>1.5</v>
      </c>
      <c r="AU81" s="173">
        <f t="shared" ca="1" si="46"/>
        <v>1.6927487544589478E-3</v>
      </c>
      <c r="AV81" s="266"/>
      <c r="AW81" s="173">
        <f t="shared" ca="1" si="41"/>
        <v>13.030770901192755</v>
      </c>
      <c r="AX81" s="266"/>
      <c r="AY81" s="307"/>
    </row>
    <row r="82" spans="6:51" x14ac:dyDescent="0.3">
      <c r="F82" s="26"/>
      <c r="G82" s="26"/>
      <c r="H82" s="26"/>
      <c r="I82" s="26"/>
      <c r="AI82" s="317"/>
      <c r="AJ82" s="102" t="s">
        <v>352</v>
      </c>
      <c r="AK82" s="102" t="s">
        <v>111</v>
      </c>
      <c r="AL82" s="182">
        <f ca="1">(AN76+AY74)</f>
        <v>4.9800821347631018E-4</v>
      </c>
      <c r="AM82" s="182"/>
      <c r="AN82" s="182">
        <f t="shared" ca="1" si="42"/>
        <v>-4.9800821347631018E-4</v>
      </c>
      <c r="AO82" s="173">
        <f t="shared" ca="1" si="38"/>
        <v>0.10920353107944783</v>
      </c>
      <c r="AP82" s="170">
        <f t="shared" ca="1" si="43"/>
        <v>6894.2080101523807</v>
      </c>
      <c r="AQ82" s="179">
        <f t="shared" ca="1" si="44"/>
        <v>5.409037844160804</v>
      </c>
      <c r="AR82" s="179">
        <f t="shared" ca="1" si="45"/>
        <v>3.4179047844969682E-2</v>
      </c>
      <c r="AS82" s="170">
        <f t="shared" si="39"/>
        <v>15.21</v>
      </c>
      <c r="AT82" s="176">
        <f t="shared" si="40"/>
        <v>2.4</v>
      </c>
      <c r="AU82" s="173">
        <f t="shared" ca="1" si="46"/>
        <v>-5.6055226682569324E-3</v>
      </c>
      <c r="AV82" s="266"/>
      <c r="AW82" s="173">
        <f t="shared" ca="1" si="41"/>
        <v>11.255883972531272</v>
      </c>
      <c r="AX82" s="266"/>
      <c r="AY82" s="307"/>
    </row>
    <row r="83" spans="6:51" x14ac:dyDescent="0.3">
      <c r="F83" s="26"/>
      <c r="G83" s="26"/>
      <c r="H83" s="26"/>
      <c r="I83" s="26"/>
      <c r="AI83" s="317" t="s">
        <v>407</v>
      </c>
      <c r="AJ83" s="102" t="s">
        <v>355</v>
      </c>
      <c r="AK83" s="102" t="s">
        <v>111</v>
      </c>
      <c r="AL83" s="182">
        <f ca="1">(AN73+AY70)</f>
        <v>4.3127166377853132E-4</v>
      </c>
      <c r="AM83" s="182"/>
      <c r="AN83" s="182">
        <f t="shared" ca="1" si="42"/>
        <v>-4.3127166377853132E-4</v>
      </c>
      <c r="AO83" s="173">
        <f t="shared" ca="1" si="38"/>
        <v>9.4569501595909627E-2</v>
      </c>
      <c r="AP83" s="170">
        <f t="shared" ca="1" si="43"/>
        <v>5970.3363890706814</v>
      </c>
      <c r="AQ83" s="179">
        <f t="shared" ca="1" si="44"/>
        <v>5.3017421575697306</v>
      </c>
      <c r="AR83" s="179">
        <f t="shared" ca="1" si="45"/>
        <v>3.5576465149730174E-2</v>
      </c>
      <c r="AS83" s="170">
        <f t="shared" si="39"/>
        <v>27.6</v>
      </c>
      <c r="AT83" s="176">
        <f t="shared" si="40"/>
        <v>3</v>
      </c>
      <c r="AU83" s="173">
        <f t="shared" ca="1" si="46"/>
        <v>-7.2413037425336189E-3</v>
      </c>
      <c r="AV83" s="266">
        <f ca="1">SUM(AU83:AU88)</f>
        <v>4.9299788477118467E-3</v>
      </c>
      <c r="AW83" s="173">
        <f t="shared" ca="1" si="41"/>
        <v>16.790585495670793</v>
      </c>
      <c r="AX83" s="266">
        <f ca="1">SUM(AW83:AW88)</f>
        <v>618.93654788257527</v>
      </c>
      <c r="AY83" s="307">
        <f ca="1">-(AV83/(2*AX83))</f>
        <v>-3.9826205647231894E-6</v>
      </c>
    </row>
    <row r="84" spans="6:51" x14ac:dyDescent="0.3">
      <c r="F84" s="26"/>
      <c r="G84" s="26"/>
      <c r="H84" s="26"/>
      <c r="I84" s="26"/>
      <c r="AI84" s="317"/>
      <c r="AJ84" s="102" t="s">
        <v>356</v>
      </c>
      <c r="AK84" s="102" t="s">
        <v>408</v>
      </c>
      <c r="AL84" s="182">
        <f ca="1">(AN78+AY74)</f>
        <v>-6.6184258680825601E-4</v>
      </c>
      <c r="AM84" s="182" t="s">
        <v>423</v>
      </c>
      <c r="AN84" s="182">
        <f t="shared" ca="1" si="42"/>
        <v>6.6184258680825601E-4</v>
      </c>
      <c r="AO84" s="173">
        <f t="shared" ca="1" si="38"/>
        <v>0.14512922787699287</v>
      </c>
      <c r="AP84" s="170">
        <f t="shared" ca="1" si="43"/>
        <v>9162.2594566916778</v>
      </c>
      <c r="AQ84" s="179">
        <f t="shared" ca="1" si="44"/>
        <v>5.6218966725341275</v>
      </c>
      <c r="AR84" s="179">
        <f t="shared" ca="1" si="45"/>
        <v>3.1639840209251223E-2</v>
      </c>
      <c r="AS84" s="170">
        <f t="shared" si="39"/>
        <v>34.61</v>
      </c>
      <c r="AT84" s="176">
        <f t="shared" si="40"/>
        <v>3.3</v>
      </c>
      <c r="AU84" s="173">
        <f t="shared" ca="1" si="46"/>
        <v>5.2581942996285123E-2</v>
      </c>
      <c r="AV84" s="266"/>
      <c r="AW84" s="173">
        <f t="shared" ca="1" si="41"/>
        <v>79.447808352530146</v>
      </c>
      <c r="AX84" s="266"/>
      <c r="AY84" s="307"/>
    </row>
    <row r="85" spans="6:51" x14ac:dyDescent="0.3">
      <c r="F85" s="26"/>
      <c r="G85" s="26"/>
      <c r="H85" s="26"/>
      <c r="I85" s="26"/>
      <c r="AI85" s="317"/>
      <c r="AJ85" s="102" t="s">
        <v>360</v>
      </c>
      <c r="AK85" s="102" t="s">
        <v>408</v>
      </c>
      <c r="AL85" s="23">
        <f ca="1">(AN63+AY61)</f>
        <v>1.1997547612469987E-3</v>
      </c>
      <c r="AM85" s="23"/>
      <c r="AN85" s="23">
        <f t="shared" ca="1" si="42"/>
        <v>1.1997547612469987E-3</v>
      </c>
      <c r="AO85" s="173">
        <f t="shared" ca="1" si="38"/>
        <v>0.26308292275541861</v>
      </c>
      <c r="AP85" s="170">
        <f t="shared" ca="1" si="43"/>
        <v>16608.880458958487</v>
      </c>
      <c r="AQ85" s="179">
        <f t="shared" ca="1" si="44"/>
        <v>6.0699411781430586</v>
      </c>
      <c r="AR85" s="179">
        <f t="shared" ca="1" si="45"/>
        <v>2.7141324347567778E-2</v>
      </c>
      <c r="AS85" s="170">
        <f t="shared" si="39"/>
        <v>37.6</v>
      </c>
      <c r="AT85" s="176">
        <f t="shared" si="40"/>
        <v>2.7</v>
      </c>
      <c r="AU85" s="173">
        <f t="shared" ca="1" si="46"/>
        <v>0.17988427888511041</v>
      </c>
      <c r="AV85" s="266"/>
      <c r="AW85" s="173">
        <f t="shared" ca="1" si="41"/>
        <v>149.93420713591721</v>
      </c>
      <c r="AX85" s="266"/>
      <c r="AY85" s="307"/>
    </row>
    <row r="86" spans="6:51" x14ac:dyDescent="0.3">
      <c r="F86" s="26"/>
      <c r="G86" s="26"/>
      <c r="H86" s="26"/>
      <c r="I86" s="26"/>
      <c r="AI86" s="317"/>
      <c r="AJ86" s="102" t="s">
        <v>361</v>
      </c>
      <c r="AK86" s="102" t="s">
        <v>408</v>
      </c>
      <c r="AL86" s="23">
        <f ca="1">(AN64+AY61)</f>
        <v>1.1797547612469989E-3</v>
      </c>
      <c r="AM86" s="23"/>
      <c r="AN86" s="23">
        <f t="shared" ca="1" si="42"/>
        <v>1.1797547612469989E-3</v>
      </c>
      <c r="AO86" s="173">
        <f t="shared" ca="1" si="38"/>
        <v>0.25869731110788535</v>
      </c>
      <c r="AP86" s="170">
        <f t="shared" ca="1" si="43"/>
        <v>16332.009201674284</v>
      </c>
      <c r="AQ86" s="179">
        <f t="shared" ca="1" si="44"/>
        <v>6.0572332286795127</v>
      </c>
      <c r="AR86" s="179">
        <f t="shared" ca="1" si="45"/>
        <v>2.7255327679703397E-2</v>
      </c>
      <c r="AS86" s="170">
        <f t="shared" si="39"/>
        <v>46.658000000000001</v>
      </c>
      <c r="AT86" s="176">
        <f t="shared" si="40"/>
        <v>2.4</v>
      </c>
      <c r="AU86" s="173">
        <f t="shared" ca="1" si="46"/>
        <v>0.21607714572627254</v>
      </c>
      <c r="AV86" s="266"/>
      <c r="AW86" s="173">
        <f t="shared" ca="1" si="41"/>
        <v>183.15429004743268</v>
      </c>
      <c r="AX86" s="266"/>
      <c r="AY86" s="307"/>
    </row>
    <row r="87" spans="6:51" x14ac:dyDescent="0.3">
      <c r="F87" s="26"/>
      <c r="G87" s="26"/>
      <c r="H87" s="26"/>
      <c r="I87" s="26"/>
      <c r="AI87" s="317"/>
      <c r="AJ87" s="102" t="s">
        <v>348</v>
      </c>
      <c r="AK87" s="102" t="s">
        <v>408</v>
      </c>
      <c r="AL87" s="23">
        <f ca="1">(AN65+AY61)</f>
        <v>1.1397547612469988E-3</v>
      </c>
      <c r="AM87" s="23"/>
      <c r="AN87" s="23">
        <f t="shared" ca="1" si="42"/>
        <v>1.1397547612469988E-3</v>
      </c>
      <c r="AO87" s="173">
        <f t="shared" ca="1" si="38"/>
        <v>0.24992608781281872</v>
      </c>
      <c r="AP87" s="170">
        <f t="shared" ca="1" si="43"/>
        <v>15778.26668710587</v>
      </c>
      <c r="AQ87" s="179">
        <f t="shared" ca="1" si="44"/>
        <v>6.0311654446240475</v>
      </c>
      <c r="AR87" s="179">
        <f t="shared" ca="1" si="45"/>
        <v>2.7491441720054924E-2</v>
      </c>
      <c r="AS87" s="170">
        <f t="shared" si="39"/>
        <v>15.552</v>
      </c>
      <c r="AT87" s="176">
        <f t="shared" si="40"/>
        <v>3.3</v>
      </c>
      <c r="AU87" s="173">
        <f t="shared" ca="1" si="46"/>
        <v>6.7374936404092603E-2</v>
      </c>
      <c r="AV87" s="266"/>
      <c r="AW87" s="173">
        <f t="shared" ca="1" si="41"/>
        <v>59.113538012666943</v>
      </c>
      <c r="AX87" s="266"/>
      <c r="AY87" s="307"/>
    </row>
    <row r="88" spans="6:51" x14ac:dyDescent="0.3">
      <c r="F88" s="26"/>
      <c r="G88" s="26"/>
      <c r="H88" s="26"/>
      <c r="I88" s="26"/>
      <c r="AI88" s="317"/>
      <c r="AJ88" s="102" t="s">
        <v>349</v>
      </c>
      <c r="AK88" s="102" t="s">
        <v>111</v>
      </c>
      <c r="AL88" s="23">
        <f ca="1">(AN66+AY61)</f>
        <v>-3.8602452387530009E-3</v>
      </c>
      <c r="AM88" s="23"/>
      <c r="AN88" s="23">
        <f t="shared" ca="1" si="42"/>
        <v>-3.8602452387530009E-3</v>
      </c>
      <c r="AO88" s="173">
        <f t="shared" ca="1" si="38"/>
        <v>0.8464768240705064</v>
      </c>
      <c r="AP88" s="170">
        <f t="shared" ca="1" si="43"/>
        <v>53439.547633945796</v>
      </c>
      <c r="AQ88" s="179">
        <f t="shared" ca="1" si="44"/>
        <v>6.9574504854338928</v>
      </c>
      <c r="AR88" s="179">
        <f t="shared" ca="1" si="45"/>
        <v>2.06585459991615E-2</v>
      </c>
      <c r="AS88" s="170">
        <f t="shared" si="39"/>
        <v>37.6</v>
      </c>
      <c r="AT88" s="176">
        <f t="shared" si="40"/>
        <v>3.6</v>
      </c>
      <c r="AU88" s="173">
        <f t="shared" ca="1" si="46"/>
        <v>-0.50374702142151528</v>
      </c>
      <c r="AV88" s="266"/>
      <c r="AW88" s="173">
        <f t="shared" ca="1" si="41"/>
        <v>130.49611883835749</v>
      </c>
      <c r="AX88" s="266"/>
      <c r="AY88" s="307"/>
    </row>
    <row r="89" spans="6:51" x14ac:dyDescent="0.3">
      <c r="F89" s="26"/>
      <c r="G89" s="26"/>
      <c r="H89" s="26"/>
      <c r="I89" s="26"/>
    </row>
    <row r="90" spans="6:51" x14ac:dyDescent="0.3">
      <c r="F90" s="26"/>
      <c r="G90" s="26"/>
      <c r="H90" s="26"/>
      <c r="I90" s="26"/>
      <c r="AI90" s="204" t="s">
        <v>420</v>
      </c>
      <c r="AJ90" s="204"/>
      <c r="AK90" s="204"/>
      <c r="AL90" s="204"/>
      <c r="AM90" s="204"/>
      <c r="AN90" s="204"/>
      <c r="AO90" s="204"/>
      <c r="AP90" s="204"/>
      <c r="AQ90" s="204"/>
      <c r="AR90" s="204"/>
      <c r="AS90" s="204"/>
      <c r="AT90" s="204"/>
      <c r="AU90" s="204"/>
      <c r="AV90" s="204"/>
      <c r="AW90" s="204"/>
      <c r="AX90" s="204"/>
      <c r="AY90" s="204"/>
    </row>
    <row r="91" spans="6:51" x14ac:dyDescent="0.3">
      <c r="F91" s="26"/>
      <c r="G91" s="26"/>
      <c r="H91" s="26"/>
      <c r="I91" s="26"/>
      <c r="AI91" s="19"/>
      <c r="AJ91" s="19"/>
      <c r="AK91" s="168" t="s">
        <v>368</v>
      </c>
      <c r="AL91" s="293" t="s">
        <v>364</v>
      </c>
      <c r="AM91" s="294"/>
      <c r="AN91" s="318"/>
      <c r="AO91" s="168" t="s">
        <v>103</v>
      </c>
      <c r="AP91" s="168" t="s">
        <v>365</v>
      </c>
      <c r="AQ91" s="229" t="s">
        <v>366</v>
      </c>
      <c r="AR91" s="229"/>
      <c r="AS91" s="168" t="s">
        <v>409</v>
      </c>
      <c r="AT91" s="168" t="s">
        <v>110</v>
      </c>
      <c r="AU91" s="168" t="s">
        <v>410</v>
      </c>
      <c r="AV91" s="168" t="s">
        <v>411</v>
      </c>
      <c r="AW91" s="168" t="s">
        <v>412</v>
      </c>
      <c r="AX91" s="168" t="s">
        <v>413</v>
      </c>
      <c r="AY91" s="168" t="s">
        <v>119</v>
      </c>
    </row>
    <row r="92" spans="6:51" x14ac:dyDescent="0.3">
      <c r="F92" s="26"/>
      <c r="G92" s="26"/>
      <c r="H92" s="26"/>
      <c r="I92" s="26"/>
      <c r="AI92" s="229" t="s">
        <v>404</v>
      </c>
      <c r="AJ92" s="102" t="s">
        <v>325</v>
      </c>
      <c r="AK92" s="102" t="s">
        <v>111</v>
      </c>
      <c r="AL92" s="23">
        <f ca="1">(AN70+AY70)</f>
        <v>-3.5189735749744698E-3</v>
      </c>
      <c r="AM92" s="23"/>
      <c r="AN92" s="23">
        <f ca="1">IF(AM92="SI",(IF(AK92="-",IF(SIGN(AL92)=-1,AL92,-1*AL92),AL92))*-1,(IF(AK92="-",IF(SIGN(AL92)=-1,AL92,-1*AL92),AL92)))</f>
        <v>-3.5189735749744698E-3</v>
      </c>
      <c r="AO92" s="173">
        <f t="shared" ref="AO92:AO110" ca="1" si="47">ABS(AN92/$AA$5)</f>
        <v>0.77164257488849675</v>
      </c>
      <c r="AP92" s="170">
        <f ca="1">(AO92*$Z$5)/$AD$5</f>
        <v>48715.131902654059</v>
      </c>
      <c r="AQ92" s="179">
        <f ca="1">-2*LOG10(($AF$5/(3.7*$Z$5))+((2.51/AP92)*AQ92))</f>
        <v>6.8869945583704855</v>
      </c>
      <c r="AR92" s="179">
        <f ca="1">(1/AQ92)^2</f>
        <v>2.1083393783117747E-2</v>
      </c>
      <c r="AS92" s="170">
        <f t="shared" ref="AS92:AS110" si="48">VLOOKUP(AJ92,$V$5:$AG$19,7,FALSE)</f>
        <v>65</v>
      </c>
      <c r="AT92" s="176">
        <f t="shared" ref="AT92:AT110" si="49">VLOOKUP(AJ92,$V$5:$AG$19,12,FALSE)</f>
        <v>3.3</v>
      </c>
      <c r="AU92" s="173">
        <f ca="1">IF(SIGN(AN92)=-1,-1*(((AN92^2)/(2*9.81*($AA$5^2)))*((AT92)+(AR92*(AS92/$Z$5)))),1*(((AN92^2)/(2*9.81*($AA$5^2)))*((AS92)+(AR92*(AS92/$Z$5)))))</f>
        <v>-0.64594756686178534</v>
      </c>
      <c r="AV92" s="266">
        <f ca="1">SUM(AU92:AU95)</f>
        <v>1.113486277632408E-2</v>
      </c>
      <c r="AW92" s="173">
        <f t="shared" ref="AW92:AW110" ca="1" si="50">AU92/AN92</f>
        <v>183.56135762300281</v>
      </c>
      <c r="AX92" s="266">
        <f ca="1">SUM(AW92:AW95)</f>
        <v>655.45491855376974</v>
      </c>
      <c r="AY92" s="307">
        <f ca="1">-(AV92/(2*AX92))</f>
        <v>-8.493995895928761E-6</v>
      </c>
    </row>
    <row r="93" spans="6:51" x14ac:dyDescent="0.3">
      <c r="F93" s="26"/>
      <c r="G93" s="26"/>
      <c r="H93" s="26"/>
      <c r="I93" s="26"/>
      <c r="AI93" s="229"/>
      <c r="AJ93" s="102" t="s">
        <v>354</v>
      </c>
      <c r="AK93" s="102" t="s">
        <v>408</v>
      </c>
      <c r="AL93" s="23">
        <f ca="1">(AN71+AY70)</f>
        <v>1.9410264250255302E-3</v>
      </c>
      <c r="AM93" s="23"/>
      <c r="AN93" s="23">
        <f t="shared" ref="AN93:AN110" ca="1" si="51">IF(AM93="SI",(IF(AK93="-",IF(SIGN(AL93)=-1,AL93,-1*AL93),AL93))*-1,(IF(AK93="-",IF(SIGN(AL93)=-1,AL93,-1*AL93),AL93)))</f>
        <v>1.9410264250255302E-3</v>
      </c>
      <c r="AO93" s="173">
        <f t="shared" ca="1" si="47"/>
        <v>0.42562940488809442</v>
      </c>
      <c r="AP93" s="170">
        <f t="shared" ref="AP93:AP110" ca="1" si="52">(AO93*$Z$5)/$AD$5</f>
        <v>26870.721335934373</v>
      </c>
      <c r="AQ93" s="179">
        <f t="shared" ref="AQ93:AQ110" ca="1" si="53">-2*LOG10(($AF$5/(3.7*$Z$5))+((2.51/AP93)*AQ93))</f>
        <v>6.4345237780901421</v>
      </c>
      <c r="AR93" s="179">
        <f t="shared" ref="AR93:AR110" ca="1" si="54">(1/AQ93)^2</f>
        <v>2.4152783017538169E-2</v>
      </c>
      <c r="AS93" s="170">
        <f t="shared" si="48"/>
        <v>27.6</v>
      </c>
      <c r="AT93" s="176">
        <f t="shared" si="49"/>
        <v>3.3</v>
      </c>
      <c r="AU93" s="173">
        <f t="shared" ref="AU93:AU110" ca="1" si="55">IF(SIGN(AN93)=-1,-1*(((AN93^2)/(2*9.81*($AA$5^2)))*((AT93)+(AR93*(AS93/$Z$5)))),1*(((AN93^2)/(2*9.81*($AA$5^2)))*((AS93)+(AR93*(AS93/$Z$5)))))</f>
        <v>0.33561995618552692</v>
      </c>
      <c r="AV93" s="229"/>
      <c r="AW93" s="173">
        <f t="shared" ca="1" si="50"/>
        <v>172.90849411342379</v>
      </c>
      <c r="AX93" s="229"/>
      <c r="AY93" s="307"/>
    </row>
    <row r="94" spans="6:51" x14ac:dyDescent="0.3">
      <c r="F94" s="26"/>
      <c r="G94" s="26"/>
      <c r="H94" s="26"/>
      <c r="I94" s="26"/>
      <c r="AI94" s="229"/>
      <c r="AJ94" s="102" t="s">
        <v>353</v>
      </c>
      <c r="AK94" s="102" t="s">
        <v>408</v>
      </c>
      <c r="AL94" s="23">
        <f ca="1">(AN74+AY74)</f>
        <v>-1.1831142505867871E-3</v>
      </c>
      <c r="AM94" s="23" t="s">
        <v>423</v>
      </c>
      <c r="AN94" s="23">
        <f t="shared" ca="1" si="51"/>
        <v>1.1831142505867871E-3</v>
      </c>
      <c r="AO94" s="173">
        <f t="shared" ca="1" si="47"/>
        <v>0.25943398188680228</v>
      </c>
      <c r="AP94" s="170">
        <f t="shared" ca="1" si="52"/>
        <v>16378.516503541285</v>
      </c>
      <c r="AQ94" s="179">
        <f t="shared" ca="1" si="53"/>
        <v>6.0593826558618336</v>
      </c>
      <c r="AR94" s="179">
        <f t="shared" ca="1" si="54"/>
        <v>2.7235994703076857E-2</v>
      </c>
      <c r="AS94" s="170">
        <f t="shared" si="48"/>
        <v>65</v>
      </c>
      <c r="AT94" s="176">
        <f t="shared" si="49"/>
        <v>6.6</v>
      </c>
      <c r="AU94" s="173">
        <f t="shared" ca="1" si="55"/>
        <v>0.30268074924329819</v>
      </c>
      <c r="AV94" s="229"/>
      <c r="AW94" s="173">
        <f t="shared" ca="1" si="50"/>
        <v>255.83391383645167</v>
      </c>
      <c r="AX94" s="229"/>
      <c r="AY94" s="307"/>
    </row>
    <row r="95" spans="6:51" x14ac:dyDescent="0.3">
      <c r="F95" s="26"/>
      <c r="G95" s="26"/>
      <c r="H95" s="26"/>
      <c r="I95" s="26"/>
      <c r="AI95" s="229"/>
      <c r="AJ95" s="102" t="s">
        <v>355</v>
      </c>
      <c r="AK95" s="102" t="s">
        <v>408</v>
      </c>
      <c r="AL95" s="23">
        <f ca="1">(AN83+AY83)</f>
        <v>-4.352542843432545E-4</v>
      </c>
      <c r="AM95" s="23" t="s">
        <v>423</v>
      </c>
      <c r="AN95" s="23">
        <f t="shared" ca="1" si="51"/>
        <v>4.352542843432545E-4</v>
      </c>
      <c r="AO95" s="173">
        <f t="shared" ca="1" si="47"/>
        <v>9.5442812952727413E-2</v>
      </c>
      <c r="AP95" s="170">
        <f t="shared" ca="1" si="52"/>
        <v>6025.4700472227232</v>
      </c>
      <c r="AQ95" s="179">
        <f t="shared" ca="1" si="53"/>
        <v>5.3085890089046854</v>
      </c>
      <c r="AR95" s="179">
        <f t="shared" ca="1" si="54"/>
        <v>3.5484753517047905E-2</v>
      </c>
      <c r="AS95" s="170">
        <f t="shared" si="48"/>
        <v>27.6</v>
      </c>
      <c r="AT95" s="176">
        <f t="shared" si="49"/>
        <v>3</v>
      </c>
      <c r="AU95" s="173">
        <f t="shared" ca="1" si="55"/>
        <v>1.8781724209284197E-2</v>
      </c>
      <c r="AV95" s="229"/>
      <c r="AW95" s="173">
        <f t="shared" ca="1" si="50"/>
        <v>43.151152980891439</v>
      </c>
      <c r="AX95" s="229"/>
      <c r="AY95" s="307"/>
    </row>
    <row r="96" spans="6:51" x14ac:dyDescent="0.3">
      <c r="F96" s="26"/>
      <c r="G96" s="26"/>
      <c r="H96" s="26"/>
      <c r="I96" s="26"/>
      <c r="AI96" s="317" t="s">
        <v>405</v>
      </c>
      <c r="AJ96" s="102" t="s">
        <v>353</v>
      </c>
      <c r="AK96" s="102" t="s">
        <v>111</v>
      </c>
      <c r="AL96" s="182">
        <f ca="1">(AN94+AY92)</f>
        <v>1.1746202546908584E-3</v>
      </c>
      <c r="AM96" s="182"/>
      <c r="AN96" s="182">
        <f t="shared" ca="1" si="51"/>
        <v>-1.1746202546908584E-3</v>
      </c>
      <c r="AO96" s="173">
        <f t="shared" ca="1" si="47"/>
        <v>0.25757141352003804</v>
      </c>
      <c r="AP96" s="170">
        <f t="shared" ca="1" si="52"/>
        <v>16260.929337387652</v>
      </c>
      <c r="AQ96" s="179">
        <f t="shared" ca="1" si="53"/>
        <v>6.0539364102871911</v>
      </c>
      <c r="AR96" s="179">
        <f t="shared" ca="1" si="54"/>
        <v>2.7285020866447008E-2</v>
      </c>
      <c r="AS96" s="170">
        <f t="shared" si="48"/>
        <v>65</v>
      </c>
      <c r="AT96" s="176">
        <f t="shared" si="49"/>
        <v>6.6</v>
      </c>
      <c r="AU96" s="173">
        <f t="shared" ca="1" si="55"/>
        <v>-0.10101800072958508</v>
      </c>
      <c r="AV96" s="266">
        <f ca="1">SUM(AU96:AU100)</f>
        <v>2.5069973039065219E-3</v>
      </c>
      <c r="AW96" s="173">
        <f t="shared" ca="1" si="50"/>
        <v>86.000560884395298</v>
      </c>
      <c r="AX96" s="266">
        <f ca="1">SUM(AW96:AW100)</f>
        <v>320.35842658054156</v>
      </c>
      <c r="AY96" s="307">
        <f ca="1">-(AV96/(2*AX96))</f>
        <v>-3.9128006256395997E-6</v>
      </c>
    </row>
    <row r="97" spans="6:51" x14ac:dyDescent="0.3">
      <c r="F97" s="26"/>
      <c r="G97" s="26"/>
      <c r="H97" s="26"/>
      <c r="I97" s="26"/>
      <c r="AI97" s="317"/>
      <c r="AJ97" s="102" t="s">
        <v>357</v>
      </c>
      <c r="AK97" s="102" t="s">
        <v>408</v>
      </c>
      <c r="AL97" s="23">
        <f ca="1">(AN75+AY74)</f>
        <v>6.6791217443874296E-4</v>
      </c>
      <c r="AM97" s="23"/>
      <c r="AN97" s="23">
        <f t="shared" ca="1" si="51"/>
        <v>6.6791217443874296E-4</v>
      </c>
      <c r="AO97" s="173">
        <f t="shared" ca="1" si="47"/>
        <v>0.14646017058739225</v>
      </c>
      <c r="AP97" s="170">
        <f t="shared" ca="1" si="52"/>
        <v>9246.2841746141567</v>
      </c>
      <c r="AQ97" s="179">
        <f t="shared" ca="1" si="53"/>
        <v>5.6287448215277198</v>
      </c>
      <c r="AR97" s="179">
        <f t="shared" ca="1" si="54"/>
        <v>3.1562898532357102E-2</v>
      </c>
      <c r="AS97" s="170">
        <f t="shared" si="48"/>
        <v>19.399999999999999</v>
      </c>
      <c r="AT97" s="176">
        <f t="shared" si="49"/>
        <v>3</v>
      </c>
      <c r="AU97" s="173">
        <f t="shared" ca="1" si="55"/>
        <v>2.9995498990989897E-2</v>
      </c>
      <c r="AV97" s="266"/>
      <c r="AW97" s="173">
        <f t="shared" ca="1" si="50"/>
        <v>44.909346077117974</v>
      </c>
      <c r="AX97" s="266"/>
      <c r="AY97" s="307"/>
    </row>
    <row r="98" spans="6:51" x14ac:dyDescent="0.3">
      <c r="F98" s="26"/>
      <c r="G98" s="26"/>
      <c r="H98" s="26"/>
      <c r="I98" s="26"/>
      <c r="AI98" s="317"/>
      <c r="AJ98" s="102" t="s">
        <v>352</v>
      </c>
      <c r="AK98" s="102" t="s">
        <v>408</v>
      </c>
      <c r="AL98" s="23">
        <f ca="1">(AN82+AY79)</f>
        <v>-5.0270060239239814E-4</v>
      </c>
      <c r="AM98" s="23" t="s">
        <v>423</v>
      </c>
      <c r="AN98" s="23">
        <f t="shared" ca="1" si="51"/>
        <v>5.0270060239239814E-4</v>
      </c>
      <c r="AO98" s="173">
        <f t="shared" ca="1" si="47"/>
        <v>0.11023248085370541</v>
      </c>
      <c r="AP98" s="170">
        <f t="shared" ca="1" si="52"/>
        <v>6959.1673910955678</v>
      </c>
      <c r="AQ98" s="179">
        <f t="shared" ca="1" si="53"/>
        <v>5.4160408290461328</v>
      </c>
      <c r="AR98" s="179">
        <f t="shared" ca="1" si="54"/>
        <v>3.4090717413648414E-2</v>
      </c>
      <c r="AS98" s="170">
        <f t="shared" si="48"/>
        <v>15.21</v>
      </c>
      <c r="AT98" s="176">
        <f t="shared" si="49"/>
        <v>2.4</v>
      </c>
      <c r="AU98" s="173">
        <f t="shared" ca="1" si="55"/>
        <v>1.3634316290205589E-2</v>
      </c>
      <c r="AV98" s="266"/>
      <c r="AW98" s="173">
        <f t="shared" ca="1" si="50"/>
        <v>27.12214034619937</v>
      </c>
      <c r="AX98" s="266"/>
      <c r="AY98" s="307"/>
    </row>
    <row r="99" spans="6:51" x14ac:dyDescent="0.3">
      <c r="F99" s="26"/>
      <c r="G99" s="26"/>
      <c r="H99" s="26"/>
      <c r="I99" s="26"/>
      <c r="AI99" s="317"/>
      <c r="AJ99" s="102" t="s">
        <v>359</v>
      </c>
      <c r="AK99" s="102" t="s">
        <v>408</v>
      </c>
      <c r="AL99" s="23">
        <f ca="1">(AN77+AY74)</f>
        <v>5.8791217443874297E-4</v>
      </c>
      <c r="AM99" s="23"/>
      <c r="AN99" s="23">
        <f t="shared" ca="1" si="51"/>
        <v>5.8791217443874297E-4</v>
      </c>
      <c r="AO99" s="173">
        <f t="shared" ca="1" si="47"/>
        <v>0.12891772399725904</v>
      </c>
      <c r="AP99" s="170">
        <f t="shared" ca="1" si="52"/>
        <v>8138.7991454773301</v>
      </c>
      <c r="AQ99" s="179">
        <f t="shared" ca="1" si="53"/>
        <v>5.5331279110374982</v>
      </c>
      <c r="AR99" s="179">
        <f t="shared" ca="1" si="54"/>
        <v>3.2663188700890383E-2</v>
      </c>
      <c r="AS99" s="170">
        <f t="shared" si="48"/>
        <v>65</v>
      </c>
      <c r="AT99" s="176">
        <f t="shared" si="49"/>
        <v>3.3</v>
      </c>
      <c r="AU99" s="173">
        <f t="shared" ca="1" si="55"/>
        <v>7.8662128272457998E-2</v>
      </c>
      <c r="AV99" s="266"/>
      <c r="AW99" s="173">
        <f t="shared" ca="1" si="50"/>
        <v>133.79911437886739</v>
      </c>
      <c r="AX99" s="266"/>
      <c r="AY99" s="307"/>
    </row>
    <row r="100" spans="6:51" x14ac:dyDescent="0.3">
      <c r="F100" s="26"/>
      <c r="G100" s="26"/>
      <c r="H100" s="26"/>
      <c r="I100" s="26"/>
      <c r="AI100" s="317"/>
      <c r="AJ100" s="102" t="s">
        <v>356</v>
      </c>
      <c r="AK100" s="102" t="s">
        <v>111</v>
      </c>
      <c r="AL100" s="23">
        <f ca="1">(AN84+AY83)</f>
        <v>6.5785996624353278E-4</v>
      </c>
      <c r="AM100" s="23"/>
      <c r="AN100" s="23">
        <f t="shared" ca="1" si="51"/>
        <v>-6.5785996624353278E-4</v>
      </c>
      <c r="AO100" s="173">
        <f t="shared" ca="1" si="47"/>
        <v>0.14425591652017508</v>
      </c>
      <c r="AP100" s="170">
        <f t="shared" ca="1" si="52"/>
        <v>9107.1257985396351</v>
      </c>
      <c r="AQ100" s="179">
        <f t="shared" ca="1" si="53"/>
        <v>5.6173695040406599</v>
      </c>
      <c r="AR100" s="179">
        <f t="shared" ca="1" si="54"/>
        <v>3.1690859323234413E-2</v>
      </c>
      <c r="AS100" s="170">
        <f t="shared" si="48"/>
        <v>34.61</v>
      </c>
      <c r="AT100" s="176">
        <f t="shared" si="49"/>
        <v>3.3</v>
      </c>
      <c r="AU100" s="173">
        <f t="shared" ca="1" si="55"/>
        <v>-1.8766945520161879E-2</v>
      </c>
      <c r="AV100" s="266"/>
      <c r="AW100" s="173">
        <f t="shared" ca="1" si="50"/>
        <v>28.527264893961576</v>
      </c>
      <c r="AX100" s="266"/>
      <c r="AY100" s="307"/>
    </row>
    <row r="101" spans="6:51" x14ac:dyDescent="0.3">
      <c r="F101" s="26"/>
      <c r="G101" s="26"/>
      <c r="H101" s="26"/>
      <c r="I101" s="26"/>
      <c r="AI101" s="317" t="s">
        <v>406</v>
      </c>
      <c r="AJ101" s="102" t="s">
        <v>358</v>
      </c>
      <c r="AK101" s="102" t="s">
        <v>408</v>
      </c>
      <c r="AL101" s="23">
        <f ca="1">(AN79+AY79)</f>
        <v>1.5521157204634469E-4</v>
      </c>
      <c r="AM101" s="23"/>
      <c r="AN101" s="23">
        <f t="shared" ca="1" si="51"/>
        <v>1.5521157204634469E-4</v>
      </c>
      <c r="AO101" s="173">
        <f t="shared" ca="1" si="47"/>
        <v>3.4034883909920169E-2</v>
      </c>
      <c r="AP101" s="170">
        <f t="shared" ca="1" si="52"/>
        <v>2148.681154876484</v>
      </c>
      <c r="AQ101" s="179">
        <f t="shared" ca="1" si="53"/>
        <v>4.5484083156822885</v>
      </c>
      <c r="AR101" s="179">
        <f t="shared" ca="1" si="54"/>
        <v>4.8337157770958775E-2</v>
      </c>
      <c r="AS101" s="170">
        <f t="shared" si="48"/>
        <v>27.9</v>
      </c>
      <c r="AT101" s="176">
        <f t="shared" si="49"/>
        <v>2.1</v>
      </c>
      <c r="AU101" s="173">
        <f t="shared" ca="1" si="55"/>
        <v>2.692140527636059E-3</v>
      </c>
      <c r="AV101" s="266">
        <f ca="1">SUM(AU101:AU104)</f>
        <v>1.2993023345035486E-4</v>
      </c>
      <c r="AW101" s="173">
        <f t="shared" ca="1" si="50"/>
        <v>17.344973007761379</v>
      </c>
      <c r="AX101" s="266">
        <f ca="1">SUM(AW101:AW104)</f>
        <v>50.780607339776353</v>
      </c>
      <c r="AY101" s="307">
        <f ca="1">-(AV101/(2*AX101))</f>
        <v>-1.2793292583228002E-6</v>
      </c>
    </row>
    <row r="102" spans="6:51" x14ac:dyDescent="0.3">
      <c r="F102" s="26"/>
      <c r="G102" s="26"/>
      <c r="H102" s="26"/>
      <c r="I102" s="26"/>
      <c r="AI102" s="317"/>
      <c r="AJ102" s="102" t="s">
        <v>350</v>
      </c>
      <c r="AK102" s="102" t="s">
        <v>408</v>
      </c>
      <c r="AL102" s="23">
        <f ca="1">(AN80+AY79)</f>
        <v>1.5521157204634469E-4</v>
      </c>
      <c r="AM102" s="23"/>
      <c r="AN102" s="23">
        <f t="shared" ca="1" si="51"/>
        <v>1.5521157204634469E-4</v>
      </c>
      <c r="AO102" s="173">
        <f t="shared" ca="1" si="47"/>
        <v>3.4034883909920169E-2</v>
      </c>
      <c r="AP102" s="170">
        <f t="shared" ca="1" si="52"/>
        <v>2148.681154876484</v>
      </c>
      <c r="AQ102" s="179">
        <f t="shared" ca="1" si="53"/>
        <v>4.5484083156822885</v>
      </c>
      <c r="AR102" s="179">
        <f t="shared" ca="1" si="54"/>
        <v>4.8337157770958775E-2</v>
      </c>
      <c r="AS102" s="170">
        <f t="shared" si="48"/>
        <v>15.21</v>
      </c>
      <c r="AT102" s="176">
        <f t="shared" si="49"/>
        <v>1.5</v>
      </c>
      <c r="AU102" s="173">
        <f t="shared" ca="1" si="55"/>
        <v>1.4676508037757871E-3</v>
      </c>
      <c r="AV102" s="266"/>
      <c r="AW102" s="173">
        <f t="shared" ca="1" si="50"/>
        <v>9.4558078655215247</v>
      </c>
      <c r="AX102" s="266"/>
      <c r="AY102" s="307"/>
    </row>
    <row r="103" spans="6:51" x14ac:dyDescent="0.3">
      <c r="F103" s="26"/>
      <c r="G103" s="26"/>
      <c r="H103" s="26"/>
      <c r="I103" s="26"/>
      <c r="AI103" s="317"/>
      <c r="AJ103" s="102" t="s">
        <v>351</v>
      </c>
      <c r="AK103" s="102" t="s">
        <v>408</v>
      </c>
      <c r="AL103" s="23">
        <f ca="1">(AN81+AY79)</f>
        <v>1.2521157204634472E-4</v>
      </c>
      <c r="AM103" s="23"/>
      <c r="AN103" s="23">
        <f t="shared" ca="1" si="51"/>
        <v>1.2521157204634472E-4</v>
      </c>
      <c r="AO103" s="173">
        <f t="shared" ca="1" si="47"/>
        <v>2.7456466438620222E-2</v>
      </c>
      <c r="AP103" s="170">
        <f t="shared" ca="1" si="52"/>
        <v>1733.3742689501744</v>
      </c>
      <c r="AQ103" s="179"/>
      <c r="AR103" s="179">
        <f ca="1">64/AP103</f>
        <v>3.6922204942364742E-2</v>
      </c>
      <c r="AS103" s="170">
        <f t="shared" si="48"/>
        <v>27.9</v>
      </c>
      <c r="AT103" s="176">
        <f t="shared" si="49"/>
        <v>1.5</v>
      </c>
      <c r="AU103" s="173">
        <f t="shared" ca="1" si="55"/>
        <v>1.5914294070709073E-3</v>
      </c>
      <c r="AV103" s="266"/>
      <c r="AW103" s="173">
        <f t="shared" ca="1" si="50"/>
        <v>12.709922741660566</v>
      </c>
      <c r="AX103" s="266"/>
      <c r="AY103" s="307"/>
    </row>
    <row r="104" spans="6:51" x14ac:dyDescent="0.3">
      <c r="F104" s="26"/>
      <c r="G104" s="26"/>
      <c r="H104" s="26"/>
      <c r="I104" s="26"/>
      <c r="AI104" s="317"/>
      <c r="AJ104" s="102" t="s">
        <v>352</v>
      </c>
      <c r="AK104" s="102" t="s">
        <v>111</v>
      </c>
      <c r="AL104" s="182">
        <f ca="1">(AN98+AY96)</f>
        <v>4.9878780176675856E-4</v>
      </c>
      <c r="AM104" s="182"/>
      <c r="AN104" s="182">
        <f t="shared" ca="1" si="51"/>
        <v>-4.9878780176675856E-4</v>
      </c>
      <c r="AO104" s="173">
        <f t="shared" ca="1" si="47"/>
        <v>0.10937447965379138</v>
      </c>
      <c r="AP104" s="170">
        <f t="shared" ca="1" si="52"/>
        <v>6905.0002896594042</v>
      </c>
      <c r="AQ104" s="179">
        <f t="shared" ca="1" si="53"/>
        <v>5.4102057933164129</v>
      </c>
      <c r="AR104" s="179">
        <f t="shared" ca="1" si="54"/>
        <v>3.4164292368849797E-2</v>
      </c>
      <c r="AS104" s="170">
        <f t="shared" si="48"/>
        <v>15.21</v>
      </c>
      <c r="AT104" s="176">
        <f t="shared" si="49"/>
        <v>2.4</v>
      </c>
      <c r="AU104" s="173">
        <f t="shared" ca="1" si="55"/>
        <v>-5.6212905050323989E-3</v>
      </c>
      <c r="AV104" s="266"/>
      <c r="AW104" s="173">
        <f t="shared" ca="1" si="50"/>
        <v>11.269903724832885</v>
      </c>
      <c r="AX104" s="266"/>
      <c r="AY104" s="307"/>
    </row>
    <row r="105" spans="6:51" x14ac:dyDescent="0.3">
      <c r="F105" s="26"/>
      <c r="G105" s="26"/>
      <c r="H105" s="26"/>
      <c r="I105" s="26"/>
      <c r="AI105" s="317" t="s">
        <v>407</v>
      </c>
      <c r="AJ105" s="102" t="s">
        <v>355</v>
      </c>
      <c r="AK105" s="102" t="s">
        <v>111</v>
      </c>
      <c r="AL105" s="182">
        <f ca="1">(AN95+AY92)</f>
        <v>4.2676028844732574E-4</v>
      </c>
      <c r="AM105" s="182"/>
      <c r="AN105" s="182">
        <f t="shared" ca="1" si="51"/>
        <v>-4.2676028844732574E-4</v>
      </c>
      <c r="AO105" s="173">
        <f t="shared" ca="1" si="47"/>
        <v>9.3580244585963146E-2</v>
      </c>
      <c r="AP105" s="170">
        <f t="shared" ca="1" si="52"/>
        <v>5907.8828810690893</v>
      </c>
      <c r="AQ105" s="179">
        <f t="shared" ca="1" si="53"/>
        <v>5.2939108723202679</v>
      </c>
      <c r="AR105" s="179">
        <f t="shared" ca="1" si="54"/>
        <v>3.5681799571496295E-2</v>
      </c>
      <c r="AS105" s="170">
        <f t="shared" si="48"/>
        <v>27.6</v>
      </c>
      <c r="AT105" s="176">
        <f t="shared" si="49"/>
        <v>3</v>
      </c>
      <c r="AU105" s="173">
        <f t="shared" ca="1" si="55"/>
        <v>-7.107628036443661E-3</v>
      </c>
      <c r="AV105" s="266">
        <f ca="1">SUM(AU105:AU110)</f>
        <v>1.0806752105883E-3</v>
      </c>
      <c r="AW105" s="173">
        <f t="shared" ca="1" si="50"/>
        <v>16.654848702776953</v>
      </c>
      <c r="AX105" s="266">
        <f ca="1">SUM(AW105:AW110)</f>
        <v>617.6702223322294</v>
      </c>
      <c r="AY105" s="307">
        <f ca="1">-(AV105/(2*AX105))</f>
        <v>-8.747995058818229E-7</v>
      </c>
    </row>
    <row r="106" spans="6:51" x14ac:dyDescent="0.3">
      <c r="F106" s="26"/>
      <c r="G106" s="26"/>
      <c r="H106" s="26"/>
      <c r="I106" s="26"/>
      <c r="AI106" s="317"/>
      <c r="AJ106" s="102" t="s">
        <v>356</v>
      </c>
      <c r="AK106" s="102" t="s">
        <v>408</v>
      </c>
      <c r="AL106" s="182">
        <f ca="1">(AN100+AY96)</f>
        <v>-6.6177276686917236E-4</v>
      </c>
      <c r="AM106" s="182" t="s">
        <v>423</v>
      </c>
      <c r="AN106" s="182">
        <f t="shared" ca="1" si="51"/>
        <v>6.6177276686917236E-4</v>
      </c>
      <c r="AO106" s="173">
        <f t="shared" ca="1" si="47"/>
        <v>0.14511391772008911</v>
      </c>
      <c r="AP106" s="170">
        <f t="shared" ca="1" si="52"/>
        <v>9161.2928999757987</v>
      </c>
      <c r="AQ106" s="179">
        <f t="shared" ca="1" si="53"/>
        <v>5.6218175373262982</v>
      </c>
      <c r="AR106" s="179">
        <f t="shared" ca="1" si="54"/>
        <v>3.1640730968489322E-2</v>
      </c>
      <c r="AS106" s="170">
        <f t="shared" si="48"/>
        <v>34.61</v>
      </c>
      <c r="AT106" s="176">
        <f t="shared" si="49"/>
        <v>3.3</v>
      </c>
      <c r="AU106" s="173">
        <f t="shared" ca="1" si="55"/>
        <v>5.2571283735450475E-2</v>
      </c>
      <c r="AV106" s="266"/>
      <c r="AW106" s="173">
        <f t="shared" ca="1" si="50"/>
        <v>79.44008331464542</v>
      </c>
      <c r="AX106" s="266"/>
      <c r="AY106" s="307"/>
    </row>
    <row r="107" spans="6:51" x14ac:dyDescent="0.3">
      <c r="F107" s="26"/>
      <c r="G107" s="26"/>
      <c r="H107" s="26"/>
      <c r="I107" s="26"/>
      <c r="AI107" s="317"/>
      <c r="AJ107" s="102" t="s">
        <v>360</v>
      </c>
      <c r="AK107" s="102" t="s">
        <v>408</v>
      </c>
      <c r="AL107" s="23">
        <f ca="1">(AN85+AY83)</f>
        <v>1.1957721406822756E-3</v>
      </c>
      <c r="AM107" s="23"/>
      <c r="AN107" s="23">
        <f t="shared" ca="1" si="51"/>
        <v>1.1957721406822756E-3</v>
      </c>
      <c r="AO107" s="173">
        <f t="shared" ca="1" si="47"/>
        <v>0.26220961139860083</v>
      </c>
      <c r="AP107" s="170">
        <f t="shared" ca="1" si="52"/>
        <v>16553.746800806446</v>
      </c>
      <c r="AQ107" s="179">
        <f t="shared" ca="1" si="53"/>
        <v>6.0674274192750897</v>
      </c>
      <c r="AR107" s="179">
        <f t="shared" ca="1" si="54"/>
        <v>2.7163818519596501E-2</v>
      </c>
      <c r="AS107" s="170">
        <f t="shared" si="48"/>
        <v>37.6</v>
      </c>
      <c r="AT107" s="176">
        <f t="shared" si="49"/>
        <v>2.7</v>
      </c>
      <c r="AU107" s="173">
        <f t="shared" ca="1" si="55"/>
        <v>0.17873089462113823</v>
      </c>
      <c r="AV107" s="266"/>
      <c r="AW107" s="173">
        <f t="shared" ca="1" si="50"/>
        <v>149.46902385529668</v>
      </c>
      <c r="AX107" s="266"/>
      <c r="AY107" s="307"/>
    </row>
    <row r="108" spans="6:51" x14ac:dyDescent="0.3">
      <c r="F108" s="26"/>
      <c r="G108" s="26"/>
      <c r="H108" s="26"/>
      <c r="I108" s="26"/>
      <c r="AI108" s="317"/>
      <c r="AJ108" s="102" t="s">
        <v>361</v>
      </c>
      <c r="AK108" s="102" t="s">
        <v>408</v>
      </c>
      <c r="AL108" s="23">
        <f ca="1">(AN86+AY83)</f>
        <v>1.1757721406822758E-3</v>
      </c>
      <c r="AM108" s="23"/>
      <c r="AN108" s="23">
        <f t="shared" ca="1" si="51"/>
        <v>1.1757721406822758E-3</v>
      </c>
      <c r="AO108" s="173">
        <f t="shared" ca="1" si="47"/>
        <v>0.25782399975106757</v>
      </c>
      <c r="AP108" s="170">
        <f t="shared" ca="1" si="52"/>
        <v>16276.875543522241</v>
      </c>
      <c r="AQ108" s="179">
        <f t="shared" ca="1" si="53"/>
        <v>6.0546772635010724</v>
      </c>
      <c r="AR108" s="179">
        <f t="shared" ca="1" si="54"/>
        <v>2.7278344058481618E-2</v>
      </c>
      <c r="AS108" s="170">
        <f t="shared" si="48"/>
        <v>46.658000000000001</v>
      </c>
      <c r="AT108" s="176">
        <f t="shared" si="49"/>
        <v>2.4</v>
      </c>
      <c r="AU108" s="173">
        <f t="shared" ca="1" si="55"/>
        <v>0.21466848813852279</v>
      </c>
      <c r="AV108" s="266"/>
      <c r="AW108" s="173">
        <f t="shared" ca="1" si="50"/>
        <v>182.57660707452652</v>
      </c>
      <c r="AX108" s="266"/>
      <c r="AY108" s="307"/>
    </row>
    <row r="109" spans="6:51" x14ac:dyDescent="0.3">
      <c r="F109" s="26"/>
      <c r="G109" s="26"/>
      <c r="H109" s="26"/>
      <c r="I109" s="26"/>
      <c r="AI109" s="317"/>
      <c r="AJ109" s="102" t="s">
        <v>348</v>
      </c>
      <c r="AK109" s="102" t="s">
        <v>408</v>
      </c>
      <c r="AL109" s="23">
        <f ca="1">(AN87+AY83)</f>
        <v>1.1357721406822757E-3</v>
      </c>
      <c r="AM109" s="23"/>
      <c r="AN109" s="23">
        <f t="shared" ca="1" si="51"/>
        <v>1.1357721406822757E-3</v>
      </c>
      <c r="AO109" s="173">
        <f t="shared" ca="1" si="47"/>
        <v>0.24905277645600093</v>
      </c>
      <c r="AP109" s="170">
        <f t="shared" ca="1" si="52"/>
        <v>15723.133028953825</v>
      </c>
      <c r="AQ109" s="179">
        <f t="shared" ca="1" si="53"/>
        <v>6.0285206583713959</v>
      </c>
      <c r="AR109" s="179">
        <f t="shared" ca="1" si="54"/>
        <v>2.751556867935789E-2</v>
      </c>
      <c r="AS109" s="170">
        <f t="shared" si="48"/>
        <v>15.552</v>
      </c>
      <c r="AT109" s="176">
        <f t="shared" si="49"/>
        <v>3.3</v>
      </c>
      <c r="AU109" s="173">
        <f t="shared" ca="1" si="55"/>
        <v>6.6920472922343668E-2</v>
      </c>
      <c r="AV109" s="266"/>
      <c r="AW109" s="173">
        <f t="shared" ca="1" si="50"/>
        <v>58.920685342874776</v>
      </c>
      <c r="AX109" s="266"/>
      <c r="AY109" s="307"/>
    </row>
    <row r="110" spans="6:51" x14ac:dyDescent="0.3">
      <c r="F110" s="26"/>
      <c r="G110" s="26"/>
      <c r="H110" s="26"/>
      <c r="I110" s="26"/>
      <c r="AI110" s="317"/>
      <c r="AJ110" s="102" t="s">
        <v>349</v>
      </c>
      <c r="AK110" s="102" t="s">
        <v>111</v>
      </c>
      <c r="AL110" s="23">
        <f ca="1">(AN88+AY83)</f>
        <v>-3.8642278593177242E-3</v>
      </c>
      <c r="AM110" s="23"/>
      <c r="AN110" s="23">
        <f t="shared" ca="1" si="51"/>
        <v>-3.8642278593177242E-3</v>
      </c>
      <c r="AO110" s="173">
        <f t="shared" ca="1" si="47"/>
        <v>0.84735013542732418</v>
      </c>
      <c r="AP110" s="170">
        <f t="shared" ca="1" si="52"/>
        <v>53494.681292097841</v>
      </c>
      <c r="AQ110" s="179">
        <f t="shared" ca="1" si="53"/>
        <v>6.9582353803427619</v>
      </c>
      <c r="AR110" s="179">
        <f t="shared" ca="1" si="54"/>
        <v>2.0653885658666486E-2</v>
      </c>
      <c r="AS110" s="170">
        <f t="shared" si="48"/>
        <v>37.6</v>
      </c>
      <c r="AT110" s="176">
        <f t="shared" si="49"/>
        <v>3.6</v>
      </c>
      <c r="AU110" s="173">
        <f t="shared" ca="1" si="55"/>
        <v>-0.50470283617042322</v>
      </c>
      <c r="AV110" s="266"/>
      <c r="AW110" s="173">
        <f t="shared" ca="1" si="50"/>
        <v>130.60897404210903</v>
      </c>
      <c r="AX110" s="266"/>
      <c r="AY110" s="307"/>
    </row>
    <row r="111" spans="6:51" x14ac:dyDescent="0.3">
      <c r="F111" s="26"/>
      <c r="G111" s="26"/>
      <c r="H111" s="26"/>
      <c r="I111" s="26"/>
    </row>
    <row r="112" spans="6:51" x14ac:dyDescent="0.3">
      <c r="F112" s="26"/>
      <c r="G112" s="26"/>
      <c r="H112" s="26"/>
      <c r="I112" s="26"/>
      <c r="AI112" s="204" t="s">
        <v>421</v>
      </c>
      <c r="AJ112" s="204"/>
      <c r="AK112" s="204"/>
      <c r="AL112" s="204"/>
      <c r="AM112" s="204"/>
      <c r="AN112" s="204"/>
      <c r="AO112" s="204"/>
      <c r="AP112" s="204"/>
      <c r="AQ112" s="204"/>
      <c r="AR112" s="204"/>
      <c r="AS112" s="204"/>
      <c r="AT112" s="204"/>
      <c r="AU112" s="204"/>
      <c r="AV112" s="204"/>
      <c r="AW112" s="204"/>
      <c r="AX112" s="204"/>
      <c r="AY112" s="204"/>
    </row>
    <row r="113" spans="6:51" x14ac:dyDescent="0.3">
      <c r="F113" s="26"/>
      <c r="G113" s="26"/>
      <c r="H113" s="26"/>
      <c r="I113" s="26"/>
      <c r="AI113" s="19"/>
      <c r="AJ113" s="19"/>
      <c r="AK113" s="168" t="s">
        <v>368</v>
      </c>
      <c r="AL113" s="293" t="s">
        <v>364</v>
      </c>
      <c r="AM113" s="294"/>
      <c r="AN113" s="318"/>
      <c r="AO113" s="168" t="s">
        <v>103</v>
      </c>
      <c r="AP113" s="168" t="s">
        <v>365</v>
      </c>
      <c r="AQ113" s="229" t="s">
        <v>366</v>
      </c>
      <c r="AR113" s="229"/>
      <c r="AS113" s="168" t="s">
        <v>409</v>
      </c>
      <c r="AT113" s="168" t="s">
        <v>110</v>
      </c>
      <c r="AU113" s="168" t="s">
        <v>410</v>
      </c>
      <c r="AV113" s="168" t="s">
        <v>411</v>
      </c>
      <c r="AW113" s="168" t="s">
        <v>412</v>
      </c>
      <c r="AX113" s="168" t="s">
        <v>413</v>
      </c>
      <c r="AY113" s="168" t="s">
        <v>119</v>
      </c>
    </row>
    <row r="114" spans="6:51" x14ac:dyDescent="0.3">
      <c r="F114" s="26"/>
      <c r="G114" s="26"/>
      <c r="H114" s="26"/>
      <c r="I114" s="26"/>
      <c r="AI114" s="229" t="s">
        <v>404</v>
      </c>
      <c r="AJ114" s="102" t="s">
        <v>325</v>
      </c>
      <c r="AK114" s="102" t="s">
        <v>111</v>
      </c>
      <c r="AL114" s="23">
        <f ca="1">(AN92+AY92)</f>
        <v>-3.5274675708703985E-3</v>
      </c>
      <c r="AM114" s="23"/>
      <c r="AN114" s="23">
        <f ca="1">IF(AM114="SI",(IF(AK114="-",IF(SIGN(AL114)=-1,AL114,-1*AL114),AL114))*-1,(IF(AK114="-",IF(SIGN(AL114)=-1,AL114,-1*AL114),AL114)))</f>
        <v>-3.5274675708703985E-3</v>
      </c>
      <c r="AO114" s="173">
        <f t="shared" ref="AO114:AO132" ca="1" si="56">ABS(AN114/$AA$5)</f>
        <v>0.77350514325526099</v>
      </c>
      <c r="AP114" s="170">
        <f ca="1">(AO114*$Z$5)/$AD$5</f>
        <v>48832.719068807688</v>
      </c>
      <c r="AQ114" s="179">
        <f ca="1">-2*LOG10(($AF$5/(3.7*$Z$5))+((2.51/AP114)*AQ114))</f>
        <v>6.8888296518726335</v>
      </c>
      <c r="AR114" s="179">
        <f ca="1">(1/AQ114)^2</f>
        <v>2.1072162602311584E-2</v>
      </c>
      <c r="AS114" s="170">
        <f t="shared" ref="AS114:AS132" si="57">VLOOKUP(AJ114,$V$5:$AG$19,7,FALSE)</f>
        <v>65</v>
      </c>
      <c r="AT114" s="176">
        <f t="shared" ref="AT114:AT132" si="58">VLOOKUP(AJ114,$V$5:$AG$19,12,FALSE)</f>
        <v>3.3</v>
      </c>
      <c r="AU114" s="173">
        <f ca="1">IF(SIGN(AN114)=-1,-1*(((AN114^2)/(2*9.81*($AA$5^2)))*((AT114)+(AR114*(AS114/$Z$5)))),1*(((AN114^2)/(2*9.81*($AA$5^2)))*((AS114)+(AR114*(AS114/$Z$5)))))</f>
        <v>-0.64877751559595442</v>
      </c>
      <c r="AV114" s="266">
        <f ca="1">SUM(AU114:AU117)</f>
        <v>2.5708650198691778E-3</v>
      </c>
      <c r="AW114" s="173">
        <f t="shared" ref="AW114:AW132" ca="1" si="59">AU114/AN114</f>
        <v>183.92161020940847</v>
      </c>
      <c r="AX114" s="266">
        <f ca="1">SUM(AW114:AW117)</f>
        <v>653.48744350744994</v>
      </c>
      <c r="AY114" s="307">
        <f ca="1">-(AV114/(2*AX114))</f>
        <v>-1.9670347497961294E-6</v>
      </c>
    </row>
    <row r="115" spans="6:51" x14ac:dyDescent="0.3">
      <c r="F115" s="26"/>
      <c r="G115" s="26"/>
      <c r="H115" s="26"/>
      <c r="I115" s="26"/>
      <c r="AI115" s="229"/>
      <c r="AJ115" s="102" t="s">
        <v>354</v>
      </c>
      <c r="AK115" s="102" t="s">
        <v>408</v>
      </c>
      <c r="AL115" s="23">
        <f ca="1">(AN93+AY92)</f>
        <v>1.9325324291296015E-3</v>
      </c>
      <c r="AM115" s="23"/>
      <c r="AN115" s="23">
        <f t="shared" ref="AN115:AN132" ca="1" si="60">IF(AM115="SI",(IF(AK115="-",IF(SIGN(AL115)=-1,AL115,-1*AL115),AL115))*-1,(IF(AK115="-",IF(SIGN(AL115)=-1,AL115,-1*AL115),AL115)))</f>
        <v>1.9325324291296015E-3</v>
      </c>
      <c r="AO115" s="173">
        <f t="shared" ca="1" si="56"/>
        <v>0.42376683652133018</v>
      </c>
      <c r="AP115" s="170">
        <f t="shared" ref="AP115:AP132" ca="1" si="61">(AO115*$Z$5)/$AD$5</f>
        <v>26753.13416978074</v>
      </c>
      <c r="AQ115" s="179">
        <f t="shared" ref="AQ115:AQ132" ca="1" si="62">-2*LOG10(($AF$5/(3.7*$Z$5))+((2.51/AP115)*AQ115))</f>
        <v>6.4311935449021878</v>
      </c>
      <c r="AR115" s="179">
        <f t="shared" ref="AR115:AR132" ca="1" si="63">(1/AQ115)^2</f>
        <v>2.4177803326598576E-2</v>
      </c>
      <c r="AS115" s="170">
        <f t="shared" si="57"/>
        <v>27.6</v>
      </c>
      <c r="AT115" s="176">
        <f t="shared" si="58"/>
        <v>3.3</v>
      </c>
      <c r="AU115" s="173">
        <f t="shared" ref="AU115:AU132" ca="1" si="64">IF(SIGN(AN115)=-1,-1*(((AN115^2)/(2*9.81*($AA$5^2)))*((AT115)+(AR115*(AS115/$Z$5)))),1*(((AN115^2)/(2*9.81*($AA$5^2)))*((AS115)+(AR115*(AS115/$Z$5)))))</f>
        <v>0.3327719623129351</v>
      </c>
      <c r="AV115" s="229"/>
      <c r="AW115" s="173">
        <f t="shared" ca="1" si="59"/>
        <v>172.19476232169268</v>
      </c>
      <c r="AX115" s="229"/>
      <c r="AY115" s="307"/>
    </row>
    <row r="116" spans="6:51" x14ac:dyDescent="0.3">
      <c r="F116" s="26"/>
      <c r="G116" s="26"/>
      <c r="H116" s="26"/>
      <c r="I116" s="26"/>
      <c r="AI116" s="229"/>
      <c r="AJ116" s="102" t="s">
        <v>353</v>
      </c>
      <c r="AK116" s="102" t="s">
        <v>408</v>
      </c>
      <c r="AL116" s="23">
        <f ca="1">(AN96+AY96)</f>
        <v>-1.178533055316498E-3</v>
      </c>
      <c r="AM116" s="23" t="s">
        <v>423</v>
      </c>
      <c r="AN116" s="23">
        <f t="shared" ca="1" si="60"/>
        <v>1.178533055316498E-3</v>
      </c>
      <c r="AO116" s="173">
        <f t="shared" ca="1" si="56"/>
        <v>0.25842941471995207</v>
      </c>
      <c r="AP116" s="170">
        <f t="shared" ca="1" si="61"/>
        <v>16315.096438823815</v>
      </c>
      <c r="AQ116" s="179">
        <f t="shared" ca="1" si="62"/>
        <v>6.0564500708593165</v>
      </c>
      <c r="AR116" s="179">
        <f t="shared" ca="1" si="63"/>
        <v>2.7262376892637361E-2</v>
      </c>
      <c r="AS116" s="170">
        <f t="shared" si="57"/>
        <v>65</v>
      </c>
      <c r="AT116" s="176">
        <f t="shared" si="58"/>
        <v>6.6</v>
      </c>
      <c r="AU116" s="173">
        <f t="shared" ca="1" si="64"/>
        <v>0.30041784173673292</v>
      </c>
      <c r="AV116" s="229"/>
      <c r="AW116" s="173">
        <f t="shared" ca="1" si="59"/>
        <v>254.90828651900219</v>
      </c>
      <c r="AX116" s="229"/>
      <c r="AY116" s="307"/>
    </row>
    <row r="117" spans="6:51" x14ac:dyDescent="0.3">
      <c r="F117" s="26"/>
      <c r="G117" s="26"/>
      <c r="H117" s="26"/>
      <c r="I117" s="26"/>
      <c r="AI117" s="229"/>
      <c r="AJ117" s="102" t="s">
        <v>355</v>
      </c>
      <c r="AK117" s="102" t="s">
        <v>408</v>
      </c>
      <c r="AL117" s="23">
        <f ca="1">(AN105+AY105)</f>
        <v>-4.2763508795320759E-4</v>
      </c>
      <c r="AM117" s="23" t="s">
        <v>423</v>
      </c>
      <c r="AN117" s="23">
        <f t="shared" ca="1" si="60"/>
        <v>4.2763508795320759E-4</v>
      </c>
      <c r="AO117" s="173">
        <f t="shared" ca="1" si="56"/>
        <v>9.3772071131075732E-2</v>
      </c>
      <c r="AP117" s="170">
        <f t="shared" ca="1" si="61"/>
        <v>5919.993223022344</v>
      </c>
      <c r="AQ117" s="179">
        <f t="shared" ca="1" si="62"/>
        <v>5.2954357682464881</v>
      </c>
      <c r="AR117" s="179">
        <f t="shared" ca="1" si="63"/>
        <v>3.5661252368594312E-2</v>
      </c>
      <c r="AS117" s="170">
        <f t="shared" si="57"/>
        <v>27.6</v>
      </c>
      <c r="AT117" s="176">
        <f t="shared" si="58"/>
        <v>3</v>
      </c>
      <c r="AU117" s="173">
        <f t="shared" ca="1" si="64"/>
        <v>1.8158576566155476E-2</v>
      </c>
      <c r="AV117" s="229"/>
      <c r="AW117" s="173">
        <f t="shared" ca="1" si="59"/>
        <v>42.462784457346523</v>
      </c>
      <c r="AX117" s="229"/>
      <c r="AY117" s="307"/>
    </row>
    <row r="118" spans="6:51" x14ac:dyDescent="0.3">
      <c r="F118" s="26"/>
      <c r="G118" s="26"/>
      <c r="H118" s="26"/>
      <c r="I118" s="26"/>
      <c r="AI118" s="317" t="s">
        <v>405</v>
      </c>
      <c r="AJ118" s="102" t="s">
        <v>353</v>
      </c>
      <c r="AK118" s="102" t="s">
        <v>111</v>
      </c>
      <c r="AL118" s="182">
        <f ca="1">(AN116+AY114)</f>
        <v>1.1765660205667018E-3</v>
      </c>
      <c r="AM118" s="182"/>
      <c r="AN118" s="182">
        <f t="shared" ca="1" si="60"/>
        <v>-1.1765660205667018E-3</v>
      </c>
      <c r="AO118" s="173">
        <f t="shared" ca="1" si="56"/>
        <v>0.25799808219446163</v>
      </c>
      <c r="AP118" s="170">
        <f t="shared" ca="1" si="61"/>
        <v>16287.865669608926</v>
      </c>
      <c r="AQ118" s="179">
        <f t="shared" ca="1" si="62"/>
        <v>6.0551874419546348</v>
      </c>
      <c r="AR118" s="179">
        <f t="shared" ca="1" si="63"/>
        <v>2.7273747590662423E-2</v>
      </c>
      <c r="AS118" s="170">
        <f t="shared" si="57"/>
        <v>65</v>
      </c>
      <c r="AT118" s="176">
        <f t="shared" si="58"/>
        <v>6.6</v>
      </c>
      <c r="AU118" s="173">
        <f t="shared" ca="1" si="64"/>
        <v>-0.10132032744247045</v>
      </c>
      <c r="AV118" s="266">
        <f ca="1">SUM(AU118:AU122)</f>
        <v>5.7521830507186247E-4</v>
      </c>
      <c r="AW118" s="173">
        <f t="shared" ca="1" si="59"/>
        <v>86.115292870406677</v>
      </c>
      <c r="AX118" s="266">
        <f ca="1">SUM(AW118:AW122)</f>
        <v>319.38533184918015</v>
      </c>
      <c r="AY118" s="307">
        <f ca="1">-(AV118/(2*AX118))</f>
        <v>-9.0050833227289776E-7</v>
      </c>
    </row>
    <row r="119" spans="6:51" x14ac:dyDescent="0.3">
      <c r="F119" s="26"/>
      <c r="G119" s="26"/>
      <c r="H119" s="26"/>
      <c r="I119" s="26"/>
      <c r="AI119" s="317"/>
      <c r="AJ119" s="102" t="s">
        <v>357</v>
      </c>
      <c r="AK119" s="102" t="s">
        <v>408</v>
      </c>
      <c r="AL119" s="23">
        <f ca="1">(AN97+AY96)</f>
        <v>6.6399937381310338E-4</v>
      </c>
      <c r="AM119" s="23"/>
      <c r="AN119" s="23">
        <f t="shared" ca="1" si="60"/>
        <v>6.6399937381310338E-4</v>
      </c>
      <c r="AO119" s="173">
        <f t="shared" ca="1" si="56"/>
        <v>0.14560216938747822</v>
      </c>
      <c r="AP119" s="170">
        <f t="shared" ca="1" si="61"/>
        <v>9192.117073177993</v>
      </c>
      <c r="AQ119" s="179">
        <f t="shared" ca="1" si="62"/>
        <v>5.6243371738913481</v>
      </c>
      <c r="AR119" s="179">
        <f t="shared" ca="1" si="63"/>
        <v>3.1612387971717941E-2</v>
      </c>
      <c r="AS119" s="170">
        <f t="shared" si="57"/>
        <v>19.399999999999999</v>
      </c>
      <c r="AT119" s="176">
        <f t="shared" si="58"/>
        <v>3</v>
      </c>
      <c r="AU119" s="173">
        <f t="shared" ca="1" si="64"/>
        <v>2.9658700097465469E-2</v>
      </c>
      <c r="AV119" s="266"/>
      <c r="AW119" s="173">
        <f t="shared" ca="1" si="59"/>
        <v>44.666759137356557</v>
      </c>
      <c r="AX119" s="266"/>
      <c r="AY119" s="307"/>
    </row>
    <row r="120" spans="6:51" x14ac:dyDescent="0.3">
      <c r="F120" s="26"/>
      <c r="G120" s="26"/>
      <c r="H120" s="26"/>
      <c r="I120" s="26"/>
      <c r="AI120" s="317"/>
      <c r="AJ120" s="102" t="s">
        <v>352</v>
      </c>
      <c r="AK120" s="102" t="s">
        <v>408</v>
      </c>
      <c r="AL120" s="23">
        <f ca="1">(AN104+AY101)</f>
        <v>-5.0006713102508139E-4</v>
      </c>
      <c r="AM120" s="23" t="s">
        <v>423</v>
      </c>
      <c r="AN120" s="23">
        <f t="shared" ca="1" si="60"/>
        <v>5.0006713102508139E-4</v>
      </c>
      <c r="AO120" s="173">
        <f t="shared" ca="1" si="56"/>
        <v>0.10965501171860791</v>
      </c>
      <c r="AP120" s="170">
        <f t="shared" ca="1" si="61"/>
        <v>6922.7107646710201</v>
      </c>
      <c r="AQ120" s="179">
        <f t="shared" ca="1" si="62"/>
        <v>5.4121185523112922</v>
      </c>
      <c r="AR120" s="179">
        <f t="shared" ca="1" si="63"/>
        <v>3.4140147846073068E-2</v>
      </c>
      <c r="AS120" s="170">
        <f t="shared" si="57"/>
        <v>15.21</v>
      </c>
      <c r="AT120" s="176">
        <f t="shared" si="58"/>
        <v>2.4</v>
      </c>
      <c r="AU120" s="173">
        <f t="shared" ca="1" si="64"/>
        <v>1.3497886516716344E-2</v>
      </c>
      <c r="AV120" s="266"/>
      <c r="AW120" s="173">
        <f t="shared" ca="1" si="59"/>
        <v>26.992149012168014</v>
      </c>
      <c r="AX120" s="266"/>
      <c r="AY120" s="307"/>
    </row>
    <row r="121" spans="6:51" x14ac:dyDescent="0.3">
      <c r="F121" s="26"/>
      <c r="G121" s="26"/>
      <c r="H121" s="26"/>
      <c r="I121" s="26"/>
      <c r="AI121" s="317"/>
      <c r="AJ121" s="102" t="s">
        <v>359</v>
      </c>
      <c r="AK121" s="102" t="s">
        <v>408</v>
      </c>
      <c r="AL121" s="23">
        <f ca="1">(AN99+AY96)</f>
        <v>5.8399937381310339E-4</v>
      </c>
      <c r="AM121" s="23"/>
      <c r="AN121" s="23">
        <f t="shared" ca="1" si="60"/>
        <v>5.8399937381310339E-4</v>
      </c>
      <c r="AO121" s="173">
        <f t="shared" ca="1" si="56"/>
        <v>0.12805972279734501</v>
      </c>
      <c r="AP121" s="170">
        <f t="shared" ca="1" si="61"/>
        <v>8084.6320440411664</v>
      </c>
      <c r="AQ121" s="179">
        <f t="shared" ca="1" si="62"/>
        <v>5.5281284741593879</v>
      </c>
      <c r="AR121" s="179">
        <f t="shared" ca="1" si="63"/>
        <v>3.272229419783123E-2</v>
      </c>
      <c r="AS121" s="170">
        <f t="shared" si="57"/>
        <v>65</v>
      </c>
      <c r="AT121" s="176">
        <f t="shared" si="58"/>
        <v>3.3</v>
      </c>
      <c r="AU121" s="173">
        <f t="shared" ca="1" si="64"/>
        <v>7.7660695791992057E-2</v>
      </c>
      <c r="AV121" s="266"/>
      <c r="AW121" s="173">
        <f t="shared" ca="1" si="59"/>
        <v>132.98078606646882</v>
      </c>
      <c r="AX121" s="266"/>
      <c r="AY121" s="307"/>
    </row>
    <row r="122" spans="6:51" x14ac:dyDescent="0.3">
      <c r="F122" s="26"/>
      <c r="G122" s="26"/>
      <c r="H122" s="26"/>
      <c r="I122" s="26"/>
      <c r="AI122" s="317"/>
      <c r="AJ122" s="102" t="s">
        <v>356</v>
      </c>
      <c r="AK122" s="102" t="s">
        <v>111</v>
      </c>
      <c r="AL122" s="23">
        <f ca="1">(AN106+AY105)</f>
        <v>6.6089796736329052E-4</v>
      </c>
      <c r="AM122" s="23"/>
      <c r="AN122" s="23">
        <f t="shared" ca="1" si="60"/>
        <v>-6.6089796736329052E-4</v>
      </c>
      <c r="AO122" s="173">
        <f t="shared" ca="1" si="56"/>
        <v>0.14492209117497651</v>
      </c>
      <c r="AP122" s="170">
        <f t="shared" ca="1" si="61"/>
        <v>9149.1825580225432</v>
      </c>
      <c r="AQ122" s="179">
        <f t="shared" ca="1" si="62"/>
        <v>5.6208253259435406</v>
      </c>
      <c r="AR122" s="179">
        <f t="shared" ca="1" si="63"/>
        <v>3.1651902660378123E-2</v>
      </c>
      <c r="AS122" s="170">
        <f t="shared" si="57"/>
        <v>34.61</v>
      </c>
      <c r="AT122" s="176">
        <f t="shared" si="58"/>
        <v>3.3</v>
      </c>
      <c r="AU122" s="173">
        <f t="shared" ca="1" si="64"/>
        <v>-1.8921736658631567E-2</v>
      </c>
      <c r="AV122" s="266"/>
      <c r="AW122" s="173">
        <f t="shared" ca="1" si="59"/>
        <v>28.630344762780055</v>
      </c>
      <c r="AX122" s="266"/>
      <c r="AY122" s="307"/>
    </row>
    <row r="123" spans="6:51" x14ac:dyDescent="0.3">
      <c r="F123" s="26"/>
      <c r="G123" s="26"/>
      <c r="H123" s="26"/>
      <c r="I123" s="26"/>
      <c r="AI123" s="317" t="s">
        <v>406</v>
      </c>
      <c r="AJ123" s="102" t="s">
        <v>358</v>
      </c>
      <c r="AK123" s="102" t="s">
        <v>408</v>
      </c>
      <c r="AL123" s="23">
        <f ca="1">(AN101+AY101)</f>
        <v>1.5393224278802188E-4</v>
      </c>
      <c r="AM123" s="23"/>
      <c r="AN123" s="23">
        <f t="shared" ca="1" si="60"/>
        <v>1.5393224278802188E-4</v>
      </c>
      <c r="AO123" s="173">
        <f t="shared" ca="1" si="56"/>
        <v>3.3754351845103635E-2</v>
      </c>
      <c r="AP123" s="170">
        <f t="shared" ca="1" si="61"/>
        <v>2130.970679864869</v>
      </c>
      <c r="AQ123" s="179">
        <f t="shared" ca="1" si="62"/>
        <v>4.542377729971566</v>
      </c>
      <c r="AR123" s="179">
        <f t="shared" ca="1" si="63"/>
        <v>4.8465590452216968E-2</v>
      </c>
      <c r="AS123" s="170">
        <f t="shared" si="57"/>
        <v>27.9</v>
      </c>
      <c r="AT123" s="176">
        <f t="shared" si="58"/>
        <v>2.1</v>
      </c>
      <c r="AU123" s="173">
        <f t="shared" ca="1" si="64"/>
        <v>2.6506743362000652E-3</v>
      </c>
      <c r="AV123" s="266">
        <f ca="1">SUM(AU123:AU126)</f>
        <v>3.1087776073326218E-5</v>
      </c>
      <c r="AW123" s="173">
        <f t="shared" ca="1" si="59"/>
        <v>17.219747391391387</v>
      </c>
      <c r="AX123" s="266">
        <f ca="1">SUM(AW123:AW126)</f>
        <v>50.506449087327724</v>
      </c>
      <c r="AY123" s="307">
        <f ca="1">-(AV123/(2*AX123))</f>
        <v>-3.0776046064507697E-7</v>
      </c>
    </row>
    <row r="124" spans="6:51" x14ac:dyDescent="0.3">
      <c r="F124" s="26"/>
      <c r="G124" s="26"/>
      <c r="H124" s="26"/>
      <c r="I124" s="26"/>
      <c r="AI124" s="317"/>
      <c r="AJ124" s="102" t="s">
        <v>350</v>
      </c>
      <c r="AK124" s="102" t="s">
        <v>408</v>
      </c>
      <c r="AL124" s="23">
        <f ca="1">(AN102+AY101)</f>
        <v>1.5393224278802188E-4</v>
      </c>
      <c r="AM124" s="23"/>
      <c r="AN124" s="23">
        <f t="shared" ca="1" si="60"/>
        <v>1.5393224278802188E-4</v>
      </c>
      <c r="AO124" s="173">
        <f t="shared" ca="1" si="56"/>
        <v>3.3754351845103635E-2</v>
      </c>
      <c r="AP124" s="170">
        <f t="shared" ca="1" si="61"/>
        <v>2130.970679864869</v>
      </c>
      <c r="AQ124" s="179">
        <f t="shared" ca="1" si="62"/>
        <v>4.542377729971566</v>
      </c>
      <c r="AR124" s="179">
        <f t="shared" ca="1" si="63"/>
        <v>4.8465590452216968E-2</v>
      </c>
      <c r="AS124" s="170">
        <f t="shared" si="57"/>
        <v>15.21</v>
      </c>
      <c r="AT124" s="176">
        <f t="shared" si="58"/>
        <v>1.5</v>
      </c>
      <c r="AU124" s="173">
        <f t="shared" ca="1" si="64"/>
        <v>1.4450450413477777E-3</v>
      </c>
      <c r="AV124" s="266"/>
      <c r="AW124" s="173">
        <f t="shared" ca="1" si="59"/>
        <v>9.3875397069198208</v>
      </c>
      <c r="AX124" s="266"/>
      <c r="AY124" s="307"/>
    </row>
    <row r="125" spans="6:51" x14ac:dyDescent="0.3">
      <c r="F125" s="26"/>
      <c r="G125" s="26"/>
      <c r="H125" s="26"/>
      <c r="I125" s="26"/>
      <c r="AI125" s="317"/>
      <c r="AJ125" s="102" t="s">
        <v>351</v>
      </c>
      <c r="AK125" s="102" t="s">
        <v>408</v>
      </c>
      <c r="AL125" s="23">
        <f ca="1">(AN103+AY101)</f>
        <v>1.2393224278802191E-4</v>
      </c>
      <c r="AM125" s="23"/>
      <c r="AN125" s="23">
        <f t="shared" ca="1" si="60"/>
        <v>1.2393224278802191E-4</v>
      </c>
      <c r="AO125" s="173">
        <f t="shared" ca="1" si="56"/>
        <v>2.7175934373803692E-2</v>
      </c>
      <c r="AP125" s="170">
        <f t="shared" ca="1" si="61"/>
        <v>1715.6637939385591</v>
      </c>
      <c r="AQ125" s="179"/>
      <c r="AR125" s="179">
        <f ca="1">64/AP125</f>
        <v>3.7303345927163598E-2</v>
      </c>
      <c r="AS125" s="170">
        <f t="shared" si="57"/>
        <v>27.9</v>
      </c>
      <c r="AT125" s="176">
        <f t="shared" si="58"/>
        <v>1.5</v>
      </c>
      <c r="AU125" s="173">
        <f t="shared" ca="1" si="64"/>
        <v>1.564328159913577E-3</v>
      </c>
      <c r="AV125" s="266"/>
      <c r="AW125" s="173">
        <f t="shared" ca="1" si="59"/>
        <v>12.622446949412987</v>
      </c>
      <c r="AX125" s="266"/>
      <c r="AY125" s="307"/>
    </row>
    <row r="126" spans="6:51" x14ac:dyDescent="0.3">
      <c r="F126" s="26"/>
      <c r="G126" s="26"/>
      <c r="H126" s="26"/>
      <c r="I126" s="26"/>
      <c r="AI126" s="317"/>
      <c r="AJ126" s="102" t="s">
        <v>352</v>
      </c>
      <c r="AK126" s="102" t="s">
        <v>111</v>
      </c>
      <c r="AL126" s="182">
        <f ca="1">(AN120+AY118)</f>
        <v>4.9916662269280845E-4</v>
      </c>
      <c r="AM126" s="182"/>
      <c r="AN126" s="182">
        <f t="shared" ca="1" si="60"/>
        <v>-4.9916662269280845E-4</v>
      </c>
      <c r="AO126" s="173">
        <f t="shared" ca="1" si="56"/>
        <v>0.10945754772707206</v>
      </c>
      <c r="AP126" s="170">
        <f t="shared" ca="1" si="61"/>
        <v>6910.2445209634534</v>
      </c>
      <c r="AQ126" s="179">
        <f t="shared" ca="1" si="62"/>
        <v>5.4107726805911902</v>
      </c>
      <c r="AR126" s="179">
        <f t="shared" ca="1" si="63"/>
        <v>3.4157133950198107E-2</v>
      </c>
      <c r="AS126" s="170">
        <f t="shared" si="57"/>
        <v>15.21</v>
      </c>
      <c r="AT126" s="176">
        <f t="shared" si="58"/>
        <v>2.4</v>
      </c>
      <c r="AU126" s="173">
        <f t="shared" ca="1" si="64"/>
        <v>-5.6289597613880926E-3</v>
      </c>
      <c r="AV126" s="266"/>
      <c r="AW126" s="173">
        <f t="shared" ca="1" si="59"/>
        <v>11.276715039603527</v>
      </c>
      <c r="AX126" s="266"/>
      <c r="AY126" s="307"/>
    </row>
    <row r="127" spans="6:51" x14ac:dyDescent="0.3">
      <c r="F127" s="26"/>
      <c r="G127" s="26"/>
      <c r="H127" s="26"/>
      <c r="I127" s="26"/>
      <c r="AI127" s="317" t="s">
        <v>407</v>
      </c>
      <c r="AJ127" s="102" t="s">
        <v>355</v>
      </c>
      <c r="AK127" s="102" t="s">
        <v>111</v>
      </c>
      <c r="AL127" s="182">
        <f ca="1">(AN117+AY114)</f>
        <v>4.2566805320341143E-4</v>
      </c>
      <c r="AM127" s="182"/>
      <c r="AN127" s="182">
        <f t="shared" ca="1" si="60"/>
        <v>-4.2566805320341143E-4</v>
      </c>
      <c r="AO127" s="173">
        <f t="shared" ca="1" si="56"/>
        <v>9.3340738605585297E-2</v>
      </c>
      <c r="AP127" s="170">
        <f t="shared" ca="1" si="61"/>
        <v>5892.7624538074551</v>
      </c>
      <c r="AQ127" s="179">
        <f t="shared" ca="1" si="62"/>
        <v>5.2920026415646442</v>
      </c>
      <c r="AR127" s="179">
        <f t="shared" ca="1" si="63"/>
        <v>3.5707537042928672E-2</v>
      </c>
      <c r="AS127" s="170">
        <f t="shared" si="57"/>
        <v>27.6</v>
      </c>
      <c r="AT127" s="176">
        <f t="shared" si="58"/>
        <v>3</v>
      </c>
      <c r="AU127" s="173">
        <f t="shared" ca="1" si="64"/>
        <v>-7.0754322167676173E-3</v>
      </c>
      <c r="AV127" s="266">
        <f ca="1">SUM(AU127:AU132)</f>
        <v>2.4543518399766651E-4</v>
      </c>
      <c r="AW127" s="173">
        <f t="shared" ca="1" si="59"/>
        <v>16.62194793224598</v>
      </c>
      <c r="AX127" s="266">
        <f ca="1">SUM(AW127:AW132)</f>
        <v>617.39349715133085</v>
      </c>
      <c r="AY127" s="307">
        <f ca="1">-(AV127/(2*AX127))</f>
        <v>-1.9876722473601571E-7</v>
      </c>
    </row>
    <row r="128" spans="6:51" x14ac:dyDescent="0.3">
      <c r="F128" s="26"/>
      <c r="G128" s="26"/>
      <c r="H128" s="26"/>
      <c r="I128" s="26"/>
      <c r="AI128" s="317"/>
      <c r="AJ128" s="102" t="s">
        <v>356</v>
      </c>
      <c r="AK128" s="102" t="s">
        <v>408</v>
      </c>
      <c r="AL128" s="182">
        <f ca="1">(AN122+AY118)</f>
        <v>-6.6179847569556346E-4</v>
      </c>
      <c r="AM128" s="182" t="s">
        <v>423</v>
      </c>
      <c r="AN128" s="182">
        <f t="shared" ca="1" si="60"/>
        <v>6.6179847569556346E-4</v>
      </c>
      <c r="AO128" s="173">
        <f t="shared" ca="1" si="56"/>
        <v>0.14511955516651237</v>
      </c>
      <c r="AP128" s="170">
        <f t="shared" ca="1" si="61"/>
        <v>9161.648801730109</v>
      </c>
      <c r="AQ128" s="179">
        <f t="shared" ca="1" si="62"/>
        <v>5.6218466771410327</v>
      </c>
      <c r="AR128" s="179">
        <f t="shared" ca="1" si="63"/>
        <v>3.1640402961447538E-2</v>
      </c>
      <c r="AS128" s="170">
        <f t="shared" si="57"/>
        <v>34.61</v>
      </c>
      <c r="AT128" s="176">
        <f t="shared" si="58"/>
        <v>3.3</v>
      </c>
      <c r="AU128" s="173">
        <f t="shared" ca="1" si="64"/>
        <v>5.25752085248175E-2</v>
      </c>
      <c r="AV128" s="266"/>
      <c r="AW128" s="173">
        <f t="shared" ca="1" si="59"/>
        <v>79.442927802999094</v>
      </c>
      <c r="AX128" s="266"/>
      <c r="AY128" s="307"/>
    </row>
    <row r="129" spans="6:51" x14ac:dyDescent="0.3">
      <c r="F129" s="26"/>
      <c r="G129" s="26"/>
      <c r="H129" s="26"/>
      <c r="I129" s="26"/>
      <c r="AI129" s="317"/>
      <c r="AJ129" s="102" t="s">
        <v>360</v>
      </c>
      <c r="AK129" s="102" t="s">
        <v>408</v>
      </c>
      <c r="AL129" s="23">
        <f ca="1">(AN107+AY105)</f>
        <v>1.1948973411763939E-3</v>
      </c>
      <c r="AM129" s="23"/>
      <c r="AN129" s="23">
        <f t="shared" ca="1" si="60"/>
        <v>1.1948973411763939E-3</v>
      </c>
      <c r="AO129" s="173">
        <f t="shared" ca="1" si="56"/>
        <v>0.26201778485348826</v>
      </c>
      <c r="AP129" s="170">
        <f t="shared" ca="1" si="61"/>
        <v>16541.636458853191</v>
      </c>
      <c r="AQ129" s="179">
        <f t="shared" ca="1" si="62"/>
        <v>6.0668741525419625</v>
      </c>
      <c r="AR129" s="179">
        <f t="shared" ca="1" si="63"/>
        <v>2.7168773137750367E-2</v>
      </c>
      <c r="AS129" s="170">
        <f t="shared" si="57"/>
        <v>37.6</v>
      </c>
      <c r="AT129" s="176">
        <f t="shared" si="58"/>
        <v>2.7</v>
      </c>
      <c r="AU129" s="173">
        <f t="shared" ca="1" si="64"/>
        <v>0.17847803413848976</v>
      </c>
      <c r="AV129" s="266"/>
      <c r="AW129" s="173">
        <f t="shared" ca="1" si="59"/>
        <v>149.36683511470159</v>
      </c>
      <c r="AX129" s="266"/>
      <c r="AY129" s="307"/>
    </row>
    <row r="130" spans="6:51" x14ac:dyDescent="0.3">
      <c r="F130" s="26"/>
      <c r="G130" s="26"/>
      <c r="H130" s="26"/>
      <c r="I130" s="26"/>
      <c r="AI130" s="317"/>
      <c r="AJ130" s="102" t="s">
        <v>361</v>
      </c>
      <c r="AK130" s="102" t="s">
        <v>408</v>
      </c>
      <c r="AL130" s="23">
        <f ca="1">(AN108+AY105)</f>
        <v>1.174897341176394E-3</v>
      </c>
      <c r="AM130" s="23"/>
      <c r="AN130" s="23">
        <f t="shared" ca="1" si="60"/>
        <v>1.174897341176394E-3</v>
      </c>
      <c r="AO130" s="173">
        <f t="shared" ca="1" si="56"/>
        <v>0.257632173205955</v>
      </c>
      <c r="AP130" s="170">
        <f t="shared" ca="1" si="61"/>
        <v>16264.765201568987</v>
      </c>
      <c r="AQ130" s="179">
        <f t="shared" ca="1" si="62"/>
        <v>6.0541146883216994</v>
      </c>
      <c r="AR130" s="179">
        <f t="shared" ca="1" si="63"/>
        <v>2.7283413943380248E-2</v>
      </c>
      <c r="AS130" s="170">
        <f t="shared" si="57"/>
        <v>46.658000000000001</v>
      </c>
      <c r="AT130" s="176">
        <f t="shared" si="58"/>
        <v>2.4</v>
      </c>
      <c r="AU130" s="173">
        <f t="shared" ca="1" si="64"/>
        <v>0.21435967308264087</v>
      </c>
      <c r="AV130" s="266"/>
      <c r="AW130" s="173">
        <f t="shared" ca="1" si="59"/>
        <v>182.4497048125142</v>
      </c>
      <c r="AX130" s="266"/>
      <c r="AY130" s="307"/>
    </row>
    <row r="131" spans="6:51" x14ac:dyDescent="0.3">
      <c r="F131" s="26"/>
      <c r="G131" s="26"/>
      <c r="H131" s="26"/>
      <c r="I131" s="26"/>
      <c r="AI131" s="317"/>
      <c r="AJ131" s="102" t="s">
        <v>348</v>
      </c>
      <c r="AK131" s="102" t="s">
        <v>408</v>
      </c>
      <c r="AL131" s="23">
        <f ca="1">(AN109+AY105)</f>
        <v>1.1348973411763939E-3</v>
      </c>
      <c r="AM131" s="23"/>
      <c r="AN131" s="23">
        <f t="shared" ca="1" si="60"/>
        <v>1.1348973411763939E-3</v>
      </c>
      <c r="AO131" s="173">
        <f t="shared" ca="1" si="56"/>
        <v>0.24886094991088839</v>
      </c>
      <c r="AP131" s="170">
        <f t="shared" ca="1" si="61"/>
        <v>15711.022687000574</v>
      </c>
      <c r="AQ131" s="179">
        <f t="shared" ca="1" si="62"/>
        <v>6.0279384919600316</v>
      </c>
      <c r="AR131" s="179">
        <f t="shared" ca="1" si="63"/>
        <v>2.7520883734718983E-2</v>
      </c>
      <c r="AS131" s="170">
        <f t="shared" si="57"/>
        <v>15.552</v>
      </c>
      <c r="AT131" s="176">
        <f t="shared" si="58"/>
        <v>3.3</v>
      </c>
      <c r="AU131" s="173">
        <f t="shared" ca="1" si="64"/>
        <v>6.6820849206036328E-2</v>
      </c>
      <c r="AV131" s="266"/>
      <c r="AW131" s="173">
        <f t="shared" ca="1" si="59"/>
        <v>58.878320339328866</v>
      </c>
      <c r="AX131" s="266"/>
      <c r="AY131" s="307"/>
    </row>
    <row r="132" spans="6:51" x14ac:dyDescent="0.3">
      <c r="F132" s="26"/>
      <c r="G132" s="26"/>
      <c r="H132" s="26"/>
      <c r="I132" s="26"/>
      <c r="AI132" s="317"/>
      <c r="AJ132" s="102" t="s">
        <v>349</v>
      </c>
      <c r="AK132" s="102" t="s">
        <v>111</v>
      </c>
      <c r="AL132" s="23">
        <f ca="1">(AN110+AY105)</f>
        <v>-3.8651026588236059E-3</v>
      </c>
      <c r="AM132" s="23"/>
      <c r="AN132" s="23">
        <f t="shared" ca="1" si="60"/>
        <v>-3.8651026588236059E-3</v>
      </c>
      <c r="AO132" s="173">
        <f t="shared" ca="1" si="56"/>
        <v>0.84754196197243681</v>
      </c>
      <c r="AP132" s="170">
        <f t="shared" ca="1" si="61"/>
        <v>53506.7916340511</v>
      </c>
      <c r="AQ132" s="179">
        <f t="shared" ca="1" si="62"/>
        <v>6.9584076773978509</v>
      </c>
      <c r="AR132" s="179">
        <f t="shared" ca="1" si="63"/>
        <v>2.0652862850063475E-2</v>
      </c>
      <c r="AS132" s="170">
        <f t="shared" si="57"/>
        <v>37.6</v>
      </c>
      <c r="AT132" s="176">
        <f t="shared" si="58"/>
        <v>3.6</v>
      </c>
      <c r="AU132" s="173">
        <f t="shared" ca="1" si="64"/>
        <v>-0.50491289755121915</v>
      </c>
      <c r="AV132" s="266"/>
      <c r="AW132" s="173">
        <f t="shared" ca="1" si="59"/>
        <v>130.6337611495411</v>
      </c>
      <c r="AX132" s="266"/>
      <c r="AY132" s="307"/>
    </row>
    <row r="133" spans="6:51" x14ac:dyDescent="0.3">
      <c r="F133" s="26"/>
      <c r="G133" s="26"/>
      <c r="H133" s="26"/>
      <c r="I133" s="26"/>
    </row>
    <row r="134" spans="6:51" x14ac:dyDescent="0.3">
      <c r="F134" s="26"/>
      <c r="G134" s="26"/>
      <c r="H134" s="26"/>
      <c r="I134" s="26"/>
      <c r="AI134" s="204" t="s">
        <v>422</v>
      </c>
      <c r="AJ134" s="204"/>
      <c r="AK134" s="204"/>
      <c r="AL134" s="204"/>
      <c r="AM134" s="204"/>
      <c r="AN134" s="204"/>
      <c r="AO134" s="204"/>
      <c r="AP134" s="204"/>
      <c r="AQ134" s="204"/>
      <c r="AR134" s="204"/>
      <c r="AS134" s="204"/>
      <c r="AT134" s="204"/>
      <c r="AU134" s="204"/>
      <c r="AV134" s="204"/>
      <c r="AW134" s="204"/>
      <c r="AX134" s="204"/>
      <c r="AY134" s="204"/>
    </row>
    <row r="135" spans="6:51" x14ac:dyDescent="0.3">
      <c r="F135" s="26"/>
      <c r="G135" s="26"/>
      <c r="H135" s="26"/>
      <c r="I135" s="26"/>
      <c r="AI135" s="19"/>
      <c r="AJ135" s="19"/>
      <c r="AK135" s="168" t="s">
        <v>368</v>
      </c>
      <c r="AL135" s="293" t="s">
        <v>364</v>
      </c>
      <c r="AM135" s="294"/>
      <c r="AN135" s="318"/>
      <c r="AO135" s="168" t="s">
        <v>103</v>
      </c>
      <c r="AP135" s="168" t="s">
        <v>365</v>
      </c>
      <c r="AQ135" s="229" t="s">
        <v>366</v>
      </c>
      <c r="AR135" s="229"/>
      <c r="AS135" s="168" t="s">
        <v>409</v>
      </c>
      <c r="AT135" s="168" t="s">
        <v>110</v>
      </c>
      <c r="AU135" s="168" t="s">
        <v>410</v>
      </c>
      <c r="AV135" s="168" t="s">
        <v>411</v>
      </c>
      <c r="AW135" s="168" t="s">
        <v>412</v>
      </c>
      <c r="AX135" s="168" t="s">
        <v>413</v>
      </c>
      <c r="AY135" s="168" t="s">
        <v>119</v>
      </c>
    </row>
    <row r="136" spans="6:51" x14ac:dyDescent="0.3">
      <c r="F136" s="26"/>
      <c r="G136" s="26"/>
      <c r="H136" s="26"/>
      <c r="I136" s="26"/>
      <c r="AI136" s="229" t="s">
        <v>404</v>
      </c>
      <c r="AJ136" s="102" t="s">
        <v>325</v>
      </c>
      <c r="AK136" s="102" t="s">
        <v>111</v>
      </c>
      <c r="AL136" s="23">
        <f ca="1">(AN114+AY114)</f>
        <v>-3.5294346056201947E-3</v>
      </c>
      <c r="AM136" s="23"/>
      <c r="AN136" s="23">
        <f ca="1">IF(AM136="SI",(IF(AK136="-",IF(SIGN(AL136)=-1,AL136,-1*AL136),AL136))*-1,(IF(AK136="-",IF(SIGN(AL136)=-1,AL136,-1*AL136),AL136)))</f>
        <v>-3.5294346056201947E-3</v>
      </c>
      <c r="AO136" s="173">
        <f t="shared" ref="AO136:AO154" ca="1" si="65">ABS(AN136/$AA$5)</f>
        <v>0.77393647578075142</v>
      </c>
      <c r="AP136" s="170">
        <f ca="1">(AO136*$Z$5)/$AD$5</f>
        <v>48859.94983802257</v>
      </c>
      <c r="AQ136" s="179">
        <f ca="1">-2*LOG10(($AF$5/(3.7*$Z$5))+((2.51/AP136)*AQ136))</f>
        <v>6.889253991939845</v>
      </c>
      <c r="AR136" s="179">
        <f ca="1">(1/AQ136)^2</f>
        <v>2.1069566824155121E-2</v>
      </c>
      <c r="AS136" s="170">
        <f t="shared" ref="AS136:AS154" si="66">VLOOKUP(AJ136,$V$5:$AG$19,7,FALSE)</f>
        <v>65</v>
      </c>
      <c r="AT136" s="176">
        <f t="shared" ref="AT136:AT154" si="67">VLOOKUP(AJ136,$V$5:$AG$19,12,FALSE)</f>
        <v>3.3</v>
      </c>
      <c r="AU136" s="173">
        <f ca="1">IF(SIGN(AN136)=-1,-1*(((AN136^2)/(2*9.81*($AA$5^2)))*((AT136)+(AR136*(AS136/$Z$5)))),1*(((AN136^2)/(2*9.81*($AA$5^2)))*((AS136)+(AR136*(AS136/$Z$5)))))</f>
        <v>-0.64943367915168326</v>
      </c>
      <c r="AV136" s="266">
        <f ca="1">SUM(AU136:AU139)</f>
        <v>5.8806840094874357E-4</v>
      </c>
      <c r="AW136" s="173">
        <f t="shared" ref="AW136:AW154" ca="1" si="68">AU136/AN136</f>
        <v>184.00501828750112</v>
      </c>
      <c r="AX136" s="266">
        <f ca="1">SUM(AW136:AW139)</f>
        <v>653.03017498459269</v>
      </c>
      <c r="AY136" s="307">
        <f ca="1">-(AV136/(2*AX136))</f>
        <v>-4.5026127694835707E-7</v>
      </c>
    </row>
    <row r="137" spans="6:51" x14ac:dyDescent="0.3">
      <c r="F137" s="26"/>
      <c r="G137" s="26"/>
      <c r="H137" s="26"/>
      <c r="I137" s="26"/>
      <c r="AI137" s="229"/>
      <c r="AJ137" s="102" t="s">
        <v>354</v>
      </c>
      <c r="AK137" s="102" t="s">
        <v>408</v>
      </c>
      <c r="AL137" s="23">
        <f ca="1">(AN115+AY114)</f>
        <v>1.9305653943798053E-3</v>
      </c>
      <c r="AM137" s="23"/>
      <c r="AN137" s="23">
        <f t="shared" ref="AN137:AN154" ca="1" si="69">IF(AM137="SI",(IF(AK137="-",IF(SIGN(AL137)=-1,AL137,-1*AL137),AL137))*-1,(IF(AK137="-",IF(SIGN(AL137)=-1,AL137,-1*AL137),AL137)))</f>
        <v>1.9305653943798053E-3</v>
      </c>
      <c r="AO137" s="173">
        <f t="shared" ca="1" si="65"/>
        <v>0.42333550399583975</v>
      </c>
      <c r="AP137" s="170">
        <f t="shared" ref="AP137:AP154" ca="1" si="70">(AO137*$Z$5)/$AD$5</f>
        <v>26725.903400565854</v>
      </c>
      <c r="AQ137" s="179">
        <f t="shared" ref="AQ137:AQ154" ca="1" si="71">-2*LOG10(($AF$5/(3.7*$Z$5))+((2.51/AP137)*AQ137))</f>
        <v>6.4304202590664392</v>
      </c>
      <c r="AR137" s="179">
        <f t="shared" ref="AR137:AR154" ca="1" si="72">(1/AQ137)^2</f>
        <v>2.4183618646984283E-2</v>
      </c>
      <c r="AS137" s="170">
        <f t="shared" si="66"/>
        <v>27.6</v>
      </c>
      <c r="AT137" s="176">
        <f t="shared" si="67"/>
        <v>3.3</v>
      </c>
      <c r="AU137" s="173">
        <f t="shared" ref="AU137:AU154" ca="1" si="73">IF(SIGN(AN137)=-1,-1*(((AN137^2)/(2*9.81*($AA$5^2)))*((AT137)+(AR137*(AS137/$Z$5)))),1*(((AN137^2)/(2*9.81*($AA$5^2)))*((AS137)+(AR137*(AS137/$Z$5)))))</f>
        <v>0.33211412060387407</v>
      </c>
      <c r="AV137" s="229"/>
      <c r="AW137" s="173">
        <f t="shared" ca="1" si="68"/>
        <v>172.0294591266958</v>
      </c>
      <c r="AX137" s="229"/>
      <c r="AY137" s="307"/>
    </row>
    <row r="138" spans="6:51" x14ac:dyDescent="0.3">
      <c r="F138" s="26"/>
      <c r="G138" s="26"/>
      <c r="H138" s="26"/>
      <c r="I138" s="26"/>
      <c r="AI138" s="229"/>
      <c r="AJ138" s="102" t="s">
        <v>353</v>
      </c>
      <c r="AK138" s="102" t="s">
        <v>408</v>
      </c>
      <c r="AL138" s="23">
        <f ca="1">(AN118+AY118)</f>
        <v>-1.1774665288989746E-3</v>
      </c>
      <c r="AM138" s="23" t="s">
        <v>423</v>
      </c>
      <c r="AN138" s="23">
        <f t="shared" ca="1" si="69"/>
        <v>1.1774665288989746E-3</v>
      </c>
      <c r="AO138" s="173">
        <f t="shared" ca="1" si="65"/>
        <v>0.25819554618599744</v>
      </c>
      <c r="AP138" s="170">
        <f t="shared" ca="1" si="70"/>
        <v>16300.331913316488</v>
      </c>
      <c r="AQ138" s="179">
        <f t="shared" ca="1" si="71"/>
        <v>6.0557657321920191</v>
      </c>
      <c r="AR138" s="179">
        <f t="shared" ca="1" si="72"/>
        <v>2.7268538872362431E-2</v>
      </c>
      <c r="AS138" s="170">
        <f t="shared" si="66"/>
        <v>65</v>
      </c>
      <c r="AT138" s="176">
        <f t="shared" si="67"/>
        <v>6.6</v>
      </c>
      <c r="AU138" s="173">
        <f t="shared" ca="1" si="73"/>
        <v>0.29989221474457828</v>
      </c>
      <c r="AV138" s="229"/>
      <c r="AW138" s="173">
        <f t="shared" ca="1" si="68"/>
        <v>254.69277247736417</v>
      </c>
      <c r="AX138" s="229"/>
      <c r="AY138" s="307"/>
    </row>
    <row r="139" spans="6:51" x14ac:dyDescent="0.3">
      <c r="F139" s="26"/>
      <c r="G139" s="26"/>
      <c r="H139" s="26"/>
      <c r="I139" s="26"/>
      <c r="AI139" s="229"/>
      <c r="AJ139" s="102" t="s">
        <v>355</v>
      </c>
      <c r="AK139" s="102" t="s">
        <v>408</v>
      </c>
      <c r="AL139" s="23">
        <f ca="1">(AN127+AY127)</f>
        <v>-4.2586682042814746E-4</v>
      </c>
      <c r="AM139" s="23" t="s">
        <v>423</v>
      </c>
      <c r="AN139" s="23">
        <f t="shared" ca="1" si="69"/>
        <v>4.2586682042814746E-4</v>
      </c>
      <c r="AO139" s="173">
        <f t="shared" ca="1" si="65"/>
        <v>9.3384324398382804E-2</v>
      </c>
      <c r="AP139" s="170">
        <f t="shared" ca="1" si="70"/>
        <v>5895.5141003784329</v>
      </c>
      <c r="AQ139" s="179">
        <f t="shared" ca="1" si="71"/>
        <v>5.2923502629415857</v>
      </c>
      <c r="AR139" s="179">
        <f t="shared" ca="1" si="72"/>
        <v>3.5702846387578611E-2</v>
      </c>
      <c r="AS139" s="170">
        <f t="shared" si="66"/>
        <v>27.6</v>
      </c>
      <c r="AT139" s="176">
        <f t="shared" si="67"/>
        <v>3</v>
      </c>
      <c r="AU139" s="173">
        <f t="shared" ca="1" si="73"/>
        <v>1.8015412204179421E-2</v>
      </c>
      <c r="AV139" s="229"/>
      <c r="AW139" s="173">
        <f t="shared" ca="1" si="68"/>
        <v>42.302925093031504</v>
      </c>
      <c r="AX139" s="229"/>
      <c r="AY139" s="307"/>
    </row>
    <row r="140" spans="6:51" x14ac:dyDescent="0.3">
      <c r="F140" s="26"/>
      <c r="G140" s="26"/>
      <c r="H140" s="26"/>
      <c r="I140" s="26"/>
      <c r="AI140" s="317" t="s">
        <v>405</v>
      </c>
      <c r="AJ140" s="102" t="s">
        <v>353</v>
      </c>
      <c r="AK140" s="102" t="s">
        <v>111</v>
      </c>
      <c r="AL140" s="182">
        <f ca="1">(AN138+AY136)</f>
        <v>1.1770162676220262E-3</v>
      </c>
      <c r="AM140" s="182"/>
      <c r="AN140" s="182">
        <f t="shared" ca="1" si="69"/>
        <v>-1.1770162676220262E-3</v>
      </c>
      <c r="AO140" s="173">
        <f t="shared" ca="1" si="65"/>
        <v>0.25809681263096657</v>
      </c>
      <c r="AP140" s="170">
        <f t="shared" ca="1" si="70"/>
        <v>16294.098693023736</v>
      </c>
      <c r="AQ140" s="179">
        <f t="shared" ca="1" si="71"/>
        <v>6.0554766371900293</v>
      </c>
      <c r="AR140" s="179">
        <f t="shared" ca="1" si="72"/>
        <v>2.7271142593571544E-2</v>
      </c>
      <c r="AS140" s="170">
        <f t="shared" si="66"/>
        <v>65</v>
      </c>
      <c r="AT140" s="176">
        <f t="shared" si="67"/>
        <v>6.6</v>
      </c>
      <c r="AU140" s="173">
        <f t="shared" ca="1" si="73"/>
        <v>-0.10139034406911407</v>
      </c>
      <c r="AV140" s="266">
        <f ca="1">SUM(AU140:AU144)</f>
        <v>1.3190687219483826E-4</v>
      </c>
      <c r="AW140" s="173">
        <f t="shared" ca="1" si="68"/>
        <v>86.14183750744337</v>
      </c>
      <c r="AX140" s="266">
        <f ca="1">SUM(AW140:AW144)</f>
        <v>319.16219526653464</v>
      </c>
      <c r="AY140" s="307">
        <f ca="1">-(AV140/(2*AX140))</f>
        <v>-2.0664551464919254E-7</v>
      </c>
    </row>
    <row r="141" spans="6:51" x14ac:dyDescent="0.3">
      <c r="F141" s="26"/>
      <c r="G141" s="26"/>
      <c r="H141" s="26"/>
      <c r="I141" s="26"/>
      <c r="AI141" s="317"/>
      <c r="AJ141" s="102" t="s">
        <v>357</v>
      </c>
      <c r="AK141" s="102" t="s">
        <v>408</v>
      </c>
      <c r="AL141" s="23">
        <f ca="1">(AN119+AY118)</f>
        <v>6.6309886548083044E-4</v>
      </c>
      <c r="AM141" s="23"/>
      <c r="AN141" s="23">
        <f t="shared" ca="1" si="69"/>
        <v>6.6309886548083044E-4</v>
      </c>
      <c r="AO141" s="173">
        <f t="shared" ca="1" si="65"/>
        <v>0.14540470539594236</v>
      </c>
      <c r="AP141" s="170">
        <f t="shared" ca="1" si="70"/>
        <v>9179.6508294704272</v>
      </c>
      <c r="AQ141" s="179">
        <f t="shared" ca="1" si="71"/>
        <v>5.6233191589250833</v>
      </c>
      <c r="AR141" s="179">
        <f t="shared" ca="1" si="72"/>
        <v>3.1623834875648224E-2</v>
      </c>
      <c r="AS141" s="170">
        <f t="shared" si="66"/>
        <v>19.399999999999999</v>
      </c>
      <c r="AT141" s="176">
        <f t="shared" si="67"/>
        <v>3</v>
      </c>
      <c r="AU141" s="173">
        <f t="shared" ca="1" si="73"/>
        <v>2.9581449525607872E-2</v>
      </c>
      <c r="AV141" s="266"/>
      <c r="AW141" s="173">
        <f t="shared" ca="1" si="68"/>
        <v>44.610918620947402</v>
      </c>
      <c r="AX141" s="266"/>
      <c r="AY141" s="307"/>
    </row>
    <row r="142" spans="6:51" x14ac:dyDescent="0.3">
      <c r="F142" s="26"/>
      <c r="G142" s="26"/>
      <c r="H142" s="26"/>
      <c r="I142" s="26"/>
      <c r="AI142" s="317"/>
      <c r="AJ142" s="102" t="s">
        <v>352</v>
      </c>
      <c r="AK142" s="102" t="s">
        <v>408</v>
      </c>
      <c r="AL142" s="23">
        <f ca="1">(AN126+AY123)</f>
        <v>-4.9947438315345349E-4</v>
      </c>
      <c r="AM142" s="23" t="s">
        <v>423</v>
      </c>
      <c r="AN142" s="23">
        <f t="shared" ca="1" si="69"/>
        <v>4.9947438315345349E-4</v>
      </c>
      <c r="AO142" s="173">
        <f t="shared" ca="1" si="65"/>
        <v>0.10952503362011481</v>
      </c>
      <c r="AP142" s="170">
        <f t="shared" ca="1" si="70"/>
        <v>6914.5050222475129</v>
      </c>
      <c r="AQ142" s="179">
        <f t="shared" ca="1" si="71"/>
        <v>5.4112329180526935</v>
      </c>
      <c r="AR142" s="179">
        <f t="shared" ca="1" si="72"/>
        <v>3.4151323916022075E-2</v>
      </c>
      <c r="AS142" s="170">
        <f t="shared" si="66"/>
        <v>15.21</v>
      </c>
      <c r="AT142" s="176">
        <f t="shared" si="67"/>
        <v>2.4</v>
      </c>
      <c r="AU142" s="173">
        <f t="shared" ca="1" si="73"/>
        <v>1.3467270330845965E-2</v>
      </c>
      <c r="AV142" s="266"/>
      <c r="AW142" s="173">
        <f t="shared" ca="1" si="68"/>
        <v>26.962884954819426</v>
      </c>
      <c r="AX142" s="266"/>
      <c r="AY142" s="307"/>
    </row>
    <row r="143" spans="6:51" x14ac:dyDescent="0.3">
      <c r="F143" s="26"/>
      <c r="G143" s="26"/>
      <c r="H143" s="26"/>
      <c r="I143" s="26"/>
      <c r="AI143" s="317"/>
      <c r="AJ143" s="102" t="s">
        <v>359</v>
      </c>
      <c r="AK143" s="102" t="s">
        <v>408</v>
      </c>
      <c r="AL143" s="23">
        <f ca="1">(AN121+AY118)</f>
        <v>5.8309886548083044E-4</v>
      </c>
      <c r="AM143" s="23"/>
      <c r="AN143" s="23">
        <f t="shared" ca="1" si="69"/>
        <v>5.8309886548083044E-4</v>
      </c>
      <c r="AO143" s="173">
        <f t="shared" ca="1" si="65"/>
        <v>0.12786225880580918</v>
      </c>
      <c r="AP143" s="170">
        <f t="shared" ca="1" si="70"/>
        <v>8072.1658003336024</v>
      </c>
      <c r="AQ143" s="179">
        <f t="shared" ca="1" si="71"/>
        <v>5.526973217707229</v>
      </c>
      <c r="AR143" s="179">
        <f t="shared" ca="1" si="72"/>
        <v>3.2735974956103593E-2</v>
      </c>
      <c r="AS143" s="170">
        <f t="shared" si="66"/>
        <v>65</v>
      </c>
      <c r="AT143" s="176">
        <f t="shared" si="67"/>
        <v>3.3</v>
      </c>
      <c r="AU143" s="173">
        <f t="shared" ca="1" si="73"/>
        <v>7.7431104040625379E-2</v>
      </c>
      <c r="AV143" s="266"/>
      <c r="AW143" s="173">
        <f t="shared" ca="1" si="68"/>
        <v>132.79241072913896</v>
      </c>
      <c r="AX143" s="266"/>
      <c r="AY143" s="307"/>
    </row>
    <row r="144" spans="6:51" x14ac:dyDescent="0.3">
      <c r="F144" s="26"/>
      <c r="G144" s="26"/>
      <c r="H144" s="26"/>
      <c r="I144" s="26"/>
      <c r="AI144" s="317"/>
      <c r="AJ144" s="102" t="s">
        <v>356</v>
      </c>
      <c r="AK144" s="102" t="s">
        <v>111</v>
      </c>
      <c r="AL144" s="23">
        <f ca="1">(AN128+AY127)</f>
        <v>6.6159970847082749E-4</v>
      </c>
      <c r="AM144" s="23"/>
      <c r="AN144" s="23">
        <f t="shared" ca="1" si="69"/>
        <v>-6.6159970847082749E-4</v>
      </c>
      <c r="AO144" s="173">
        <f t="shared" ca="1" si="65"/>
        <v>0.14507596937371486</v>
      </c>
      <c r="AP144" s="170">
        <f t="shared" ca="1" si="70"/>
        <v>9158.8971551591294</v>
      </c>
      <c r="AQ144" s="179">
        <f t="shared" ca="1" si="71"/>
        <v>5.6216213542910056</v>
      </c>
      <c r="AR144" s="179">
        <f t="shared" ca="1" si="72"/>
        <v>3.1642939400029393E-2</v>
      </c>
      <c r="AS144" s="170">
        <f t="shared" si="66"/>
        <v>34.61</v>
      </c>
      <c r="AT144" s="176">
        <f t="shared" si="67"/>
        <v>3.3</v>
      </c>
      <c r="AU144" s="173">
        <f t="shared" ca="1" si="73"/>
        <v>-1.8957572955770361E-2</v>
      </c>
      <c r="AV144" s="266"/>
      <c r="AW144" s="173">
        <f t="shared" ca="1" si="68"/>
        <v>28.654143454185448</v>
      </c>
      <c r="AX144" s="266"/>
      <c r="AY144" s="307"/>
    </row>
    <row r="145" spans="6:51" x14ac:dyDescent="0.3">
      <c r="F145" s="26"/>
      <c r="G145" s="26"/>
      <c r="H145" s="26"/>
      <c r="I145" s="26"/>
      <c r="AI145" s="317" t="s">
        <v>406</v>
      </c>
      <c r="AJ145" s="102" t="s">
        <v>358</v>
      </c>
      <c r="AK145" s="102" t="s">
        <v>408</v>
      </c>
      <c r="AL145" s="23">
        <f ca="1">(AN123+AY123)</f>
        <v>1.5362448232737681E-4</v>
      </c>
      <c r="AM145" s="23"/>
      <c r="AN145" s="23">
        <f t="shared" ca="1" si="69"/>
        <v>1.5362448232737681E-4</v>
      </c>
      <c r="AO145" s="173">
        <f t="shared" ca="1" si="65"/>
        <v>3.3686865952060871E-2</v>
      </c>
      <c r="AP145" s="170">
        <f t="shared" ca="1" si="70"/>
        <v>2126.7101785808104</v>
      </c>
      <c r="AQ145" s="179">
        <f t="shared" ca="1" si="71"/>
        <v>4.5409196975914892</v>
      </c>
      <c r="AR145" s="179">
        <f t="shared" ca="1" si="72"/>
        <v>4.8496718835730465E-2</v>
      </c>
      <c r="AS145" s="170">
        <f t="shared" si="66"/>
        <v>27.9</v>
      </c>
      <c r="AT145" s="176">
        <f t="shared" si="67"/>
        <v>2.1</v>
      </c>
      <c r="AU145" s="173">
        <f t="shared" ca="1" si="73"/>
        <v>2.6407450333714162E-3</v>
      </c>
      <c r="AV145" s="266">
        <f ca="1">SUM(AU145:AU148)</f>
        <v>7.2113331582180501E-6</v>
      </c>
      <c r="AW145" s="173">
        <f t="shared" ca="1" si="68"/>
        <v>17.189610623025153</v>
      </c>
      <c r="AX145" s="266">
        <f ca="1">SUM(AW145:AW148)</f>
        <v>50.440657342068988</v>
      </c>
      <c r="AY145" s="307">
        <f ca="1">-(AV145/(2*AX145))</f>
        <v>-7.1483338423938284E-8</v>
      </c>
    </row>
    <row r="146" spans="6:51" x14ac:dyDescent="0.3">
      <c r="F146" s="26"/>
      <c r="G146" s="26"/>
      <c r="H146" s="26"/>
      <c r="I146" s="26"/>
      <c r="AI146" s="317"/>
      <c r="AJ146" s="102" t="s">
        <v>350</v>
      </c>
      <c r="AK146" s="102" t="s">
        <v>408</v>
      </c>
      <c r="AL146" s="23">
        <f ca="1">(AN124+AY123)</f>
        <v>1.5362448232737681E-4</v>
      </c>
      <c r="AM146" s="23"/>
      <c r="AN146" s="23">
        <f t="shared" ca="1" si="69"/>
        <v>1.5362448232737681E-4</v>
      </c>
      <c r="AO146" s="173">
        <f t="shared" ca="1" si="65"/>
        <v>3.3686865952060871E-2</v>
      </c>
      <c r="AP146" s="170">
        <f t="shared" ca="1" si="70"/>
        <v>2126.7101785808104</v>
      </c>
      <c r="AQ146" s="179">
        <f t="shared" ca="1" si="71"/>
        <v>4.5409196975914892</v>
      </c>
      <c r="AR146" s="179">
        <f t="shared" ca="1" si="72"/>
        <v>4.8496718835730465E-2</v>
      </c>
      <c r="AS146" s="170">
        <f t="shared" si="66"/>
        <v>15.21</v>
      </c>
      <c r="AT146" s="176">
        <f t="shared" si="67"/>
        <v>1.5</v>
      </c>
      <c r="AU146" s="173">
        <f t="shared" ca="1" si="73"/>
        <v>1.4396319698057078E-3</v>
      </c>
      <c r="AV146" s="266"/>
      <c r="AW146" s="173">
        <f t="shared" ca="1" si="68"/>
        <v>9.3711103073911328</v>
      </c>
      <c r="AX146" s="266"/>
      <c r="AY146" s="307"/>
    </row>
    <row r="147" spans="6:51" x14ac:dyDescent="0.3">
      <c r="F147" s="26"/>
      <c r="G147" s="26"/>
      <c r="H147" s="26"/>
      <c r="I147" s="26"/>
      <c r="AI147" s="317"/>
      <c r="AJ147" s="102" t="s">
        <v>351</v>
      </c>
      <c r="AK147" s="102" t="s">
        <v>408</v>
      </c>
      <c r="AL147" s="23">
        <f ca="1">(AN125+AY123)</f>
        <v>1.2362448232737684E-4</v>
      </c>
      <c r="AM147" s="23"/>
      <c r="AN147" s="23">
        <f t="shared" ca="1" si="69"/>
        <v>1.2362448232737684E-4</v>
      </c>
      <c r="AO147" s="173">
        <f t="shared" ca="1" si="65"/>
        <v>2.7108448480760931E-2</v>
      </c>
      <c r="AP147" s="170">
        <f t="shared" ca="1" si="70"/>
        <v>1711.4032926545008</v>
      </c>
      <c r="AQ147" s="179"/>
      <c r="AR147" s="179">
        <f ca="1">64/AP147</f>
        <v>3.7396211795719829E-2</v>
      </c>
      <c r="AS147" s="170">
        <f t="shared" si="66"/>
        <v>27.9</v>
      </c>
      <c r="AT147" s="176">
        <f t="shared" si="67"/>
        <v>1.5</v>
      </c>
      <c r="AU147" s="173">
        <f t="shared" ca="1" si="73"/>
        <v>1.5578419756288675E-3</v>
      </c>
      <c r="AV147" s="266"/>
      <c r="AW147" s="173">
        <f t="shared" ca="1" si="68"/>
        <v>12.601403429973198</v>
      </c>
      <c r="AX147" s="266"/>
      <c r="AY147" s="307"/>
    </row>
    <row r="148" spans="6:51" x14ac:dyDescent="0.3">
      <c r="F148" s="26"/>
      <c r="G148" s="26"/>
      <c r="H148" s="26"/>
      <c r="I148" s="26"/>
      <c r="AI148" s="317"/>
      <c r="AJ148" s="102" t="s">
        <v>352</v>
      </c>
      <c r="AK148" s="102" t="s">
        <v>111</v>
      </c>
      <c r="AL148" s="182">
        <f ca="1">(AN142+AY140)</f>
        <v>4.9926773763880427E-4</v>
      </c>
      <c r="AM148" s="182"/>
      <c r="AN148" s="182">
        <f t="shared" ca="1" si="69"/>
        <v>-4.9926773763880427E-4</v>
      </c>
      <c r="AO148" s="173">
        <f t="shared" ca="1" si="65"/>
        <v>0.10947972027131701</v>
      </c>
      <c r="AP148" s="170">
        <f t="shared" ca="1" si="70"/>
        <v>6911.644312074859</v>
      </c>
      <c r="AQ148" s="179">
        <f t="shared" ca="1" si="71"/>
        <v>5.4109239227367656</v>
      </c>
      <c r="AR148" s="179">
        <f t="shared" ca="1" si="72"/>
        <v>3.4155224506967702E-2</v>
      </c>
      <c r="AS148" s="170">
        <f t="shared" si="66"/>
        <v>15.21</v>
      </c>
      <c r="AT148" s="176">
        <f t="shared" si="67"/>
        <v>2.4</v>
      </c>
      <c r="AU148" s="173">
        <f t="shared" ca="1" si="73"/>
        <v>-5.6310076456477639E-3</v>
      </c>
      <c r="AV148" s="266"/>
      <c r="AW148" s="173">
        <f t="shared" ca="1" si="68"/>
        <v>11.278532981679504</v>
      </c>
      <c r="AX148" s="266"/>
      <c r="AY148" s="307"/>
    </row>
    <row r="149" spans="6:51" x14ac:dyDescent="0.3">
      <c r="F149" s="26"/>
      <c r="G149" s="26"/>
      <c r="H149" s="26"/>
      <c r="I149" s="26"/>
      <c r="AI149" s="317" t="s">
        <v>407</v>
      </c>
      <c r="AJ149" s="102" t="s">
        <v>355</v>
      </c>
      <c r="AK149" s="102" t="s">
        <v>111</v>
      </c>
      <c r="AL149" s="182">
        <f ca="1">(AN139+AY136)</f>
        <v>4.254165591511991E-4</v>
      </c>
      <c r="AM149" s="182"/>
      <c r="AN149" s="182">
        <f t="shared" ca="1" si="69"/>
        <v>-4.254165591511991E-4</v>
      </c>
      <c r="AO149" s="173">
        <f t="shared" ca="1" si="65"/>
        <v>9.3285590843351918E-2</v>
      </c>
      <c r="AP149" s="170">
        <f t="shared" ca="1" si="70"/>
        <v>5889.2808800856792</v>
      </c>
      <c r="AQ149" s="179">
        <f t="shared" ca="1" si="71"/>
        <v>5.2915625784416225</v>
      </c>
      <c r="AR149" s="179">
        <f t="shared" ca="1" si="72"/>
        <v>3.5713476393896847E-2</v>
      </c>
      <c r="AS149" s="170">
        <f t="shared" si="66"/>
        <v>27.6</v>
      </c>
      <c r="AT149" s="176">
        <f t="shared" si="67"/>
        <v>3</v>
      </c>
      <c r="AU149" s="173">
        <f t="shared" ca="1" si="73"/>
        <v>-7.0680282089576763E-3</v>
      </c>
      <c r="AV149" s="266">
        <f ca="1">SUM(AU149:AU154)</f>
        <v>5.6115157998415377E-5</v>
      </c>
      <c r="AW149" s="173">
        <f t="shared" ca="1" si="68"/>
        <v>16.614370214126051</v>
      </c>
      <c r="AX149" s="266">
        <f ca="1">SUM(AW149:AW154)</f>
        <v>617.33074296492782</v>
      </c>
      <c r="AY149" s="307">
        <f ca="1">-(AV149/(2*AX149))</f>
        <v>-4.5449832717632392E-8</v>
      </c>
    </row>
    <row r="150" spans="6:51" x14ac:dyDescent="0.3">
      <c r="F150" s="26"/>
      <c r="G150" s="26"/>
      <c r="H150" s="26"/>
      <c r="I150" s="26"/>
      <c r="AI150" s="317"/>
      <c r="AJ150" s="102" t="s">
        <v>356</v>
      </c>
      <c r="AK150" s="102" t="s">
        <v>408</v>
      </c>
      <c r="AL150" s="182">
        <f ca="1">(AN144+AY140)</f>
        <v>-6.618063539854767E-4</v>
      </c>
      <c r="AM150" s="182" t="s">
        <v>423</v>
      </c>
      <c r="AN150" s="182">
        <f t="shared" ca="1" si="69"/>
        <v>6.618063539854767E-4</v>
      </c>
      <c r="AO150" s="173">
        <f t="shared" ca="1" si="65"/>
        <v>0.14512128272251268</v>
      </c>
      <c r="AP150" s="170">
        <f t="shared" ca="1" si="70"/>
        <v>9161.7578653317851</v>
      </c>
      <c r="AQ150" s="179">
        <f t="shared" ca="1" si="71"/>
        <v>5.6218556066101621</v>
      </c>
      <c r="AR150" s="179">
        <f t="shared" ca="1" si="72"/>
        <v>3.1640302449518071E-2</v>
      </c>
      <c r="AS150" s="170">
        <f t="shared" si="66"/>
        <v>34.61</v>
      </c>
      <c r="AT150" s="176">
        <f t="shared" si="67"/>
        <v>3.3</v>
      </c>
      <c r="AU150" s="173">
        <f t="shared" ca="1" si="73"/>
        <v>5.2576411277562018E-2</v>
      </c>
      <c r="AV150" s="266"/>
      <c r="AW150" s="173">
        <f t="shared" ca="1" si="68"/>
        <v>79.443799475391259</v>
      </c>
      <c r="AX150" s="266"/>
      <c r="AY150" s="307"/>
    </row>
    <row r="151" spans="6:51" x14ac:dyDescent="0.3">
      <c r="F151" s="26"/>
      <c r="G151" s="26"/>
      <c r="H151" s="26"/>
      <c r="I151" s="26"/>
      <c r="AI151" s="317"/>
      <c r="AJ151" s="102" t="s">
        <v>360</v>
      </c>
      <c r="AK151" s="102" t="s">
        <v>408</v>
      </c>
      <c r="AL151" s="23">
        <f ca="1">(AN129+AY127)</f>
        <v>1.1946985739516578E-3</v>
      </c>
      <c r="AM151" s="23"/>
      <c r="AN151" s="23">
        <f t="shared" ca="1" si="69"/>
        <v>1.1946985739516578E-3</v>
      </c>
      <c r="AO151" s="173">
        <f t="shared" ca="1" si="65"/>
        <v>0.26197419906069075</v>
      </c>
      <c r="AP151" s="170">
        <f t="shared" ca="1" si="70"/>
        <v>16538.884812282213</v>
      </c>
      <c r="AQ151" s="179">
        <f t="shared" ca="1" si="71"/>
        <v>6.0667483864154521</v>
      </c>
      <c r="AR151" s="179">
        <f t="shared" ca="1" si="72"/>
        <v>2.7169899588547045E-2</v>
      </c>
      <c r="AS151" s="170">
        <f t="shared" si="66"/>
        <v>37.6</v>
      </c>
      <c r="AT151" s="176">
        <f t="shared" si="67"/>
        <v>2.7</v>
      </c>
      <c r="AU151" s="173">
        <f t="shared" ca="1" si="73"/>
        <v>0.17842060491401698</v>
      </c>
      <c r="AV151" s="266"/>
      <c r="AW151" s="173">
        <f t="shared" ca="1" si="68"/>
        <v>149.34361587447293</v>
      </c>
      <c r="AX151" s="266"/>
      <c r="AY151" s="307"/>
    </row>
    <row r="152" spans="6:51" x14ac:dyDescent="0.3">
      <c r="F152" s="26"/>
      <c r="G152" s="26"/>
      <c r="H152" s="26"/>
      <c r="I152" s="26"/>
      <c r="AI152" s="317"/>
      <c r="AJ152" s="102" t="s">
        <v>361</v>
      </c>
      <c r="AK152" s="102" t="s">
        <v>408</v>
      </c>
      <c r="AL152" s="23">
        <f ca="1">(AN130+AY127)</f>
        <v>1.174698573951658E-3</v>
      </c>
      <c r="AM152" s="23"/>
      <c r="AN152" s="23">
        <f t="shared" ca="1" si="69"/>
        <v>1.174698573951658E-3</v>
      </c>
      <c r="AO152" s="173">
        <f t="shared" ca="1" si="65"/>
        <v>0.25758858741315749</v>
      </c>
      <c r="AP152" s="170">
        <f t="shared" ca="1" si="70"/>
        <v>16262.01355499801</v>
      </c>
      <c r="AQ152" s="179">
        <f t="shared" ca="1" si="71"/>
        <v>6.0539868052814709</v>
      </c>
      <c r="AR152" s="179">
        <f t="shared" ca="1" si="72"/>
        <v>2.728456661281493E-2</v>
      </c>
      <c r="AS152" s="170">
        <f t="shared" si="66"/>
        <v>46.658000000000001</v>
      </c>
      <c r="AT152" s="176">
        <f t="shared" si="67"/>
        <v>2.4</v>
      </c>
      <c r="AU152" s="173">
        <f t="shared" ca="1" si="73"/>
        <v>0.21428953605258172</v>
      </c>
      <c r="AV152" s="266"/>
      <c r="AW152" s="173">
        <f t="shared" ca="1" si="68"/>
        <v>182.42087017413908</v>
      </c>
      <c r="AX152" s="266"/>
      <c r="AY152" s="307"/>
    </row>
    <row r="153" spans="6:51" x14ac:dyDescent="0.3">
      <c r="F153" s="26"/>
      <c r="G153" s="26"/>
      <c r="H153" s="26"/>
      <c r="I153" s="26"/>
      <c r="AI153" s="317"/>
      <c r="AJ153" s="102" t="s">
        <v>348</v>
      </c>
      <c r="AK153" s="102" t="s">
        <v>408</v>
      </c>
      <c r="AL153" s="23">
        <f ca="1">(AN131+AY127)</f>
        <v>1.1346985739516579E-3</v>
      </c>
      <c r="AM153" s="23"/>
      <c r="AN153" s="23">
        <f t="shared" ca="1" si="69"/>
        <v>1.1346985739516579E-3</v>
      </c>
      <c r="AO153" s="173">
        <f t="shared" ca="1" si="65"/>
        <v>0.24881736411809086</v>
      </c>
      <c r="AP153" s="170">
        <f t="shared" ca="1" si="70"/>
        <v>15708.271040429592</v>
      </c>
      <c r="AQ153" s="179">
        <f t="shared" ca="1" si="71"/>
        <v>6.0278061534049581</v>
      </c>
      <c r="AR153" s="179">
        <f t="shared" ca="1" si="72"/>
        <v>2.7522092172374543E-2</v>
      </c>
      <c r="AS153" s="170">
        <f t="shared" si="66"/>
        <v>15.552</v>
      </c>
      <c r="AT153" s="176">
        <f t="shared" si="67"/>
        <v>3.3</v>
      </c>
      <c r="AU153" s="173">
        <f t="shared" ca="1" si="73"/>
        <v>6.6798223342849586E-2</v>
      </c>
      <c r="AV153" s="266"/>
      <c r="AW153" s="173">
        <f t="shared" ca="1" si="68"/>
        <v>58.868694185646717</v>
      </c>
      <c r="AX153" s="266"/>
      <c r="AY153" s="307"/>
    </row>
    <row r="154" spans="6:51" x14ac:dyDescent="0.3">
      <c r="F154" s="26"/>
      <c r="G154" s="26"/>
      <c r="H154" s="26"/>
      <c r="I154" s="26"/>
      <c r="AI154" s="317"/>
      <c r="AJ154" s="102" t="s">
        <v>349</v>
      </c>
      <c r="AK154" s="102" t="s">
        <v>111</v>
      </c>
      <c r="AL154" s="23">
        <f ca="1">(AN132+AY127)</f>
        <v>-3.8653014260483418E-3</v>
      </c>
      <c r="AM154" s="23"/>
      <c r="AN154" s="23">
        <f t="shared" ca="1" si="69"/>
        <v>-3.8653014260483418E-3</v>
      </c>
      <c r="AO154" s="173">
        <f t="shared" ca="1" si="65"/>
        <v>0.84758554776523432</v>
      </c>
      <c r="AP154" s="170">
        <f t="shared" ca="1" si="70"/>
        <v>53509.543280622071</v>
      </c>
      <c r="AQ154" s="179">
        <f t="shared" ca="1" si="71"/>
        <v>6.9584468203642462</v>
      </c>
      <c r="AR154" s="179">
        <f t="shared" ca="1" si="72"/>
        <v>2.0652630495900649E-2</v>
      </c>
      <c r="AS154" s="170">
        <f t="shared" si="66"/>
        <v>37.6</v>
      </c>
      <c r="AT154" s="176">
        <f t="shared" si="67"/>
        <v>3.6</v>
      </c>
      <c r="AU154" s="173">
        <f t="shared" ca="1" si="73"/>
        <v>-0.50496063222005416</v>
      </c>
      <c r="AV154" s="266"/>
      <c r="AW154" s="173">
        <f t="shared" ca="1" si="68"/>
        <v>130.63939304115186</v>
      </c>
      <c r="AX154" s="266"/>
      <c r="AY154" s="307"/>
    </row>
    <row r="155" spans="6:51" x14ac:dyDescent="0.3">
      <c r="F155" s="26"/>
      <c r="G155" s="26"/>
      <c r="H155" s="26"/>
      <c r="I155" s="26"/>
    </row>
    <row r="156" spans="6:51" x14ac:dyDescent="0.3">
      <c r="F156" s="26"/>
      <c r="G156" s="26"/>
      <c r="H156" s="26"/>
      <c r="I156" s="26"/>
    </row>
    <row r="157" spans="6:51" x14ac:dyDescent="0.3">
      <c r="F157" s="26"/>
      <c r="G157" s="26"/>
      <c r="H157" s="26"/>
      <c r="I157" s="26"/>
    </row>
    <row r="158" spans="6:51" x14ac:dyDescent="0.3">
      <c r="F158" s="26"/>
      <c r="G158" s="26"/>
      <c r="H158" s="26"/>
      <c r="I158" s="26"/>
    </row>
    <row r="159" spans="6:51" x14ac:dyDescent="0.3">
      <c r="F159" s="26"/>
      <c r="G159" s="26"/>
      <c r="H159" s="26"/>
      <c r="I159" s="26"/>
    </row>
    <row r="160" spans="6:51" x14ac:dyDescent="0.3">
      <c r="F160" s="26"/>
      <c r="G160" s="26"/>
      <c r="H160" s="26"/>
      <c r="I160" s="26"/>
    </row>
    <row r="161" spans="6:9" x14ac:dyDescent="0.3">
      <c r="F161" s="26"/>
      <c r="G161" s="26"/>
      <c r="H161" s="26"/>
      <c r="I161" s="26"/>
    </row>
    <row r="162" spans="6:9" x14ac:dyDescent="0.3">
      <c r="F162" s="26"/>
      <c r="G162" s="26"/>
      <c r="H162" s="26"/>
      <c r="I162" s="26"/>
    </row>
    <row r="163" spans="6:9" x14ac:dyDescent="0.3">
      <c r="F163" s="26"/>
      <c r="G163" s="26"/>
      <c r="H163" s="26"/>
      <c r="I163" s="26"/>
    </row>
    <row r="164" spans="6:9" x14ac:dyDescent="0.3">
      <c r="F164" s="26"/>
      <c r="G164" s="26"/>
      <c r="H164" s="26"/>
      <c r="I164" s="26"/>
    </row>
    <row r="165" spans="6:9" x14ac:dyDescent="0.3">
      <c r="F165" s="26"/>
      <c r="G165" s="26"/>
      <c r="H165" s="26"/>
      <c r="I165" s="26"/>
    </row>
    <row r="166" spans="6:9" x14ac:dyDescent="0.3">
      <c r="F166" s="26"/>
      <c r="G166" s="26"/>
      <c r="H166" s="26"/>
      <c r="I166" s="26"/>
    </row>
    <row r="167" spans="6:9" x14ac:dyDescent="0.3">
      <c r="F167" s="26"/>
      <c r="G167" s="26"/>
      <c r="H167" s="26"/>
      <c r="I167" s="26"/>
    </row>
    <row r="168" spans="6:9" x14ac:dyDescent="0.3">
      <c r="F168" s="26"/>
      <c r="G168" s="26"/>
      <c r="H168" s="26"/>
      <c r="I168" s="26"/>
    </row>
    <row r="169" spans="6:9" x14ac:dyDescent="0.3">
      <c r="F169" s="26"/>
      <c r="G169" s="26"/>
      <c r="H169" s="26"/>
      <c r="I169" s="26"/>
    </row>
    <row r="170" spans="6:9" x14ac:dyDescent="0.3">
      <c r="F170" s="26"/>
      <c r="G170" s="26"/>
      <c r="H170" s="26"/>
      <c r="I170" s="26"/>
    </row>
    <row r="171" spans="6:9" x14ac:dyDescent="0.3">
      <c r="F171" s="26"/>
      <c r="G171" s="26"/>
      <c r="H171" s="26"/>
      <c r="I171" s="26"/>
    </row>
    <row r="172" spans="6:9" x14ac:dyDescent="0.3">
      <c r="F172" s="26"/>
      <c r="G172" s="26"/>
      <c r="H172" s="26"/>
      <c r="I172" s="26"/>
    </row>
    <row r="173" spans="6:9" x14ac:dyDescent="0.3">
      <c r="F173" s="26"/>
      <c r="G173" s="26"/>
      <c r="H173" s="26"/>
      <c r="I173" s="26"/>
    </row>
    <row r="174" spans="6:9" x14ac:dyDescent="0.3">
      <c r="F174" s="26"/>
      <c r="G174" s="26"/>
      <c r="H174" s="26"/>
      <c r="I174" s="26"/>
    </row>
    <row r="175" spans="6:9" x14ac:dyDescent="0.3">
      <c r="F175" s="26"/>
      <c r="G175" s="26"/>
      <c r="H175" s="26"/>
      <c r="I175" s="26"/>
    </row>
    <row r="176" spans="6:9" x14ac:dyDescent="0.3">
      <c r="F176" s="26"/>
      <c r="G176" s="26"/>
      <c r="H176" s="26"/>
      <c r="I176" s="26"/>
    </row>
    <row r="177" spans="6:9" x14ac:dyDescent="0.3">
      <c r="F177" s="26"/>
      <c r="G177" s="26"/>
      <c r="H177" s="26"/>
      <c r="I177" s="26"/>
    </row>
    <row r="178" spans="6:9" x14ac:dyDescent="0.3">
      <c r="F178" s="26"/>
      <c r="G178" s="26"/>
      <c r="H178" s="26"/>
      <c r="I178" s="26"/>
    </row>
    <row r="179" spans="6:9" x14ac:dyDescent="0.3">
      <c r="F179" s="26"/>
      <c r="G179" s="26"/>
      <c r="H179" s="26"/>
      <c r="I179" s="26"/>
    </row>
    <row r="180" spans="6:9" x14ac:dyDescent="0.3">
      <c r="F180" s="26"/>
      <c r="G180" s="26"/>
      <c r="H180" s="26"/>
      <c r="I180" s="26"/>
    </row>
    <row r="181" spans="6:9" x14ac:dyDescent="0.3">
      <c r="F181" s="26"/>
      <c r="G181" s="26"/>
      <c r="H181" s="26"/>
      <c r="I181" s="26"/>
    </row>
    <row r="182" spans="6:9" x14ac:dyDescent="0.3">
      <c r="F182" s="26"/>
      <c r="G182" s="26"/>
      <c r="H182" s="26"/>
      <c r="I182" s="26"/>
    </row>
    <row r="183" spans="6:9" x14ac:dyDescent="0.3">
      <c r="F183" s="26"/>
      <c r="G183" s="26"/>
      <c r="H183" s="26"/>
      <c r="I183" s="26"/>
    </row>
    <row r="184" spans="6:9" x14ac:dyDescent="0.3">
      <c r="F184" s="26"/>
      <c r="G184" s="26"/>
      <c r="H184" s="26"/>
      <c r="I184" s="26"/>
    </row>
    <row r="185" spans="6:9" x14ac:dyDescent="0.3">
      <c r="F185" s="26"/>
      <c r="G185" s="26"/>
      <c r="H185" s="26"/>
      <c r="I185" s="26"/>
    </row>
    <row r="186" spans="6:9" x14ac:dyDescent="0.3">
      <c r="F186" s="26"/>
      <c r="G186" s="26"/>
      <c r="H186" s="26"/>
      <c r="I186" s="26"/>
    </row>
    <row r="187" spans="6:9" x14ac:dyDescent="0.3">
      <c r="F187" s="26"/>
      <c r="G187" s="26"/>
      <c r="H187" s="26"/>
      <c r="I187" s="26"/>
    </row>
    <row r="188" spans="6:9" x14ac:dyDescent="0.3">
      <c r="F188" s="26"/>
      <c r="G188" s="26"/>
      <c r="H188" s="26"/>
      <c r="I188" s="26"/>
    </row>
    <row r="189" spans="6:9" x14ac:dyDescent="0.3">
      <c r="F189" s="26"/>
      <c r="G189" s="26"/>
      <c r="H189" s="26"/>
      <c r="I189" s="26"/>
    </row>
    <row r="190" spans="6:9" x14ac:dyDescent="0.3">
      <c r="F190" s="26"/>
      <c r="G190" s="26"/>
      <c r="H190" s="26"/>
      <c r="I190" s="26"/>
    </row>
    <row r="191" spans="6:9" x14ac:dyDescent="0.3">
      <c r="F191" s="26"/>
      <c r="G191" s="26"/>
      <c r="H191" s="26"/>
      <c r="I191" s="26"/>
    </row>
    <row r="192" spans="6:9" x14ac:dyDescent="0.3">
      <c r="F192" s="26"/>
      <c r="G192" s="26"/>
      <c r="H192" s="26"/>
      <c r="I192" s="26"/>
    </row>
    <row r="193" spans="6:9" x14ac:dyDescent="0.3">
      <c r="F193" s="26"/>
      <c r="G193" s="26"/>
      <c r="H193" s="26"/>
      <c r="I193" s="26"/>
    </row>
    <row r="194" spans="6:9" x14ac:dyDescent="0.3">
      <c r="F194" s="26"/>
      <c r="G194" s="26"/>
      <c r="H194" s="26"/>
      <c r="I194" s="26"/>
    </row>
    <row r="195" spans="6:9" x14ac:dyDescent="0.3">
      <c r="F195" s="26"/>
      <c r="G195" s="26"/>
      <c r="H195" s="26"/>
      <c r="I195" s="26"/>
    </row>
    <row r="196" spans="6:9" x14ac:dyDescent="0.3">
      <c r="F196" s="26"/>
      <c r="G196" s="26"/>
      <c r="H196" s="26"/>
      <c r="I196" s="26"/>
    </row>
    <row r="197" spans="6:9" x14ac:dyDescent="0.3">
      <c r="F197" s="26"/>
      <c r="G197" s="26"/>
      <c r="H197" s="26"/>
      <c r="I197" s="26"/>
    </row>
    <row r="198" spans="6:9" x14ac:dyDescent="0.3">
      <c r="F198" s="26"/>
      <c r="G198" s="26"/>
      <c r="H198" s="26"/>
      <c r="I198" s="26"/>
    </row>
    <row r="199" spans="6:9" x14ac:dyDescent="0.3">
      <c r="F199" s="26"/>
      <c r="G199" s="26"/>
      <c r="H199" s="26"/>
      <c r="I199" s="26"/>
    </row>
    <row r="200" spans="6:9" x14ac:dyDescent="0.3">
      <c r="F200" s="26"/>
      <c r="G200" s="26"/>
      <c r="H200" s="26"/>
      <c r="I200" s="26"/>
    </row>
    <row r="201" spans="6:9" x14ac:dyDescent="0.3">
      <c r="F201" s="26"/>
      <c r="G201" s="26"/>
      <c r="H201" s="26"/>
      <c r="I201" s="26"/>
    </row>
    <row r="202" spans="6:9" x14ac:dyDescent="0.3">
      <c r="F202" s="26"/>
      <c r="G202" s="26"/>
      <c r="H202" s="26"/>
      <c r="I202" s="26"/>
    </row>
    <row r="203" spans="6:9" x14ac:dyDescent="0.3">
      <c r="F203" s="26"/>
      <c r="G203" s="26"/>
      <c r="H203" s="26"/>
      <c r="I203" s="26"/>
    </row>
    <row r="204" spans="6:9" x14ac:dyDescent="0.3">
      <c r="F204" s="26"/>
      <c r="G204" s="26"/>
      <c r="H204" s="26"/>
      <c r="I204" s="26"/>
    </row>
    <row r="205" spans="6:9" x14ac:dyDescent="0.3">
      <c r="F205" s="26"/>
      <c r="G205" s="26"/>
      <c r="H205" s="26"/>
      <c r="I205" s="26"/>
    </row>
    <row r="206" spans="6:9" x14ac:dyDescent="0.3">
      <c r="F206" s="26"/>
      <c r="G206" s="26"/>
      <c r="H206" s="26"/>
      <c r="I206" s="26"/>
    </row>
    <row r="207" spans="6:9" x14ac:dyDescent="0.3">
      <c r="F207" s="26"/>
      <c r="G207" s="26"/>
      <c r="H207" s="26"/>
      <c r="I207" s="26"/>
    </row>
    <row r="208" spans="6:9" x14ac:dyDescent="0.3">
      <c r="F208" s="26"/>
      <c r="G208" s="26"/>
      <c r="H208" s="26"/>
      <c r="I208" s="26"/>
    </row>
    <row r="209" spans="6:9" x14ac:dyDescent="0.3">
      <c r="F209" s="26"/>
      <c r="G209" s="26"/>
      <c r="H209" s="26"/>
      <c r="I209" s="26"/>
    </row>
    <row r="210" spans="6:9" x14ac:dyDescent="0.3">
      <c r="F210" s="26"/>
      <c r="G210" s="26"/>
      <c r="H210" s="26"/>
      <c r="I210" s="26"/>
    </row>
    <row r="211" spans="6:9" x14ac:dyDescent="0.3">
      <c r="F211" s="26"/>
      <c r="G211" s="26"/>
      <c r="H211" s="26"/>
      <c r="I211" s="26"/>
    </row>
    <row r="212" spans="6:9" x14ac:dyDescent="0.3">
      <c r="F212" s="26"/>
      <c r="G212" s="26"/>
      <c r="H212" s="26"/>
      <c r="I212" s="26"/>
    </row>
    <row r="213" spans="6:9" x14ac:dyDescent="0.3">
      <c r="F213" s="26"/>
      <c r="G213" s="26"/>
      <c r="H213" s="26"/>
      <c r="I213" s="26"/>
    </row>
    <row r="214" spans="6:9" x14ac:dyDescent="0.3">
      <c r="F214" s="26"/>
      <c r="G214" s="26"/>
      <c r="H214" s="26"/>
      <c r="I214" s="26"/>
    </row>
    <row r="215" spans="6:9" x14ac:dyDescent="0.3">
      <c r="F215" s="26"/>
      <c r="G215" s="26"/>
      <c r="H215" s="26"/>
      <c r="I215" s="26"/>
    </row>
    <row r="216" spans="6:9" x14ac:dyDescent="0.3">
      <c r="F216" s="26"/>
      <c r="G216" s="26"/>
      <c r="H216" s="26"/>
      <c r="I216" s="26"/>
    </row>
    <row r="217" spans="6:9" x14ac:dyDescent="0.3">
      <c r="F217" s="26"/>
      <c r="G217" s="26"/>
      <c r="H217" s="26"/>
      <c r="I217" s="26"/>
    </row>
    <row r="218" spans="6:9" x14ac:dyDescent="0.3">
      <c r="F218" s="26"/>
      <c r="G218" s="26"/>
      <c r="H218" s="26"/>
      <c r="I218" s="26"/>
    </row>
    <row r="219" spans="6:9" x14ac:dyDescent="0.3">
      <c r="F219" s="26"/>
      <c r="G219" s="26"/>
      <c r="H219" s="26"/>
      <c r="I219" s="26"/>
    </row>
    <row r="220" spans="6:9" x14ac:dyDescent="0.3">
      <c r="F220" s="26"/>
      <c r="G220" s="26"/>
      <c r="H220" s="26"/>
      <c r="I220" s="26"/>
    </row>
    <row r="221" spans="6:9" x14ac:dyDescent="0.3">
      <c r="F221" s="26"/>
      <c r="G221" s="26"/>
      <c r="H221" s="26"/>
      <c r="I221" s="26"/>
    </row>
    <row r="222" spans="6:9" x14ac:dyDescent="0.3">
      <c r="F222" s="26"/>
      <c r="G222" s="26"/>
      <c r="H222" s="26"/>
      <c r="I222" s="26"/>
    </row>
    <row r="223" spans="6:9" x14ac:dyDescent="0.3">
      <c r="F223" s="26"/>
      <c r="G223" s="26"/>
      <c r="H223" s="26"/>
      <c r="I223" s="26"/>
    </row>
    <row r="224" spans="6:9" x14ac:dyDescent="0.3">
      <c r="F224" s="26"/>
      <c r="G224" s="26"/>
      <c r="H224" s="26"/>
      <c r="I224" s="26"/>
    </row>
    <row r="225" spans="6:9" x14ac:dyDescent="0.3">
      <c r="F225" s="26"/>
      <c r="G225" s="26"/>
      <c r="H225" s="26"/>
      <c r="I225" s="26"/>
    </row>
    <row r="226" spans="6:9" x14ac:dyDescent="0.3">
      <c r="F226" s="26"/>
      <c r="G226" s="26"/>
      <c r="H226" s="26"/>
      <c r="I226" s="26"/>
    </row>
    <row r="227" spans="6:9" x14ac:dyDescent="0.3">
      <c r="F227" s="26"/>
      <c r="G227" s="26"/>
      <c r="H227" s="26"/>
      <c r="I227" s="26"/>
    </row>
    <row r="228" spans="6:9" x14ac:dyDescent="0.3">
      <c r="F228" s="26"/>
      <c r="G228" s="26"/>
      <c r="H228" s="26"/>
      <c r="I228" s="26"/>
    </row>
    <row r="229" spans="6:9" x14ac:dyDescent="0.3">
      <c r="F229" s="26"/>
      <c r="G229" s="26"/>
      <c r="H229" s="26"/>
      <c r="I229" s="26"/>
    </row>
    <row r="230" spans="6:9" x14ac:dyDescent="0.3">
      <c r="F230" s="26"/>
      <c r="G230" s="26"/>
      <c r="H230" s="26"/>
      <c r="I230" s="26"/>
    </row>
    <row r="231" spans="6:9" x14ac:dyDescent="0.3">
      <c r="F231" s="26"/>
      <c r="G231" s="26"/>
      <c r="H231" s="26"/>
      <c r="I231" s="26"/>
    </row>
    <row r="232" spans="6:9" x14ac:dyDescent="0.3">
      <c r="F232" s="26"/>
      <c r="G232" s="26"/>
      <c r="H232" s="26"/>
      <c r="I232" s="26"/>
    </row>
    <row r="233" spans="6:9" x14ac:dyDescent="0.3">
      <c r="F233" s="26"/>
      <c r="G233" s="26"/>
      <c r="H233" s="26"/>
      <c r="I233" s="26"/>
    </row>
    <row r="234" spans="6:9" x14ac:dyDescent="0.3">
      <c r="F234" s="26"/>
      <c r="G234" s="26"/>
      <c r="H234" s="26"/>
      <c r="I234" s="26"/>
    </row>
    <row r="235" spans="6:9" x14ac:dyDescent="0.3">
      <c r="F235" s="26"/>
      <c r="G235" s="26"/>
      <c r="H235" s="26"/>
      <c r="I235" s="26"/>
    </row>
    <row r="236" spans="6:9" x14ac:dyDescent="0.3">
      <c r="F236" s="26"/>
      <c r="G236" s="26"/>
      <c r="H236" s="26"/>
      <c r="I236" s="26"/>
    </row>
    <row r="237" spans="6:9" x14ac:dyDescent="0.3">
      <c r="F237" s="26"/>
      <c r="G237" s="26"/>
      <c r="H237" s="26"/>
      <c r="I237" s="26"/>
    </row>
    <row r="238" spans="6:9" x14ac:dyDescent="0.3">
      <c r="F238" s="26"/>
      <c r="G238" s="26"/>
      <c r="H238" s="26"/>
      <c r="I238" s="26"/>
    </row>
    <row r="239" spans="6:9" x14ac:dyDescent="0.3">
      <c r="F239" s="26"/>
      <c r="G239" s="26"/>
      <c r="H239" s="26"/>
      <c r="I239" s="26"/>
    </row>
    <row r="240" spans="6:9" x14ac:dyDescent="0.3">
      <c r="F240" s="26"/>
      <c r="G240" s="26"/>
      <c r="H240" s="26"/>
      <c r="I240" s="26"/>
    </row>
    <row r="241" spans="6:9" x14ac:dyDescent="0.3">
      <c r="F241" s="26"/>
      <c r="G241" s="26"/>
      <c r="H241" s="26"/>
      <c r="I241" s="26"/>
    </row>
    <row r="242" spans="6:9" x14ac:dyDescent="0.3">
      <c r="F242" s="26"/>
      <c r="G242" s="26"/>
      <c r="H242" s="26"/>
      <c r="I242" s="26"/>
    </row>
    <row r="243" spans="6:9" x14ac:dyDescent="0.3">
      <c r="F243" s="26"/>
      <c r="G243" s="26"/>
      <c r="H243" s="26"/>
      <c r="I243" s="26"/>
    </row>
    <row r="244" spans="6:9" x14ac:dyDescent="0.3">
      <c r="F244" s="26"/>
      <c r="G244" s="26"/>
      <c r="H244" s="26"/>
      <c r="I244" s="26"/>
    </row>
    <row r="245" spans="6:9" x14ac:dyDescent="0.3">
      <c r="F245" s="26"/>
      <c r="G245" s="26"/>
      <c r="H245" s="26"/>
      <c r="I245" s="26"/>
    </row>
    <row r="246" spans="6:9" x14ac:dyDescent="0.3">
      <c r="F246" s="26"/>
      <c r="G246" s="26"/>
      <c r="H246" s="26"/>
      <c r="I246" s="26"/>
    </row>
    <row r="247" spans="6:9" x14ac:dyDescent="0.3">
      <c r="F247" s="26"/>
      <c r="G247" s="26"/>
      <c r="H247" s="26"/>
      <c r="I247" s="26"/>
    </row>
    <row r="248" spans="6:9" x14ac:dyDescent="0.3">
      <c r="F248" s="26"/>
      <c r="G248" s="26"/>
      <c r="H248" s="26"/>
      <c r="I248" s="26"/>
    </row>
    <row r="249" spans="6:9" x14ac:dyDescent="0.3">
      <c r="F249" s="26"/>
      <c r="G249" s="26"/>
      <c r="H249" s="26"/>
      <c r="I249" s="26"/>
    </row>
    <row r="250" spans="6:9" x14ac:dyDescent="0.3">
      <c r="F250" s="26"/>
      <c r="G250" s="26"/>
      <c r="H250" s="26"/>
      <c r="I250" s="26"/>
    </row>
    <row r="251" spans="6:9" x14ac:dyDescent="0.3">
      <c r="F251" s="26"/>
      <c r="G251" s="26"/>
      <c r="H251" s="26"/>
      <c r="I251" s="26"/>
    </row>
    <row r="252" spans="6:9" x14ac:dyDescent="0.3">
      <c r="F252" s="26"/>
      <c r="G252" s="26"/>
      <c r="H252" s="26"/>
      <c r="I252" s="26"/>
    </row>
    <row r="253" spans="6:9" x14ac:dyDescent="0.3">
      <c r="F253" s="26"/>
      <c r="G253" s="26"/>
      <c r="H253" s="26"/>
      <c r="I253" s="26"/>
    </row>
    <row r="254" spans="6:9" x14ac:dyDescent="0.3">
      <c r="F254" s="26"/>
      <c r="G254" s="26"/>
      <c r="H254" s="26"/>
      <c r="I254" s="26"/>
    </row>
    <row r="255" spans="6:9" x14ac:dyDescent="0.3">
      <c r="F255" s="26"/>
      <c r="G255" s="26"/>
      <c r="H255" s="26"/>
      <c r="I255" s="26"/>
    </row>
    <row r="256" spans="6:9" x14ac:dyDescent="0.3">
      <c r="F256" s="26"/>
      <c r="G256" s="26"/>
      <c r="H256" s="26"/>
      <c r="I256" s="26"/>
    </row>
    <row r="257" spans="6:9" x14ac:dyDescent="0.3">
      <c r="F257" s="26"/>
      <c r="G257" s="26"/>
      <c r="H257" s="26"/>
      <c r="I257" s="26"/>
    </row>
    <row r="258" spans="6:9" x14ac:dyDescent="0.3">
      <c r="F258" s="26"/>
      <c r="G258" s="26"/>
      <c r="H258" s="26"/>
      <c r="I258" s="26"/>
    </row>
    <row r="259" spans="6:9" x14ac:dyDescent="0.3">
      <c r="F259" s="26"/>
      <c r="G259" s="26"/>
      <c r="H259" s="26"/>
      <c r="I259" s="26"/>
    </row>
    <row r="260" spans="6:9" x14ac:dyDescent="0.3">
      <c r="F260" s="26"/>
      <c r="G260" s="26"/>
      <c r="H260" s="26"/>
      <c r="I260" s="26"/>
    </row>
    <row r="261" spans="6:9" x14ac:dyDescent="0.3">
      <c r="F261" s="26"/>
      <c r="G261" s="26"/>
      <c r="H261" s="26"/>
      <c r="I261" s="26"/>
    </row>
    <row r="262" spans="6:9" x14ac:dyDescent="0.3">
      <c r="F262" s="26"/>
      <c r="G262" s="26"/>
      <c r="H262" s="26"/>
      <c r="I262" s="26"/>
    </row>
    <row r="263" spans="6:9" x14ac:dyDescent="0.3">
      <c r="F263" s="26"/>
      <c r="G263" s="26"/>
      <c r="H263" s="26"/>
      <c r="I263" s="26"/>
    </row>
    <row r="264" spans="6:9" x14ac:dyDescent="0.3">
      <c r="F264" s="26"/>
      <c r="G264" s="26"/>
      <c r="H264" s="26"/>
      <c r="I264" s="26"/>
    </row>
    <row r="265" spans="6:9" x14ac:dyDescent="0.3">
      <c r="F265" s="26"/>
      <c r="G265" s="26"/>
      <c r="H265" s="26"/>
      <c r="I265" s="26"/>
    </row>
    <row r="266" spans="6:9" x14ac:dyDescent="0.3">
      <c r="F266" s="26"/>
      <c r="G266" s="26"/>
      <c r="H266" s="26"/>
      <c r="I266" s="26"/>
    </row>
    <row r="267" spans="6:9" x14ac:dyDescent="0.3">
      <c r="F267" s="26"/>
      <c r="G267" s="26"/>
      <c r="H267" s="26"/>
      <c r="I267" s="26"/>
    </row>
    <row r="268" spans="6:9" x14ac:dyDescent="0.3">
      <c r="F268" s="26"/>
      <c r="G268" s="26"/>
      <c r="H268" s="26"/>
      <c r="I268" s="26"/>
    </row>
    <row r="269" spans="6:9" x14ac:dyDescent="0.3">
      <c r="F269" s="26"/>
      <c r="G269" s="26"/>
      <c r="H269" s="26"/>
      <c r="I269" s="26"/>
    </row>
    <row r="270" spans="6:9" x14ac:dyDescent="0.3">
      <c r="F270" s="26"/>
      <c r="G270" s="26"/>
      <c r="H270" s="26"/>
      <c r="I270" s="26"/>
    </row>
    <row r="271" spans="6:9" x14ac:dyDescent="0.3">
      <c r="F271" s="26"/>
      <c r="G271" s="26"/>
      <c r="H271" s="26"/>
      <c r="I271" s="26"/>
    </row>
    <row r="272" spans="6:9" x14ac:dyDescent="0.3">
      <c r="F272" s="26"/>
      <c r="G272" s="26"/>
      <c r="H272" s="26"/>
      <c r="I272" s="26"/>
    </row>
    <row r="273" spans="6:9" x14ac:dyDescent="0.3">
      <c r="F273" s="26"/>
      <c r="G273" s="26"/>
      <c r="H273" s="26"/>
      <c r="I273" s="26"/>
    </row>
    <row r="274" spans="6:9" x14ac:dyDescent="0.3">
      <c r="F274" s="26"/>
      <c r="G274" s="26"/>
      <c r="H274" s="26"/>
      <c r="I274" s="26"/>
    </row>
    <row r="275" spans="6:9" x14ac:dyDescent="0.3">
      <c r="F275" s="26"/>
      <c r="G275" s="26"/>
      <c r="H275" s="26"/>
      <c r="I275" s="26"/>
    </row>
    <row r="276" spans="6:9" x14ac:dyDescent="0.3">
      <c r="F276" s="26"/>
      <c r="G276" s="26"/>
      <c r="H276" s="26"/>
      <c r="I276" s="26"/>
    </row>
    <row r="277" spans="6:9" x14ac:dyDescent="0.3">
      <c r="F277" s="26"/>
      <c r="G277" s="26"/>
      <c r="H277" s="26"/>
      <c r="I277" s="26"/>
    </row>
    <row r="278" spans="6:9" x14ac:dyDescent="0.3">
      <c r="F278" s="26"/>
      <c r="G278" s="26"/>
      <c r="H278" s="26"/>
      <c r="I278" s="26"/>
    </row>
    <row r="279" spans="6:9" x14ac:dyDescent="0.3">
      <c r="F279" s="26"/>
      <c r="G279" s="26"/>
      <c r="H279" s="26"/>
      <c r="I279" s="26"/>
    </row>
    <row r="280" spans="6:9" x14ac:dyDescent="0.3">
      <c r="F280" s="26"/>
      <c r="G280" s="26"/>
      <c r="H280" s="26"/>
      <c r="I280" s="26"/>
    </row>
    <row r="281" spans="6:9" x14ac:dyDescent="0.3">
      <c r="F281" s="26"/>
      <c r="G281" s="26"/>
      <c r="H281" s="26"/>
      <c r="I281" s="26"/>
    </row>
    <row r="282" spans="6:9" x14ac:dyDescent="0.3">
      <c r="F282" s="26"/>
      <c r="G282" s="26"/>
      <c r="H282" s="26"/>
      <c r="I282" s="26"/>
    </row>
    <row r="283" spans="6:9" x14ac:dyDescent="0.3">
      <c r="F283" s="26"/>
      <c r="G283" s="26"/>
      <c r="H283" s="26"/>
      <c r="I283" s="26"/>
    </row>
    <row r="284" spans="6:9" x14ac:dyDescent="0.3">
      <c r="F284" s="26"/>
      <c r="G284" s="26"/>
      <c r="H284" s="26"/>
      <c r="I284" s="26"/>
    </row>
    <row r="285" spans="6:9" x14ac:dyDescent="0.3">
      <c r="F285" s="26"/>
      <c r="G285" s="26"/>
      <c r="H285" s="26"/>
      <c r="I285" s="26"/>
    </row>
    <row r="286" spans="6:9" x14ac:dyDescent="0.3">
      <c r="F286" s="26"/>
      <c r="G286" s="26"/>
      <c r="H286" s="26"/>
      <c r="I286" s="26"/>
    </row>
    <row r="287" spans="6:9" x14ac:dyDescent="0.3">
      <c r="F287" s="26"/>
      <c r="G287" s="26"/>
      <c r="H287" s="26"/>
      <c r="I287" s="26"/>
    </row>
    <row r="288" spans="6:9" x14ac:dyDescent="0.3">
      <c r="F288" s="26"/>
      <c r="G288" s="26"/>
      <c r="H288" s="26"/>
      <c r="I288" s="26"/>
    </row>
    <row r="289" spans="6:9" x14ac:dyDescent="0.3">
      <c r="F289" s="26"/>
      <c r="G289" s="26"/>
      <c r="H289" s="26"/>
      <c r="I289" s="26"/>
    </row>
    <row r="290" spans="6:9" x14ac:dyDescent="0.3">
      <c r="F290" s="26"/>
      <c r="G290" s="26"/>
      <c r="H290" s="26"/>
      <c r="I290" s="26"/>
    </row>
    <row r="291" spans="6:9" x14ac:dyDescent="0.3">
      <c r="F291" s="26"/>
      <c r="G291" s="26"/>
      <c r="H291" s="26"/>
      <c r="I291" s="26"/>
    </row>
    <row r="292" spans="6:9" x14ac:dyDescent="0.3">
      <c r="F292" s="26"/>
      <c r="G292" s="26"/>
      <c r="H292" s="26"/>
      <c r="I292" s="26"/>
    </row>
    <row r="293" spans="6:9" x14ac:dyDescent="0.3">
      <c r="F293" s="26"/>
      <c r="G293" s="26"/>
      <c r="H293" s="26"/>
      <c r="I293" s="26"/>
    </row>
    <row r="294" spans="6:9" x14ac:dyDescent="0.3">
      <c r="F294" s="26"/>
      <c r="G294" s="26"/>
      <c r="H294" s="26"/>
      <c r="I294" s="26"/>
    </row>
    <row r="295" spans="6:9" x14ac:dyDescent="0.3">
      <c r="F295" s="26"/>
      <c r="G295" s="26"/>
      <c r="H295" s="26"/>
      <c r="I295" s="26"/>
    </row>
    <row r="296" spans="6:9" x14ac:dyDescent="0.3">
      <c r="F296" s="26"/>
      <c r="G296" s="26"/>
      <c r="H296" s="26"/>
      <c r="I296" s="26"/>
    </row>
    <row r="297" spans="6:9" x14ac:dyDescent="0.3">
      <c r="F297" s="26"/>
      <c r="G297" s="26"/>
      <c r="H297" s="26"/>
      <c r="I297" s="26"/>
    </row>
    <row r="298" spans="6:9" x14ac:dyDescent="0.3">
      <c r="F298" s="26"/>
      <c r="G298" s="26"/>
      <c r="H298" s="26"/>
      <c r="I298" s="26"/>
    </row>
    <row r="299" spans="6:9" x14ac:dyDescent="0.3">
      <c r="F299" s="26"/>
      <c r="G299" s="26"/>
      <c r="H299" s="26"/>
      <c r="I299" s="26"/>
    </row>
    <row r="300" spans="6:9" x14ac:dyDescent="0.3">
      <c r="F300" s="26"/>
      <c r="G300" s="26"/>
      <c r="H300" s="26"/>
      <c r="I300" s="26"/>
    </row>
    <row r="301" spans="6:9" x14ac:dyDescent="0.3">
      <c r="F301" s="26"/>
      <c r="G301" s="26"/>
      <c r="H301" s="26"/>
      <c r="I301" s="26"/>
    </row>
    <row r="302" spans="6:9" x14ac:dyDescent="0.3">
      <c r="F302" s="26"/>
      <c r="G302" s="26"/>
      <c r="H302" s="26"/>
      <c r="I302" s="26"/>
    </row>
    <row r="303" spans="6:9" x14ac:dyDescent="0.3">
      <c r="F303" s="26"/>
      <c r="G303" s="26"/>
      <c r="H303" s="26"/>
      <c r="I303" s="26"/>
    </row>
    <row r="304" spans="6:9" x14ac:dyDescent="0.3">
      <c r="F304" s="26"/>
      <c r="G304" s="26"/>
      <c r="H304" s="26"/>
      <c r="I304" s="26"/>
    </row>
    <row r="305" spans="6:9" x14ac:dyDescent="0.3">
      <c r="F305" s="26"/>
      <c r="G305" s="26"/>
      <c r="H305" s="26"/>
      <c r="I305" s="26"/>
    </row>
    <row r="306" spans="6:9" x14ac:dyDescent="0.3">
      <c r="F306" s="26"/>
      <c r="G306" s="26"/>
      <c r="H306" s="26"/>
      <c r="I306" s="26"/>
    </row>
    <row r="307" spans="6:9" x14ac:dyDescent="0.3">
      <c r="F307" s="26"/>
      <c r="G307" s="26"/>
      <c r="H307" s="26"/>
      <c r="I307" s="26"/>
    </row>
    <row r="308" spans="6:9" x14ac:dyDescent="0.3">
      <c r="F308" s="26"/>
      <c r="G308" s="26"/>
      <c r="H308" s="26"/>
      <c r="I308" s="26"/>
    </row>
    <row r="309" spans="6:9" x14ac:dyDescent="0.3">
      <c r="F309" s="26"/>
      <c r="G309" s="26"/>
      <c r="H309" s="26"/>
      <c r="I309" s="26"/>
    </row>
    <row r="310" spans="6:9" x14ac:dyDescent="0.3">
      <c r="F310" s="26"/>
      <c r="G310" s="26"/>
      <c r="H310" s="26"/>
      <c r="I310" s="26"/>
    </row>
    <row r="311" spans="6:9" x14ac:dyDescent="0.3">
      <c r="F311" s="26"/>
      <c r="G311" s="26"/>
      <c r="H311" s="26"/>
      <c r="I311" s="26"/>
    </row>
    <row r="312" spans="6:9" x14ac:dyDescent="0.3">
      <c r="F312" s="26"/>
      <c r="G312" s="26"/>
      <c r="H312" s="26"/>
      <c r="I312" s="26"/>
    </row>
    <row r="313" spans="6:9" x14ac:dyDescent="0.3">
      <c r="F313" s="26"/>
      <c r="G313" s="26"/>
      <c r="H313" s="26"/>
      <c r="I313" s="26"/>
    </row>
    <row r="314" spans="6:9" x14ac:dyDescent="0.3">
      <c r="F314" s="26"/>
      <c r="G314" s="26"/>
      <c r="H314" s="26"/>
      <c r="I314" s="26"/>
    </row>
    <row r="315" spans="6:9" x14ac:dyDescent="0.3">
      <c r="F315" s="26"/>
      <c r="G315" s="26"/>
      <c r="H315" s="26"/>
      <c r="I315" s="26"/>
    </row>
    <row r="316" spans="6:9" x14ac:dyDescent="0.3">
      <c r="F316" s="26"/>
      <c r="G316" s="26"/>
      <c r="H316" s="26"/>
      <c r="I316" s="26"/>
    </row>
    <row r="317" spans="6:9" x14ac:dyDescent="0.3">
      <c r="F317" s="26"/>
      <c r="G317" s="26"/>
      <c r="H317" s="26"/>
      <c r="I317" s="26"/>
    </row>
    <row r="318" spans="6:9" x14ac:dyDescent="0.3">
      <c r="F318" s="26"/>
      <c r="G318" s="26"/>
      <c r="H318" s="26"/>
      <c r="I318" s="26"/>
    </row>
    <row r="319" spans="6:9" x14ac:dyDescent="0.3">
      <c r="F319" s="26"/>
      <c r="G319" s="26"/>
      <c r="H319" s="26"/>
      <c r="I319" s="26"/>
    </row>
    <row r="320" spans="6:9" x14ac:dyDescent="0.3">
      <c r="F320" s="26"/>
      <c r="G320" s="26"/>
      <c r="H320" s="26"/>
      <c r="I320" s="26"/>
    </row>
    <row r="321" spans="6:9" x14ac:dyDescent="0.3">
      <c r="F321" s="26"/>
      <c r="G321" s="26"/>
      <c r="H321" s="26"/>
      <c r="I321" s="26"/>
    </row>
    <row r="322" spans="6:9" x14ac:dyDescent="0.3">
      <c r="F322" s="26"/>
      <c r="G322" s="26"/>
      <c r="H322" s="26"/>
      <c r="I322" s="26"/>
    </row>
    <row r="323" spans="6:9" x14ac:dyDescent="0.3">
      <c r="F323" s="26"/>
      <c r="G323" s="26"/>
      <c r="H323" s="26"/>
      <c r="I323" s="26"/>
    </row>
    <row r="324" spans="6:9" x14ac:dyDescent="0.3">
      <c r="F324" s="26"/>
      <c r="G324" s="26"/>
      <c r="H324" s="26"/>
      <c r="I324" s="26"/>
    </row>
    <row r="325" spans="6:9" x14ac:dyDescent="0.3">
      <c r="F325" s="26"/>
      <c r="G325" s="26"/>
      <c r="H325" s="26"/>
      <c r="I325" s="26"/>
    </row>
    <row r="326" spans="6:9" x14ac:dyDescent="0.3">
      <c r="F326" s="26"/>
      <c r="G326" s="26"/>
      <c r="H326" s="26"/>
      <c r="I326" s="26"/>
    </row>
    <row r="327" spans="6:9" x14ac:dyDescent="0.3">
      <c r="F327" s="26"/>
      <c r="G327" s="26"/>
      <c r="H327" s="26"/>
      <c r="I327" s="26"/>
    </row>
    <row r="328" spans="6:9" x14ac:dyDescent="0.3">
      <c r="F328" s="26"/>
      <c r="G328" s="26"/>
      <c r="H328" s="26"/>
      <c r="I328" s="26"/>
    </row>
    <row r="329" spans="6:9" x14ac:dyDescent="0.3">
      <c r="F329" s="26"/>
      <c r="G329" s="26"/>
      <c r="H329" s="26"/>
      <c r="I329" s="26"/>
    </row>
    <row r="330" spans="6:9" x14ac:dyDescent="0.3">
      <c r="F330" s="26"/>
      <c r="G330" s="26"/>
      <c r="H330" s="26"/>
      <c r="I330" s="26"/>
    </row>
    <row r="331" spans="6:9" x14ac:dyDescent="0.3">
      <c r="F331" s="26"/>
      <c r="G331" s="26"/>
      <c r="H331" s="26"/>
      <c r="I331" s="26"/>
    </row>
    <row r="332" spans="6:9" x14ac:dyDescent="0.3">
      <c r="F332" s="26"/>
      <c r="G332" s="26"/>
      <c r="H332" s="26"/>
      <c r="I332" s="26"/>
    </row>
    <row r="333" spans="6:9" x14ac:dyDescent="0.3">
      <c r="F333" s="26"/>
      <c r="G333" s="26"/>
      <c r="H333" s="26"/>
      <c r="I333" s="26"/>
    </row>
    <row r="334" spans="6:9" x14ac:dyDescent="0.3">
      <c r="F334" s="26"/>
      <c r="G334" s="26"/>
      <c r="H334" s="26"/>
      <c r="I334" s="26"/>
    </row>
    <row r="335" spans="6:9" x14ac:dyDescent="0.3">
      <c r="F335" s="26"/>
      <c r="G335" s="26"/>
      <c r="H335" s="26"/>
      <c r="I335" s="26"/>
    </row>
    <row r="336" spans="6:9" x14ac:dyDescent="0.3">
      <c r="F336" s="26"/>
      <c r="G336" s="26"/>
      <c r="H336" s="26"/>
      <c r="I336" s="26"/>
    </row>
    <row r="337" spans="6:9" x14ac:dyDescent="0.3">
      <c r="F337" s="26"/>
      <c r="G337" s="26"/>
      <c r="H337" s="26"/>
      <c r="I337" s="26"/>
    </row>
    <row r="338" spans="6:9" x14ac:dyDescent="0.3">
      <c r="F338" s="26"/>
      <c r="G338" s="26"/>
      <c r="H338" s="26"/>
      <c r="I338" s="26"/>
    </row>
    <row r="339" spans="6:9" x14ac:dyDescent="0.3">
      <c r="F339" s="26"/>
      <c r="G339" s="26"/>
      <c r="H339" s="26"/>
      <c r="I339" s="26"/>
    </row>
    <row r="340" spans="6:9" x14ac:dyDescent="0.3">
      <c r="F340" s="26"/>
      <c r="G340" s="26"/>
      <c r="H340" s="26"/>
      <c r="I340" s="26"/>
    </row>
    <row r="341" spans="6:9" x14ac:dyDescent="0.3">
      <c r="F341" s="26"/>
      <c r="G341" s="26"/>
      <c r="H341" s="26"/>
      <c r="I341" s="26"/>
    </row>
    <row r="342" spans="6:9" x14ac:dyDescent="0.3">
      <c r="F342" s="26"/>
      <c r="G342" s="26"/>
      <c r="H342" s="26"/>
      <c r="I342" s="26"/>
    </row>
    <row r="343" spans="6:9" x14ac:dyDescent="0.3">
      <c r="F343" s="26"/>
      <c r="G343" s="26"/>
      <c r="H343" s="26"/>
      <c r="I343" s="26"/>
    </row>
    <row r="344" spans="6:9" x14ac:dyDescent="0.3">
      <c r="F344" s="26"/>
      <c r="G344" s="26"/>
      <c r="H344" s="26"/>
      <c r="I344" s="26"/>
    </row>
    <row r="345" spans="6:9" x14ac:dyDescent="0.3">
      <c r="F345" s="26"/>
      <c r="G345" s="26"/>
      <c r="H345" s="26"/>
      <c r="I345" s="26"/>
    </row>
    <row r="346" spans="6:9" x14ac:dyDescent="0.3">
      <c r="F346" s="26"/>
      <c r="G346" s="26"/>
      <c r="H346" s="26"/>
      <c r="I346" s="26"/>
    </row>
    <row r="347" spans="6:9" x14ac:dyDescent="0.3">
      <c r="F347" s="26"/>
      <c r="G347" s="26"/>
      <c r="H347" s="26"/>
      <c r="I347" s="26"/>
    </row>
    <row r="348" spans="6:9" x14ac:dyDescent="0.3">
      <c r="F348" s="26"/>
      <c r="G348" s="26"/>
      <c r="H348" s="26"/>
      <c r="I348" s="26"/>
    </row>
    <row r="349" spans="6:9" x14ac:dyDescent="0.3">
      <c r="F349" s="26"/>
      <c r="G349" s="26"/>
      <c r="H349" s="26"/>
      <c r="I349" s="26"/>
    </row>
    <row r="350" spans="6:9" x14ac:dyDescent="0.3">
      <c r="F350" s="26"/>
      <c r="G350" s="26"/>
      <c r="H350" s="26"/>
      <c r="I350" s="26"/>
    </row>
    <row r="351" spans="6:9" x14ac:dyDescent="0.3">
      <c r="F351" s="26"/>
      <c r="G351" s="26"/>
      <c r="H351" s="26"/>
      <c r="I351" s="26"/>
    </row>
    <row r="352" spans="6:9" x14ac:dyDescent="0.3">
      <c r="F352" s="26"/>
      <c r="G352" s="26"/>
      <c r="H352" s="26"/>
      <c r="I352" s="26"/>
    </row>
    <row r="353" spans="6:9" x14ac:dyDescent="0.3">
      <c r="F353" s="26"/>
      <c r="G353" s="26"/>
      <c r="H353" s="26"/>
      <c r="I353" s="26"/>
    </row>
    <row r="354" spans="6:9" x14ac:dyDescent="0.3">
      <c r="F354" s="26"/>
      <c r="G354" s="26"/>
      <c r="H354" s="26"/>
      <c r="I354" s="26"/>
    </row>
    <row r="355" spans="6:9" x14ac:dyDescent="0.3">
      <c r="F355" s="26"/>
      <c r="G355" s="26"/>
      <c r="H355" s="26"/>
      <c r="I355" s="26"/>
    </row>
    <row r="356" spans="6:9" x14ac:dyDescent="0.3">
      <c r="F356" s="26"/>
      <c r="G356" s="26"/>
      <c r="H356" s="26"/>
      <c r="I356" s="26"/>
    </row>
    <row r="357" spans="6:9" x14ac:dyDescent="0.3">
      <c r="F357" s="26"/>
      <c r="G357" s="26"/>
      <c r="H357" s="26"/>
      <c r="I357" s="26"/>
    </row>
    <row r="358" spans="6:9" x14ac:dyDescent="0.3">
      <c r="F358" s="26"/>
      <c r="G358" s="26"/>
      <c r="H358" s="26"/>
      <c r="I358" s="26"/>
    </row>
    <row r="359" spans="6:9" x14ac:dyDescent="0.3">
      <c r="F359" s="26"/>
      <c r="G359" s="26"/>
      <c r="H359" s="26"/>
      <c r="I359" s="26"/>
    </row>
    <row r="360" spans="6:9" x14ac:dyDescent="0.3">
      <c r="F360" s="26"/>
      <c r="G360" s="26"/>
      <c r="H360" s="26"/>
      <c r="I360" s="26"/>
    </row>
    <row r="361" spans="6:9" x14ac:dyDescent="0.3">
      <c r="F361" s="26"/>
      <c r="G361" s="26"/>
      <c r="H361" s="26"/>
      <c r="I361" s="26"/>
    </row>
    <row r="362" spans="6:9" x14ac:dyDescent="0.3">
      <c r="F362" s="26"/>
      <c r="G362" s="26"/>
      <c r="H362" s="26"/>
      <c r="I362" s="26"/>
    </row>
    <row r="363" spans="6:9" x14ac:dyDescent="0.3">
      <c r="F363" s="26"/>
      <c r="G363" s="26"/>
      <c r="H363" s="26"/>
      <c r="I363" s="26"/>
    </row>
    <row r="364" spans="6:9" x14ac:dyDescent="0.3">
      <c r="F364" s="26"/>
      <c r="G364" s="26"/>
      <c r="H364" s="26"/>
      <c r="I364" s="26"/>
    </row>
    <row r="365" spans="6:9" x14ac:dyDescent="0.3">
      <c r="F365" s="26"/>
      <c r="G365" s="26"/>
      <c r="H365" s="26"/>
      <c r="I365" s="26"/>
    </row>
    <row r="366" spans="6:9" x14ac:dyDescent="0.3">
      <c r="F366" s="26"/>
      <c r="G366" s="26"/>
      <c r="H366" s="26"/>
      <c r="I366" s="26"/>
    </row>
    <row r="367" spans="6:9" x14ac:dyDescent="0.3">
      <c r="F367" s="26"/>
      <c r="G367" s="26"/>
      <c r="H367" s="26"/>
      <c r="I367" s="26"/>
    </row>
    <row r="368" spans="6:9" x14ac:dyDescent="0.3">
      <c r="F368" s="26"/>
      <c r="G368" s="26"/>
      <c r="H368" s="26"/>
      <c r="I368" s="26"/>
    </row>
    <row r="369" spans="6:9" x14ac:dyDescent="0.3">
      <c r="F369" s="26"/>
      <c r="G369" s="26"/>
      <c r="H369" s="26"/>
      <c r="I369" s="26"/>
    </row>
    <row r="370" spans="6:9" x14ac:dyDescent="0.3">
      <c r="F370" s="26"/>
      <c r="G370" s="26"/>
      <c r="H370" s="26"/>
      <c r="I370" s="26"/>
    </row>
    <row r="371" spans="6:9" x14ac:dyDescent="0.3">
      <c r="F371" s="26"/>
      <c r="G371" s="26"/>
      <c r="H371" s="26"/>
      <c r="I371" s="26"/>
    </row>
    <row r="372" spans="6:9" x14ac:dyDescent="0.3">
      <c r="F372" s="26"/>
      <c r="G372" s="26"/>
      <c r="H372" s="26"/>
      <c r="I372" s="26"/>
    </row>
    <row r="373" spans="6:9" x14ac:dyDescent="0.3">
      <c r="F373" s="26"/>
      <c r="G373" s="26"/>
      <c r="H373" s="26"/>
      <c r="I373" s="26"/>
    </row>
    <row r="374" spans="6:9" x14ac:dyDescent="0.3">
      <c r="F374" s="26"/>
      <c r="G374" s="26"/>
      <c r="H374" s="26"/>
      <c r="I374" s="26"/>
    </row>
    <row r="375" spans="6:9" x14ac:dyDescent="0.3">
      <c r="F375" s="26"/>
      <c r="G375" s="26"/>
      <c r="H375" s="26"/>
      <c r="I375" s="26"/>
    </row>
    <row r="376" spans="6:9" x14ac:dyDescent="0.3">
      <c r="F376" s="26"/>
      <c r="G376" s="26"/>
      <c r="H376" s="26"/>
      <c r="I376" s="26"/>
    </row>
    <row r="377" spans="6:9" x14ac:dyDescent="0.3">
      <c r="F377" s="26"/>
      <c r="G377" s="26"/>
      <c r="H377" s="26"/>
      <c r="I377" s="26"/>
    </row>
    <row r="378" spans="6:9" x14ac:dyDescent="0.3">
      <c r="F378" s="26"/>
      <c r="G378" s="26"/>
      <c r="H378" s="26"/>
      <c r="I378" s="26"/>
    </row>
    <row r="379" spans="6:9" x14ac:dyDescent="0.3">
      <c r="F379" s="26"/>
      <c r="G379" s="26"/>
      <c r="H379" s="26"/>
      <c r="I379" s="26"/>
    </row>
    <row r="380" spans="6:9" x14ac:dyDescent="0.3">
      <c r="F380" s="26"/>
      <c r="G380" s="26"/>
      <c r="H380" s="26"/>
      <c r="I380" s="26"/>
    </row>
    <row r="381" spans="6:9" x14ac:dyDescent="0.3">
      <c r="F381" s="26"/>
      <c r="G381" s="26"/>
      <c r="H381" s="26"/>
      <c r="I381" s="26"/>
    </row>
    <row r="382" spans="6:9" x14ac:dyDescent="0.3">
      <c r="F382" s="26"/>
      <c r="G382" s="26"/>
      <c r="H382" s="26"/>
      <c r="I382" s="26"/>
    </row>
    <row r="383" spans="6:9" x14ac:dyDescent="0.3">
      <c r="F383" s="26"/>
      <c r="G383" s="26"/>
      <c r="H383" s="26"/>
      <c r="I383" s="26"/>
    </row>
    <row r="384" spans="6:9" x14ac:dyDescent="0.3">
      <c r="F384" s="26"/>
      <c r="G384" s="26"/>
      <c r="H384" s="26"/>
      <c r="I384" s="26"/>
    </row>
    <row r="385" spans="6:9" x14ac:dyDescent="0.3">
      <c r="F385" s="26"/>
      <c r="G385" s="26"/>
      <c r="H385" s="26"/>
      <c r="I385" s="26"/>
    </row>
    <row r="386" spans="6:9" x14ac:dyDescent="0.3">
      <c r="F386" s="26"/>
      <c r="G386" s="26"/>
      <c r="H386" s="26"/>
      <c r="I386" s="26"/>
    </row>
    <row r="387" spans="6:9" x14ac:dyDescent="0.3">
      <c r="F387" s="26"/>
      <c r="G387" s="26"/>
      <c r="H387" s="26"/>
      <c r="I387" s="26"/>
    </row>
    <row r="388" spans="6:9" x14ac:dyDescent="0.3">
      <c r="F388" s="26"/>
      <c r="G388" s="26"/>
      <c r="H388" s="26"/>
      <c r="I388" s="26"/>
    </row>
    <row r="389" spans="6:9" x14ac:dyDescent="0.3">
      <c r="F389" s="26"/>
      <c r="G389" s="26"/>
      <c r="H389" s="26"/>
      <c r="I389" s="26"/>
    </row>
    <row r="390" spans="6:9" x14ac:dyDescent="0.3">
      <c r="F390" s="26"/>
      <c r="G390" s="26"/>
      <c r="H390" s="26"/>
      <c r="I390" s="26"/>
    </row>
    <row r="391" spans="6:9" x14ac:dyDescent="0.3">
      <c r="F391" s="26"/>
      <c r="G391" s="26"/>
      <c r="H391" s="26"/>
      <c r="I391" s="26"/>
    </row>
    <row r="392" spans="6:9" x14ac:dyDescent="0.3">
      <c r="F392" s="26"/>
      <c r="G392" s="26"/>
      <c r="H392" s="26"/>
      <c r="I392" s="26"/>
    </row>
    <row r="393" spans="6:9" x14ac:dyDescent="0.3">
      <c r="F393" s="26"/>
      <c r="G393" s="26"/>
      <c r="H393" s="26"/>
      <c r="I393" s="26"/>
    </row>
    <row r="394" spans="6:9" x14ac:dyDescent="0.3">
      <c r="F394" s="26"/>
      <c r="G394" s="26"/>
      <c r="H394" s="26"/>
      <c r="I394" s="26"/>
    </row>
    <row r="395" spans="6:9" x14ac:dyDescent="0.3">
      <c r="F395" s="26"/>
      <c r="G395" s="26"/>
      <c r="H395" s="26"/>
      <c r="I395" s="26"/>
    </row>
    <row r="396" spans="6:9" x14ac:dyDescent="0.3">
      <c r="F396" s="26"/>
      <c r="G396" s="26"/>
      <c r="H396" s="26"/>
      <c r="I396" s="26"/>
    </row>
    <row r="397" spans="6:9" x14ac:dyDescent="0.3">
      <c r="F397" s="26"/>
      <c r="G397" s="26"/>
      <c r="H397" s="26"/>
      <c r="I397" s="26"/>
    </row>
    <row r="398" spans="6:9" x14ac:dyDescent="0.3">
      <c r="F398" s="26"/>
      <c r="G398" s="26"/>
      <c r="H398" s="26"/>
      <c r="I398" s="26"/>
    </row>
    <row r="399" spans="6:9" x14ac:dyDescent="0.3">
      <c r="F399" s="26"/>
      <c r="G399" s="26"/>
      <c r="H399" s="26"/>
      <c r="I399" s="26"/>
    </row>
    <row r="400" spans="6:9" x14ac:dyDescent="0.3">
      <c r="F400" s="26"/>
      <c r="G400" s="26"/>
      <c r="H400" s="26"/>
      <c r="I400" s="26"/>
    </row>
    <row r="401" spans="6:9" x14ac:dyDescent="0.3">
      <c r="F401" s="26"/>
      <c r="G401" s="26"/>
      <c r="H401" s="26"/>
      <c r="I401" s="26"/>
    </row>
    <row r="402" spans="6:9" x14ac:dyDescent="0.3">
      <c r="F402" s="26"/>
      <c r="G402" s="26"/>
      <c r="H402" s="26"/>
      <c r="I402" s="26"/>
    </row>
    <row r="403" spans="6:9" x14ac:dyDescent="0.3">
      <c r="F403" s="26"/>
      <c r="G403" s="26"/>
      <c r="H403" s="26"/>
      <c r="I403" s="26"/>
    </row>
    <row r="404" spans="6:9" x14ac:dyDescent="0.3">
      <c r="F404" s="26"/>
      <c r="G404" s="26"/>
      <c r="H404" s="26"/>
      <c r="I404" s="26"/>
    </row>
    <row r="405" spans="6:9" x14ac:dyDescent="0.3">
      <c r="F405" s="26"/>
      <c r="G405" s="26"/>
      <c r="H405" s="26"/>
      <c r="I405" s="26"/>
    </row>
    <row r="406" spans="6:9" x14ac:dyDescent="0.3">
      <c r="F406" s="26"/>
      <c r="G406" s="26"/>
      <c r="H406" s="26"/>
      <c r="I406" s="26"/>
    </row>
    <row r="407" spans="6:9" x14ac:dyDescent="0.3">
      <c r="F407" s="26"/>
      <c r="G407" s="26"/>
      <c r="H407" s="26"/>
      <c r="I407" s="26"/>
    </row>
    <row r="408" spans="6:9" x14ac:dyDescent="0.3">
      <c r="F408" s="26"/>
      <c r="G408" s="26"/>
      <c r="H408" s="26"/>
      <c r="I408" s="26"/>
    </row>
    <row r="409" spans="6:9" x14ac:dyDescent="0.3">
      <c r="F409" s="26"/>
      <c r="G409" s="26"/>
      <c r="H409" s="26"/>
      <c r="I409" s="26"/>
    </row>
    <row r="410" spans="6:9" x14ac:dyDescent="0.3">
      <c r="F410" s="26"/>
      <c r="G410" s="26"/>
      <c r="H410" s="26"/>
      <c r="I410" s="26"/>
    </row>
    <row r="411" spans="6:9" x14ac:dyDescent="0.3">
      <c r="F411" s="26"/>
      <c r="G411" s="26"/>
      <c r="H411" s="26"/>
      <c r="I411" s="26"/>
    </row>
    <row r="412" spans="6:9" x14ac:dyDescent="0.3">
      <c r="F412" s="26"/>
      <c r="G412" s="26"/>
      <c r="H412" s="26"/>
      <c r="I412" s="26"/>
    </row>
    <row r="413" spans="6:9" x14ac:dyDescent="0.3">
      <c r="F413" s="26"/>
      <c r="G413" s="26"/>
      <c r="H413" s="26"/>
      <c r="I413" s="26"/>
    </row>
    <row r="414" spans="6:9" x14ac:dyDescent="0.3">
      <c r="F414" s="26"/>
      <c r="G414" s="26"/>
      <c r="H414" s="26"/>
      <c r="I414" s="26"/>
    </row>
    <row r="415" spans="6:9" x14ac:dyDescent="0.3">
      <c r="F415" s="26"/>
      <c r="G415" s="26"/>
      <c r="H415" s="26"/>
      <c r="I415" s="26"/>
    </row>
    <row r="416" spans="6:9" x14ac:dyDescent="0.3">
      <c r="F416" s="26"/>
      <c r="G416" s="26"/>
      <c r="H416" s="26"/>
      <c r="I416" s="26"/>
    </row>
    <row r="417" spans="6:9" x14ac:dyDescent="0.3">
      <c r="F417" s="26"/>
      <c r="G417" s="26"/>
      <c r="H417" s="26"/>
      <c r="I417" s="26"/>
    </row>
    <row r="418" spans="6:9" x14ac:dyDescent="0.3">
      <c r="F418" s="26"/>
      <c r="G418" s="26"/>
      <c r="H418" s="26"/>
      <c r="I418" s="26"/>
    </row>
    <row r="419" spans="6:9" x14ac:dyDescent="0.3">
      <c r="F419" s="26"/>
      <c r="G419" s="26"/>
      <c r="H419" s="26"/>
      <c r="I419" s="26"/>
    </row>
    <row r="420" spans="6:9" x14ac:dyDescent="0.3">
      <c r="F420" s="26"/>
      <c r="G420" s="26"/>
      <c r="H420" s="26"/>
      <c r="I420" s="26"/>
    </row>
    <row r="421" spans="6:9" x14ac:dyDescent="0.3">
      <c r="F421" s="26"/>
      <c r="G421" s="26"/>
      <c r="H421" s="26"/>
      <c r="I421" s="26"/>
    </row>
    <row r="422" spans="6:9" x14ac:dyDescent="0.3">
      <c r="F422" s="26"/>
      <c r="G422" s="26"/>
      <c r="H422" s="26"/>
      <c r="I422" s="26"/>
    </row>
    <row r="423" spans="6:9" x14ac:dyDescent="0.3">
      <c r="F423" s="26"/>
      <c r="G423" s="26"/>
      <c r="H423" s="26"/>
      <c r="I423" s="26"/>
    </row>
    <row r="424" spans="6:9" x14ac:dyDescent="0.3">
      <c r="F424" s="26"/>
      <c r="G424" s="26"/>
      <c r="H424" s="26"/>
      <c r="I424" s="26"/>
    </row>
    <row r="425" spans="6:9" x14ac:dyDescent="0.3">
      <c r="F425" s="26"/>
      <c r="G425" s="26"/>
      <c r="H425" s="26"/>
      <c r="I425" s="26"/>
    </row>
    <row r="426" spans="6:9" x14ac:dyDescent="0.3">
      <c r="F426" s="26"/>
      <c r="G426" s="26"/>
      <c r="H426" s="26"/>
      <c r="I426" s="26"/>
    </row>
    <row r="427" spans="6:9" x14ac:dyDescent="0.3">
      <c r="F427" s="26"/>
      <c r="G427" s="26"/>
      <c r="H427" s="26"/>
      <c r="I427" s="26"/>
    </row>
    <row r="428" spans="6:9" x14ac:dyDescent="0.3">
      <c r="F428" s="26"/>
      <c r="G428" s="26"/>
      <c r="H428" s="26"/>
      <c r="I428" s="26"/>
    </row>
    <row r="429" spans="6:9" x14ac:dyDescent="0.3">
      <c r="F429" s="26"/>
      <c r="G429" s="26"/>
      <c r="H429" s="26"/>
      <c r="I429" s="26"/>
    </row>
    <row r="430" spans="6:9" x14ac:dyDescent="0.3">
      <c r="F430" s="26"/>
      <c r="G430" s="26"/>
      <c r="H430" s="26"/>
      <c r="I430" s="26"/>
    </row>
    <row r="431" spans="6:9" x14ac:dyDescent="0.3">
      <c r="F431" s="26"/>
      <c r="G431" s="26"/>
      <c r="H431" s="26"/>
      <c r="I431" s="26"/>
    </row>
    <row r="432" spans="6:9" x14ac:dyDescent="0.3">
      <c r="F432" s="26"/>
      <c r="G432" s="26"/>
      <c r="H432" s="26"/>
      <c r="I432" s="26"/>
    </row>
    <row r="433" spans="6:9" x14ac:dyDescent="0.3">
      <c r="F433" s="26"/>
      <c r="G433" s="26"/>
      <c r="H433" s="26"/>
      <c r="I433" s="26"/>
    </row>
    <row r="434" spans="6:9" x14ac:dyDescent="0.3">
      <c r="F434" s="26"/>
      <c r="G434" s="26"/>
      <c r="H434" s="26"/>
      <c r="I434" s="26"/>
    </row>
    <row r="435" spans="6:9" x14ac:dyDescent="0.3">
      <c r="F435" s="26"/>
      <c r="G435" s="26"/>
      <c r="H435" s="26"/>
      <c r="I435" s="26"/>
    </row>
    <row r="436" spans="6:9" x14ac:dyDescent="0.3">
      <c r="F436" s="26"/>
      <c r="G436" s="26"/>
      <c r="H436" s="26"/>
      <c r="I436" s="26"/>
    </row>
    <row r="437" spans="6:9" x14ac:dyDescent="0.3">
      <c r="F437" s="26"/>
      <c r="G437" s="26"/>
      <c r="H437" s="26"/>
      <c r="I437" s="26"/>
    </row>
    <row r="438" spans="6:9" x14ac:dyDescent="0.3">
      <c r="F438" s="26"/>
      <c r="G438" s="26"/>
      <c r="H438" s="26"/>
      <c r="I438" s="26"/>
    </row>
    <row r="439" spans="6:9" x14ac:dyDescent="0.3">
      <c r="F439" s="26"/>
      <c r="G439" s="26"/>
      <c r="H439" s="26"/>
      <c r="I439" s="26"/>
    </row>
    <row r="440" spans="6:9" x14ac:dyDescent="0.3">
      <c r="F440" s="26"/>
      <c r="G440" s="26"/>
      <c r="H440" s="26"/>
      <c r="I440" s="26"/>
    </row>
    <row r="441" spans="6:9" x14ac:dyDescent="0.3">
      <c r="F441" s="26"/>
      <c r="G441" s="26"/>
      <c r="H441" s="26"/>
      <c r="I441" s="26"/>
    </row>
    <row r="442" spans="6:9" x14ac:dyDescent="0.3">
      <c r="F442" s="26"/>
      <c r="G442" s="26"/>
      <c r="H442" s="26"/>
      <c r="I442" s="26"/>
    </row>
    <row r="443" spans="6:9" x14ac:dyDescent="0.3">
      <c r="F443" s="26"/>
      <c r="G443" s="26"/>
      <c r="H443" s="26"/>
      <c r="I443" s="26"/>
    </row>
    <row r="444" spans="6:9" x14ac:dyDescent="0.3">
      <c r="F444" s="26"/>
      <c r="G444" s="26"/>
      <c r="H444" s="26"/>
      <c r="I444" s="26"/>
    </row>
    <row r="445" spans="6:9" x14ac:dyDescent="0.3">
      <c r="F445" s="26"/>
      <c r="G445" s="26"/>
      <c r="H445" s="26"/>
      <c r="I445" s="26"/>
    </row>
    <row r="446" spans="6:9" x14ac:dyDescent="0.3">
      <c r="F446" s="26"/>
      <c r="G446" s="26"/>
      <c r="H446" s="26"/>
      <c r="I446" s="26"/>
    </row>
    <row r="447" spans="6:9" x14ac:dyDescent="0.3">
      <c r="F447" s="26"/>
      <c r="G447" s="26"/>
      <c r="H447" s="26"/>
      <c r="I447" s="26"/>
    </row>
    <row r="448" spans="6:9" x14ac:dyDescent="0.3">
      <c r="F448" s="26"/>
      <c r="G448" s="26"/>
      <c r="H448" s="26"/>
      <c r="I448" s="26"/>
    </row>
    <row r="449" spans="6:9" x14ac:dyDescent="0.3">
      <c r="F449" s="26"/>
      <c r="G449" s="26"/>
      <c r="H449" s="26"/>
      <c r="I449" s="26"/>
    </row>
    <row r="450" spans="6:9" x14ac:dyDescent="0.3">
      <c r="F450" s="26"/>
      <c r="G450" s="26"/>
      <c r="H450" s="26"/>
      <c r="I450" s="26"/>
    </row>
    <row r="451" spans="6:9" x14ac:dyDescent="0.3">
      <c r="F451" s="26"/>
      <c r="G451" s="26"/>
      <c r="H451" s="26"/>
      <c r="I451" s="26"/>
    </row>
    <row r="452" spans="6:9" x14ac:dyDescent="0.3">
      <c r="F452" s="26"/>
      <c r="G452" s="26"/>
      <c r="H452" s="26"/>
      <c r="I452" s="26"/>
    </row>
    <row r="453" spans="6:9" x14ac:dyDescent="0.3">
      <c r="F453" s="26"/>
      <c r="G453" s="26"/>
      <c r="H453" s="26"/>
      <c r="I453" s="26"/>
    </row>
    <row r="454" spans="6:9" x14ac:dyDescent="0.3">
      <c r="F454" s="26"/>
      <c r="G454" s="26"/>
      <c r="H454" s="26"/>
      <c r="I454" s="26"/>
    </row>
    <row r="455" spans="6:9" x14ac:dyDescent="0.3">
      <c r="F455" s="26"/>
      <c r="G455" s="26"/>
      <c r="H455" s="26"/>
      <c r="I455" s="26"/>
    </row>
    <row r="456" spans="6:9" x14ac:dyDescent="0.3">
      <c r="F456" s="26"/>
      <c r="G456" s="26"/>
      <c r="H456" s="26"/>
      <c r="I456" s="26"/>
    </row>
    <row r="457" spans="6:9" x14ac:dyDescent="0.3">
      <c r="F457" s="26"/>
      <c r="G457" s="26"/>
      <c r="H457" s="26"/>
      <c r="I457" s="26"/>
    </row>
    <row r="458" spans="6:9" x14ac:dyDescent="0.3">
      <c r="F458" s="26"/>
      <c r="G458" s="26"/>
      <c r="H458" s="26"/>
      <c r="I458" s="26"/>
    </row>
    <row r="459" spans="6:9" x14ac:dyDescent="0.3">
      <c r="F459" s="26"/>
      <c r="G459" s="26"/>
      <c r="H459" s="26"/>
      <c r="I459" s="26"/>
    </row>
    <row r="460" spans="6:9" x14ac:dyDescent="0.3">
      <c r="F460" s="26"/>
      <c r="G460" s="26"/>
      <c r="H460" s="26"/>
      <c r="I460" s="26"/>
    </row>
    <row r="461" spans="6:9" x14ac:dyDescent="0.3">
      <c r="F461" s="26"/>
      <c r="G461" s="26"/>
      <c r="H461" s="26"/>
      <c r="I461" s="26"/>
    </row>
    <row r="462" spans="6:9" x14ac:dyDescent="0.3">
      <c r="F462" s="26"/>
      <c r="G462" s="26"/>
      <c r="H462" s="26"/>
      <c r="I462" s="26"/>
    </row>
    <row r="463" spans="6:9" x14ac:dyDescent="0.3">
      <c r="F463" s="26"/>
      <c r="G463" s="26"/>
      <c r="H463" s="26"/>
      <c r="I463" s="26"/>
    </row>
    <row r="464" spans="6:9" x14ac:dyDescent="0.3">
      <c r="F464" s="26"/>
      <c r="G464" s="26"/>
      <c r="H464" s="26"/>
      <c r="I464" s="26"/>
    </row>
    <row r="465" spans="6:9" x14ac:dyDescent="0.3">
      <c r="F465" s="26"/>
      <c r="G465" s="26"/>
      <c r="H465" s="26"/>
      <c r="I465" s="26"/>
    </row>
    <row r="466" spans="6:9" x14ac:dyDescent="0.3">
      <c r="F466" s="26"/>
      <c r="G466" s="26"/>
      <c r="H466" s="26"/>
      <c r="I466" s="26"/>
    </row>
    <row r="467" spans="6:9" x14ac:dyDescent="0.3">
      <c r="F467" s="26"/>
      <c r="G467" s="26"/>
      <c r="H467" s="26"/>
      <c r="I467" s="26"/>
    </row>
    <row r="468" spans="6:9" x14ac:dyDescent="0.3">
      <c r="F468" s="26"/>
      <c r="G468" s="26"/>
      <c r="H468" s="26"/>
      <c r="I468" s="26"/>
    </row>
    <row r="469" spans="6:9" x14ac:dyDescent="0.3">
      <c r="F469" s="26"/>
      <c r="G469" s="26"/>
      <c r="H469" s="26"/>
      <c r="I469" s="26"/>
    </row>
    <row r="470" spans="6:9" x14ac:dyDescent="0.3">
      <c r="F470" s="26"/>
      <c r="G470" s="26"/>
      <c r="H470" s="26"/>
      <c r="I470" s="26"/>
    </row>
    <row r="471" spans="6:9" x14ac:dyDescent="0.3">
      <c r="F471" s="26"/>
      <c r="G471" s="26"/>
      <c r="H471" s="26"/>
      <c r="I471" s="26"/>
    </row>
    <row r="472" spans="6:9" x14ac:dyDescent="0.3">
      <c r="F472" s="26"/>
      <c r="G472" s="26"/>
      <c r="H472" s="26"/>
      <c r="I472" s="26"/>
    </row>
    <row r="473" spans="6:9" x14ac:dyDescent="0.3">
      <c r="F473" s="26"/>
      <c r="G473" s="26"/>
      <c r="H473" s="26"/>
      <c r="I473" s="26"/>
    </row>
    <row r="474" spans="6:9" x14ac:dyDescent="0.3">
      <c r="F474" s="26"/>
      <c r="G474" s="26"/>
      <c r="H474" s="26"/>
      <c r="I474" s="26"/>
    </row>
    <row r="475" spans="6:9" x14ac:dyDescent="0.3">
      <c r="F475" s="26"/>
      <c r="G475" s="26"/>
      <c r="H475" s="26"/>
      <c r="I475" s="26"/>
    </row>
    <row r="476" spans="6:9" x14ac:dyDescent="0.3">
      <c r="F476" s="26"/>
      <c r="G476" s="26"/>
      <c r="H476" s="26"/>
      <c r="I476" s="26"/>
    </row>
    <row r="477" spans="6:9" x14ac:dyDescent="0.3">
      <c r="F477" s="26"/>
      <c r="G477" s="26"/>
      <c r="H477" s="26"/>
      <c r="I477" s="26"/>
    </row>
    <row r="478" spans="6:9" x14ac:dyDescent="0.3">
      <c r="F478" s="26"/>
      <c r="G478" s="26"/>
      <c r="H478" s="26"/>
      <c r="I478" s="26"/>
    </row>
    <row r="479" spans="6:9" x14ac:dyDescent="0.3">
      <c r="F479" s="26"/>
      <c r="G479" s="26"/>
      <c r="H479" s="26"/>
      <c r="I479" s="26"/>
    </row>
    <row r="480" spans="6:9" x14ac:dyDescent="0.3">
      <c r="F480" s="26"/>
      <c r="G480" s="26"/>
      <c r="H480" s="26"/>
      <c r="I480" s="26"/>
    </row>
    <row r="481" spans="6:9" x14ac:dyDescent="0.3">
      <c r="F481" s="26"/>
      <c r="G481" s="26"/>
      <c r="H481" s="26"/>
      <c r="I481" s="26"/>
    </row>
    <row r="482" spans="6:9" x14ac:dyDescent="0.3">
      <c r="F482" s="26"/>
      <c r="G482" s="26"/>
      <c r="H482" s="26"/>
      <c r="I482" s="26"/>
    </row>
    <row r="483" spans="6:9" x14ac:dyDescent="0.3">
      <c r="F483" s="26"/>
      <c r="G483" s="26"/>
      <c r="H483" s="26"/>
      <c r="I483" s="26"/>
    </row>
    <row r="484" spans="6:9" x14ac:dyDescent="0.3">
      <c r="F484" s="26"/>
      <c r="G484" s="26"/>
      <c r="H484" s="26"/>
      <c r="I484" s="26"/>
    </row>
    <row r="485" spans="6:9" x14ac:dyDescent="0.3">
      <c r="F485" s="26"/>
      <c r="G485" s="26"/>
      <c r="H485" s="26"/>
      <c r="I485" s="26"/>
    </row>
    <row r="486" spans="6:9" x14ac:dyDescent="0.3">
      <c r="F486" s="26"/>
      <c r="G486" s="26"/>
      <c r="H486" s="26"/>
      <c r="I486" s="26"/>
    </row>
    <row r="487" spans="6:9" x14ac:dyDescent="0.3">
      <c r="F487" s="26"/>
      <c r="G487" s="26"/>
      <c r="H487" s="26"/>
      <c r="I487" s="26"/>
    </row>
    <row r="488" spans="6:9" x14ac:dyDescent="0.3">
      <c r="F488" s="26"/>
      <c r="G488" s="26"/>
      <c r="H488" s="26"/>
      <c r="I488" s="26"/>
    </row>
    <row r="489" spans="6:9" x14ac:dyDescent="0.3">
      <c r="F489" s="26"/>
      <c r="G489" s="26"/>
      <c r="H489" s="26"/>
      <c r="I489" s="26"/>
    </row>
    <row r="490" spans="6:9" x14ac:dyDescent="0.3">
      <c r="F490" s="26"/>
      <c r="G490" s="26"/>
      <c r="H490" s="26"/>
      <c r="I490" s="26"/>
    </row>
    <row r="491" spans="6:9" x14ac:dyDescent="0.3">
      <c r="F491" s="26"/>
      <c r="G491" s="26"/>
      <c r="H491" s="26"/>
      <c r="I491" s="26"/>
    </row>
    <row r="492" spans="6:9" x14ac:dyDescent="0.3">
      <c r="F492" s="26"/>
      <c r="G492" s="26"/>
      <c r="H492" s="26"/>
      <c r="I492" s="26"/>
    </row>
    <row r="493" spans="6:9" x14ac:dyDescent="0.3">
      <c r="F493" s="26"/>
      <c r="G493" s="26"/>
      <c r="H493" s="26"/>
      <c r="I493" s="26"/>
    </row>
    <row r="494" spans="6:9" x14ac:dyDescent="0.3">
      <c r="F494" s="26"/>
      <c r="G494" s="26"/>
      <c r="H494" s="26"/>
      <c r="I494" s="26"/>
    </row>
    <row r="495" spans="6:9" x14ac:dyDescent="0.3">
      <c r="F495" s="26"/>
      <c r="G495" s="26"/>
      <c r="H495" s="26"/>
      <c r="I495" s="26"/>
    </row>
    <row r="496" spans="6:9" x14ac:dyDescent="0.3">
      <c r="F496" s="26"/>
      <c r="G496" s="26"/>
      <c r="H496" s="26"/>
      <c r="I496" s="26"/>
    </row>
    <row r="497" spans="6:9" x14ac:dyDescent="0.3">
      <c r="F497" s="26"/>
      <c r="G497" s="26"/>
      <c r="H497" s="26"/>
      <c r="I497" s="26"/>
    </row>
    <row r="498" spans="6:9" x14ac:dyDescent="0.3">
      <c r="F498" s="26"/>
      <c r="G498" s="26"/>
      <c r="H498" s="26"/>
      <c r="I498" s="26"/>
    </row>
    <row r="499" spans="6:9" x14ac:dyDescent="0.3">
      <c r="F499" s="26"/>
      <c r="G499" s="26"/>
      <c r="H499" s="26"/>
      <c r="I499" s="26"/>
    </row>
    <row r="500" spans="6:9" x14ac:dyDescent="0.3">
      <c r="F500" s="26"/>
      <c r="G500" s="26"/>
      <c r="H500" s="26"/>
      <c r="I500" s="26"/>
    </row>
    <row r="501" spans="6:9" x14ac:dyDescent="0.3">
      <c r="F501" s="26"/>
      <c r="G501" s="26"/>
      <c r="H501" s="26"/>
      <c r="I501" s="26"/>
    </row>
    <row r="502" spans="6:9" x14ac:dyDescent="0.3">
      <c r="F502" s="26"/>
      <c r="G502" s="26"/>
      <c r="H502" s="26"/>
      <c r="I502" s="26"/>
    </row>
    <row r="503" spans="6:9" x14ac:dyDescent="0.3">
      <c r="F503" s="26"/>
      <c r="G503" s="26"/>
      <c r="H503" s="26"/>
      <c r="I503" s="26"/>
    </row>
    <row r="504" spans="6:9" x14ac:dyDescent="0.3">
      <c r="F504" s="26"/>
      <c r="G504" s="26"/>
      <c r="H504" s="26"/>
      <c r="I504" s="26"/>
    </row>
    <row r="505" spans="6:9" x14ac:dyDescent="0.3">
      <c r="F505" s="26"/>
      <c r="G505" s="26"/>
      <c r="H505" s="26"/>
      <c r="I505" s="26"/>
    </row>
    <row r="506" spans="6:9" x14ac:dyDescent="0.3">
      <c r="F506" s="26"/>
      <c r="G506" s="26"/>
      <c r="H506" s="26"/>
      <c r="I506" s="26"/>
    </row>
    <row r="507" spans="6:9" x14ac:dyDescent="0.3">
      <c r="F507" s="26"/>
      <c r="G507" s="26"/>
      <c r="H507" s="26"/>
      <c r="I507" s="26"/>
    </row>
    <row r="508" spans="6:9" x14ac:dyDescent="0.3">
      <c r="F508" s="26"/>
      <c r="G508" s="26"/>
      <c r="H508" s="26"/>
      <c r="I508" s="26"/>
    </row>
    <row r="509" spans="6:9" x14ac:dyDescent="0.3">
      <c r="F509" s="26"/>
      <c r="G509" s="26"/>
      <c r="H509" s="26"/>
      <c r="I509" s="26"/>
    </row>
    <row r="510" spans="6:9" x14ac:dyDescent="0.3">
      <c r="F510" s="26"/>
      <c r="G510" s="26"/>
      <c r="H510" s="26"/>
      <c r="I510" s="26"/>
    </row>
    <row r="511" spans="6:9" x14ac:dyDescent="0.3">
      <c r="F511" s="26"/>
      <c r="G511" s="26"/>
      <c r="H511" s="26"/>
      <c r="I511" s="26"/>
    </row>
    <row r="512" spans="6:9" x14ac:dyDescent="0.3">
      <c r="F512" s="26"/>
      <c r="G512" s="26"/>
      <c r="H512" s="26"/>
      <c r="I512" s="26"/>
    </row>
    <row r="513" spans="6:9" x14ac:dyDescent="0.3">
      <c r="F513" s="26"/>
      <c r="G513" s="26"/>
      <c r="H513" s="26"/>
      <c r="I513" s="26"/>
    </row>
    <row r="514" spans="6:9" x14ac:dyDescent="0.3">
      <c r="F514" s="26"/>
      <c r="G514" s="26"/>
      <c r="H514" s="26"/>
      <c r="I514" s="26"/>
    </row>
    <row r="515" spans="6:9" x14ac:dyDescent="0.3">
      <c r="F515" s="26"/>
      <c r="G515" s="26"/>
      <c r="H515" s="26"/>
      <c r="I515" s="26"/>
    </row>
    <row r="516" spans="6:9" x14ac:dyDescent="0.3">
      <c r="F516" s="26"/>
      <c r="G516" s="26"/>
      <c r="H516" s="26"/>
      <c r="I516" s="26"/>
    </row>
    <row r="517" spans="6:9" x14ac:dyDescent="0.3">
      <c r="F517" s="26"/>
      <c r="G517" s="26"/>
      <c r="H517" s="26"/>
      <c r="I517" s="26"/>
    </row>
    <row r="518" spans="6:9" x14ac:dyDescent="0.3">
      <c r="F518" s="26"/>
      <c r="G518" s="26"/>
      <c r="H518" s="26"/>
      <c r="I518" s="26"/>
    </row>
    <row r="519" spans="6:9" x14ac:dyDescent="0.3">
      <c r="F519" s="26"/>
      <c r="G519" s="26"/>
      <c r="H519" s="26"/>
      <c r="I519" s="26"/>
    </row>
    <row r="520" spans="6:9" x14ac:dyDescent="0.3">
      <c r="F520" s="26"/>
      <c r="G520" s="26"/>
      <c r="H520" s="26"/>
      <c r="I520" s="26"/>
    </row>
    <row r="521" spans="6:9" x14ac:dyDescent="0.3">
      <c r="F521" s="26"/>
      <c r="G521" s="26"/>
      <c r="H521" s="26"/>
      <c r="I521" s="26"/>
    </row>
    <row r="522" spans="6:9" x14ac:dyDescent="0.3">
      <c r="F522" s="26"/>
      <c r="G522" s="26"/>
      <c r="H522" s="26"/>
      <c r="I522" s="26"/>
    </row>
    <row r="523" spans="6:9" x14ac:dyDescent="0.3">
      <c r="F523" s="26"/>
      <c r="G523" s="26"/>
      <c r="H523" s="26"/>
      <c r="I523" s="26"/>
    </row>
    <row r="524" spans="6:9" x14ac:dyDescent="0.3">
      <c r="F524" s="26"/>
      <c r="G524" s="26"/>
      <c r="H524" s="26"/>
      <c r="I524" s="26"/>
    </row>
    <row r="525" spans="6:9" x14ac:dyDescent="0.3">
      <c r="F525" s="26"/>
      <c r="G525" s="26"/>
      <c r="H525" s="26"/>
      <c r="I525" s="26"/>
    </row>
    <row r="526" spans="6:9" x14ac:dyDescent="0.3">
      <c r="F526" s="26"/>
      <c r="G526" s="26"/>
      <c r="H526" s="26"/>
      <c r="I526" s="26"/>
    </row>
    <row r="527" spans="6:9" x14ac:dyDescent="0.3">
      <c r="F527" s="26"/>
      <c r="G527" s="26"/>
      <c r="H527" s="26"/>
      <c r="I527" s="26"/>
    </row>
    <row r="528" spans="6:9" x14ac:dyDescent="0.3">
      <c r="F528" s="26"/>
      <c r="G528" s="26"/>
      <c r="H528" s="26"/>
      <c r="I528" s="26"/>
    </row>
    <row r="529" spans="6:9" x14ac:dyDescent="0.3">
      <c r="F529" s="26"/>
      <c r="G529" s="26"/>
      <c r="H529" s="26"/>
      <c r="I529" s="26"/>
    </row>
    <row r="530" spans="6:9" x14ac:dyDescent="0.3">
      <c r="F530" s="26"/>
      <c r="G530" s="26"/>
      <c r="H530" s="26"/>
      <c r="I530" s="26"/>
    </row>
    <row r="531" spans="6:9" x14ac:dyDescent="0.3">
      <c r="F531" s="26"/>
      <c r="G531" s="26"/>
      <c r="H531" s="26"/>
      <c r="I531" s="26"/>
    </row>
    <row r="532" spans="6:9" x14ac:dyDescent="0.3">
      <c r="F532" s="26"/>
      <c r="G532" s="26"/>
      <c r="H532" s="26"/>
      <c r="I532" s="26"/>
    </row>
    <row r="533" spans="6:9" x14ac:dyDescent="0.3">
      <c r="F533" s="26"/>
      <c r="G533" s="26"/>
      <c r="H533" s="26"/>
      <c r="I533" s="26"/>
    </row>
    <row r="534" spans="6:9" x14ac:dyDescent="0.3">
      <c r="F534" s="26"/>
      <c r="G534" s="26"/>
      <c r="H534" s="26"/>
      <c r="I534" s="26"/>
    </row>
    <row r="535" spans="6:9" x14ac:dyDescent="0.3">
      <c r="F535" s="26"/>
      <c r="G535" s="26"/>
      <c r="H535" s="26"/>
      <c r="I535" s="26"/>
    </row>
    <row r="536" spans="6:9" x14ac:dyDescent="0.3">
      <c r="F536" s="26"/>
      <c r="G536" s="26"/>
      <c r="H536" s="26"/>
      <c r="I536" s="26"/>
    </row>
    <row r="537" spans="6:9" x14ac:dyDescent="0.3">
      <c r="F537" s="26"/>
      <c r="G537" s="26"/>
      <c r="H537" s="26"/>
      <c r="I537" s="26"/>
    </row>
    <row r="538" spans="6:9" x14ac:dyDescent="0.3">
      <c r="F538" s="26"/>
      <c r="G538" s="26"/>
      <c r="H538" s="26"/>
      <c r="I538" s="26"/>
    </row>
    <row r="539" spans="6:9" x14ac:dyDescent="0.3">
      <c r="F539" s="26"/>
      <c r="G539" s="26"/>
      <c r="H539" s="26"/>
      <c r="I539" s="26"/>
    </row>
    <row r="540" spans="6:9" x14ac:dyDescent="0.3">
      <c r="F540" s="26"/>
      <c r="G540" s="26"/>
      <c r="H540" s="26"/>
      <c r="I540" s="26"/>
    </row>
    <row r="541" spans="6:9" x14ac:dyDescent="0.3">
      <c r="F541" s="26"/>
      <c r="G541" s="26"/>
      <c r="H541" s="26"/>
      <c r="I541" s="26"/>
    </row>
    <row r="542" spans="6:9" x14ac:dyDescent="0.3">
      <c r="F542" s="26"/>
      <c r="G542" s="26"/>
      <c r="H542" s="26"/>
      <c r="I542" s="26"/>
    </row>
    <row r="543" spans="6:9" x14ac:dyDescent="0.3">
      <c r="F543" s="26"/>
      <c r="G543" s="26"/>
      <c r="H543" s="26"/>
      <c r="I543" s="26"/>
    </row>
    <row r="544" spans="6:9" x14ac:dyDescent="0.3">
      <c r="F544" s="26"/>
      <c r="G544" s="26"/>
      <c r="H544" s="26"/>
      <c r="I544" s="26"/>
    </row>
    <row r="545" spans="6:9" x14ac:dyDescent="0.3">
      <c r="F545" s="26"/>
      <c r="G545" s="26"/>
      <c r="H545" s="26"/>
      <c r="I545" s="26"/>
    </row>
    <row r="546" spans="6:9" x14ac:dyDescent="0.3">
      <c r="F546" s="26"/>
      <c r="G546" s="26"/>
      <c r="H546" s="26"/>
      <c r="I546" s="26"/>
    </row>
    <row r="547" spans="6:9" x14ac:dyDescent="0.3">
      <c r="F547" s="26"/>
      <c r="G547" s="26"/>
      <c r="H547" s="26"/>
      <c r="I547" s="26"/>
    </row>
    <row r="548" spans="6:9" x14ac:dyDescent="0.3">
      <c r="F548" s="26"/>
      <c r="G548" s="26"/>
      <c r="H548" s="26"/>
      <c r="I548" s="26"/>
    </row>
    <row r="549" spans="6:9" x14ac:dyDescent="0.3">
      <c r="F549" s="26"/>
      <c r="G549" s="26"/>
      <c r="H549" s="26"/>
      <c r="I549" s="26"/>
    </row>
    <row r="550" spans="6:9" x14ac:dyDescent="0.3">
      <c r="F550" s="26"/>
      <c r="G550" s="26"/>
      <c r="H550" s="26"/>
      <c r="I550" s="26"/>
    </row>
    <row r="551" spans="6:9" x14ac:dyDescent="0.3">
      <c r="F551" s="26"/>
      <c r="G551" s="26"/>
      <c r="H551" s="26"/>
      <c r="I551" s="26"/>
    </row>
    <row r="552" spans="6:9" x14ac:dyDescent="0.3">
      <c r="F552" s="26"/>
      <c r="G552" s="26"/>
      <c r="H552" s="26"/>
      <c r="I552" s="26"/>
    </row>
    <row r="553" spans="6:9" x14ac:dyDescent="0.3">
      <c r="F553" s="26"/>
      <c r="G553" s="26"/>
      <c r="H553" s="26"/>
      <c r="I553" s="26"/>
    </row>
    <row r="554" spans="6:9" x14ac:dyDescent="0.3">
      <c r="F554" s="26"/>
      <c r="G554" s="26"/>
      <c r="H554" s="26"/>
      <c r="I554" s="26"/>
    </row>
    <row r="555" spans="6:9" x14ac:dyDescent="0.3">
      <c r="F555" s="26"/>
      <c r="G555" s="26"/>
      <c r="H555" s="26"/>
      <c r="I555" s="26"/>
    </row>
    <row r="556" spans="6:9" x14ac:dyDescent="0.3">
      <c r="F556" s="26"/>
      <c r="G556" s="26"/>
      <c r="H556" s="26"/>
      <c r="I556" s="26"/>
    </row>
    <row r="557" spans="6:9" x14ac:dyDescent="0.3">
      <c r="F557" s="26"/>
      <c r="G557" s="26"/>
      <c r="H557" s="26"/>
      <c r="I557" s="26"/>
    </row>
    <row r="558" spans="6:9" x14ac:dyDescent="0.3">
      <c r="F558" s="26"/>
      <c r="G558" s="26"/>
      <c r="H558" s="26"/>
      <c r="I558" s="26"/>
    </row>
    <row r="559" spans="6:9" x14ac:dyDescent="0.3">
      <c r="F559" s="26"/>
      <c r="G559" s="26"/>
      <c r="H559" s="26"/>
      <c r="I559" s="26"/>
    </row>
    <row r="560" spans="6:9" x14ac:dyDescent="0.3">
      <c r="F560" s="26"/>
      <c r="G560" s="26"/>
      <c r="H560" s="26"/>
      <c r="I560" s="26"/>
    </row>
    <row r="561" spans="6:9" x14ac:dyDescent="0.3">
      <c r="F561" s="26"/>
      <c r="G561" s="26"/>
      <c r="H561" s="26"/>
      <c r="I561" s="26"/>
    </row>
    <row r="562" spans="6:9" x14ac:dyDescent="0.3">
      <c r="F562" s="26"/>
      <c r="G562" s="26"/>
      <c r="H562" s="26"/>
      <c r="I562" s="26"/>
    </row>
    <row r="563" spans="6:9" x14ac:dyDescent="0.3">
      <c r="F563" s="26"/>
      <c r="G563" s="26"/>
      <c r="H563" s="26"/>
      <c r="I563" s="26"/>
    </row>
    <row r="564" spans="6:9" x14ac:dyDescent="0.3">
      <c r="F564" s="26"/>
      <c r="G564" s="26"/>
      <c r="H564" s="26"/>
      <c r="I564" s="26"/>
    </row>
    <row r="565" spans="6:9" x14ac:dyDescent="0.3">
      <c r="F565" s="26"/>
      <c r="G565" s="26"/>
      <c r="H565" s="26"/>
      <c r="I565" s="26"/>
    </row>
    <row r="566" spans="6:9" x14ac:dyDescent="0.3">
      <c r="F566" s="26"/>
      <c r="G566" s="26"/>
      <c r="H566" s="26"/>
      <c r="I566" s="26"/>
    </row>
    <row r="567" spans="6:9" x14ac:dyDescent="0.3">
      <c r="F567" s="26"/>
      <c r="G567" s="26"/>
      <c r="H567" s="26"/>
      <c r="I567" s="26"/>
    </row>
    <row r="568" spans="6:9" x14ac:dyDescent="0.3">
      <c r="F568" s="26"/>
      <c r="G568" s="26"/>
      <c r="H568" s="26"/>
      <c r="I568" s="26"/>
    </row>
    <row r="569" spans="6:9" x14ac:dyDescent="0.3">
      <c r="F569" s="26"/>
      <c r="G569" s="26"/>
      <c r="H569" s="26"/>
      <c r="I569" s="26"/>
    </row>
    <row r="570" spans="6:9" x14ac:dyDescent="0.3">
      <c r="F570" s="26"/>
      <c r="G570" s="26"/>
      <c r="H570" s="26"/>
      <c r="I570" s="26"/>
    </row>
    <row r="571" spans="6:9" x14ac:dyDescent="0.3">
      <c r="F571" s="26"/>
      <c r="G571" s="26"/>
      <c r="H571" s="26"/>
      <c r="I571" s="26"/>
    </row>
    <row r="572" spans="6:9" x14ac:dyDescent="0.3">
      <c r="F572" s="26"/>
      <c r="G572" s="26"/>
      <c r="H572" s="26"/>
      <c r="I572" s="26"/>
    </row>
    <row r="573" spans="6:9" x14ac:dyDescent="0.3">
      <c r="F573" s="26"/>
      <c r="G573" s="26"/>
      <c r="H573" s="26"/>
      <c r="I573" s="26"/>
    </row>
    <row r="574" spans="6:9" x14ac:dyDescent="0.3">
      <c r="F574" s="26"/>
      <c r="G574" s="26"/>
      <c r="H574" s="26"/>
      <c r="I574" s="26"/>
    </row>
    <row r="575" spans="6:9" x14ac:dyDescent="0.3">
      <c r="F575" s="26"/>
      <c r="G575" s="26"/>
      <c r="H575" s="26"/>
      <c r="I575" s="26"/>
    </row>
    <row r="576" spans="6:9" x14ac:dyDescent="0.3">
      <c r="F576" s="26"/>
      <c r="G576" s="26"/>
      <c r="H576" s="26"/>
      <c r="I576" s="26"/>
    </row>
    <row r="577" spans="6:9" x14ac:dyDescent="0.3">
      <c r="F577" s="26"/>
      <c r="G577" s="26"/>
      <c r="H577" s="26"/>
      <c r="I577" s="26"/>
    </row>
    <row r="578" spans="6:9" x14ac:dyDescent="0.3">
      <c r="F578" s="26"/>
      <c r="G578" s="26"/>
      <c r="H578" s="26"/>
      <c r="I578" s="26"/>
    </row>
    <row r="579" spans="6:9" x14ac:dyDescent="0.3">
      <c r="F579" s="26"/>
      <c r="G579" s="26"/>
      <c r="H579" s="26"/>
      <c r="I579" s="26"/>
    </row>
    <row r="580" spans="6:9" x14ac:dyDescent="0.3">
      <c r="F580" s="26"/>
      <c r="G580" s="26"/>
      <c r="H580" s="26"/>
      <c r="I580" s="26"/>
    </row>
    <row r="581" spans="6:9" x14ac:dyDescent="0.3">
      <c r="F581" s="26"/>
      <c r="G581" s="26"/>
      <c r="H581" s="26"/>
      <c r="I581" s="26"/>
    </row>
    <row r="582" spans="6:9" x14ac:dyDescent="0.3">
      <c r="F582" s="26"/>
      <c r="G582" s="26"/>
      <c r="H582" s="26"/>
      <c r="I582" s="26"/>
    </row>
    <row r="583" spans="6:9" x14ac:dyDescent="0.3">
      <c r="F583" s="26"/>
      <c r="G583" s="26"/>
      <c r="H583" s="26"/>
      <c r="I583" s="26"/>
    </row>
    <row r="584" spans="6:9" x14ac:dyDescent="0.3">
      <c r="F584" s="26"/>
      <c r="G584" s="26"/>
      <c r="H584" s="26"/>
      <c r="I584" s="26"/>
    </row>
    <row r="585" spans="6:9" x14ac:dyDescent="0.3">
      <c r="F585" s="26"/>
      <c r="G585" s="26"/>
      <c r="H585" s="26"/>
      <c r="I585" s="26"/>
    </row>
    <row r="586" spans="6:9" x14ac:dyDescent="0.3">
      <c r="F586" s="26"/>
      <c r="G586" s="26"/>
      <c r="H586" s="26"/>
      <c r="I586" s="26"/>
    </row>
    <row r="587" spans="6:9" x14ac:dyDescent="0.3">
      <c r="F587" s="26"/>
      <c r="G587" s="26"/>
      <c r="H587" s="26"/>
      <c r="I587" s="26"/>
    </row>
    <row r="588" spans="6:9" x14ac:dyDescent="0.3">
      <c r="F588" s="26"/>
      <c r="G588" s="26"/>
      <c r="H588" s="26"/>
      <c r="I588" s="26"/>
    </row>
    <row r="589" spans="6:9" x14ac:dyDescent="0.3">
      <c r="F589" s="26"/>
      <c r="G589" s="26"/>
      <c r="H589" s="26"/>
      <c r="I589" s="26"/>
    </row>
    <row r="590" spans="6:9" x14ac:dyDescent="0.3">
      <c r="F590" s="26"/>
      <c r="G590" s="26"/>
      <c r="H590" s="26"/>
      <c r="I590" s="26"/>
    </row>
    <row r="591" spans="6:9" x14ac:dyDescent="0.3">
      <c r="F591" s="26"/>
      <c r="G591" s="26"/>
      <c r="H591" s="26"/>
      <c r="I591" s="26"/>
    </row>
    <row r="592" spans="6:9" x14ac:dyDescent="0.3">
      <c r="F592" s="26"/>
      <c r="G592" s="26"/>
      <c r="H592" s="26"/>
      <c r="I592" s="26"/>
    </row>
    <row r="593" spans="6:9" x14ac:dyDescent="0.3">
      <c r="F593" s="26"/>
      <c r="G593" s="26"/>
      <c r="H593" s="26"/>
      <c r="I593" s="26"/>
    </row>
    <row r="594" spans="6:9" x14ac:dyDescent="0.3">
      <c r="F594" s="26"/>
      <c r="G594" s="26"/>
      <c r="H594" s="26"/>
      <c r="I594" s="26"/>
    </row>
    <row r="595" spans="6:9" x14ac:dyDescent="0.3">
      <c r="F595" s="26"/>
      <c r="G595" s="26"/>
      <c r="H595" s="26"/>
      <c r="I595" s="26"/>
    </row>
    <row r="596" spans="6:9" x14ac:dyDescent="0.3">
      <c r="F596" s="26"/>
      <c r="G596" s="26"/>
      <c r="H596" s="26"/>
      <c r="I596" s="26"/>
    </row>
    <row r="597" spans="6:9" x14ac:dyDescent="0.3">
      <c r="F597" s="26"/>
      <c r="G597" s="26"/>
      <c r="H597" s="26"/>
      <c r="I597" s="26"/>
    </row>
    <row r="598" spans="6:9" x14ac:dyDescent="0.3">
      <c r="F598" s="26"/>
      <c r="G598" s="26"/>
      <c r="H598" s="26"/>
      <c r="I598" s="26"/>
    </row>
    <row r="599" spans="6:9" x14ac:dyDescent="0.3">
      <c r="F599" s="26"/>
      <c r="G599" s="26"/>
      <c r="H599" s="26"/>
      <c r="I599" s="26"/>
    </row>
    <row r="600" spans="6:9" x14ac:dyDescent="0.3">
      <c r="F600" s="26"/>
      <c r="G600" s="26"/>
      <c r="H600" s="26"/>
      <c r="I600" s="26"/>
    </row>
    <row r="601" spans="6:9" x14ac:dyDescent="0.3">
      <c r="F601" s="26"/>
      <c r="G601" s="26"/>
      <c r="H601" s="26"/>
      <c r="I601" s="26"/>
    </row>
    <row r="602" spans="6:9" x14ac:dyDescent="0.3">
      <c r="F602" s="26"/>
      <c r="G602" s="26"/>
      <c r="H602" s="26"/>
      <c r="I602" s="26"/>
    </row>
    <row r="603" spans="6:9" x14ac:dyDescent="0.3">
      <c r="F603" s="26"/>
      <c r="G603" s="26"/>
      <c r="H603" s="26"/>
      <c r="I603" s="26"/>
    </row>
    <row r="604" spans="6:9" x14ac:dyDescent="0.3">
      <c r="F604" s="26"/>
      <c r="G604" s="26"/>
      <c r="H604" s="26"/>
      <c r="I604" s="26"/>
    </row>
    <row r="605" spans="6:9" x14ac:dyDescent="0.3">
      <c r="F605" s="26"/>
      <c r="G605" s="26"/>
      <c r="H605" s="26"/>
      <c r="I605" s="26"/>
    </row>
    <row r="606" spans="6:9" x14ac:dyDescent="0.3">
      <c r="F606" s="26"/>
      <c r="G606" s="26"/>
      <c r="H606" s="26"/>
      <c r="I606" s="26"/>
    </row>
    <row r="607" spans="6:9" x14ac:dyDescent="0.3">
      <c r="F607" s="26"/>
      <c r="G607" s="26"/>
      <c r="H607" s="26"/>
      <c r="I607" s="26"/>
    </row>
    <row r="608" spans="6:9" x14ac:dyDescent="0.3">
      <c r="F608" s="26"/>
      <c r="G608" s="26"/>
      <c r="H608" s="26"/>
      <c r="I608" s="26"/>
    </row>
    <row r="609" spans="6:9" x14ac:dyDescent="0.3">
      <c r="F609" s="26"/>
      <c r="G609" s="26"/>
      <c r="H609" s="26"/>
      <c r="I609" s="26"/>
    </row>
    <row r="610" spans="6:9" x14ac:dyDescent="0.3">
      <c r="F610" s="26"/>
      <c r="G610" s="26"/>
      <c r="H610" s="26"/>
      <c r="I610" s="26"/>
    </row>
    <row r="611" spans="6:9" x14ac:dyDescent="0.3">
      <c r="F611" s="26"/>
      <c r="G611" s="26"/>
      <c r="H611" s="26"/>
      <c r="I611" s="26"/>
    </row>
    <row r="612" spans="6:9" x14ac:dyDescent="0.3">
      <c r="F612" s="26"/>
      <c r="G612" s="26"/>
      <c r="H612" s="26"/>
      <c r="I612" s="26"/>
    </row>
    <row r="613" spans="6:9" x14ac:dyDescent="0.3">
      <c r="F613" s="26"/>
      <c r="G613" s="26"/>
      <c r="H613" s="26"/>
      <c r="I613" s="26"/>
    </row>
    <row r="614" spans="6:9" x14ac:dyDescent="0.3">
      <c r="F614" s="26"/>
      <c r="G614" s="26"/>
      <c r="H614" s="26"/>
      <c r="I614" s="26"/>
    </row>
    <row r="615" spans="6:9" x14ac:dyDescent="0.3">
      <c r="F615" s="26"/>
      <c r="G615" s="26"/>
      <c r="H615" s="26"/>
      <c r="I615" s="26"/>
    </row>
    <row r="616" spans="6:9" x14ac:dyDescent="0.3">
      <c r="F616" s="26"/>
      <c r="G616" s="26"/>
      <c r="H616" s="26"/>
      <c r="I616" s="26"/>
    </row>
    <row r="617" spans="6:9" x14ac:dyDescent="0.3">
      <c r="F617" s="26"/>
      <c r="G617" s="26"/>
      <c r="H617" s="26"/>
      <c r="I617" s="26"/>
    </row>
    <row r="618" spans="6:9" x14ac:dyDescent="0.3">
      <c r="F618" s="26"/>
      <c r="G618" s="26"/>
      <c r="H618" s="26"/>
      <c r="I618" s="26"/>
    </row>
    <row r="619" spans="6:9" x14ac:dyDescent="0.3">
      <c r="F619" s="26"/>
      <c r="G619" s="26"/>
      <c r="H619" s="26"/>
      <c r="I619" s="26"/>
    </row>
    <row r="620" spans="6:9" x14ac:dyDescent="0.3">
      <c r="F620" s="26"/>
      <c r="G620" s="26"/>
      <c r="H620" s="26"/>
      <c r="I620" s="26"/>
    </row>
    <row r="621" spans="6:9" x14ac:dyDescent="0.3">
      <c r="F621" s="26"/>
      <c r="G621" s="26"/>
      <c r="H621" s="26"/>
      <c r="I621" s="26"/>
    </row>
    <row r="622" spans="6:9" x14ac:dyDescent="0.3">
      <c r="F622" s="26"/>
      <c r="G622" s="26"/>
      <c r="H622" s="26"/>
      <c r="I622" s="26"/>
    </row>
    <row r="623" spans="6:9" x14ac:dyDescent="0.3">
      <c r="F623" s="26"/>
      <c r="G623" s="26"/>
      <c r="H623" s="26"/>
      <c r="I623" s="26"/>
    </row>
    <row r="624" spans="6:9" x14ac:dyDescent="0.3">
      <c r="F624" s="26"/>
      <c r="G624" s="26"/>
      <c r="H624" s="26"/>
      <c r="I624" s="26"/>
    </row>
    <row r="625" spans="6:9" x14ac:dyDescent="0.3">
      <c r="F625" s="26"/>
      <c r="G625" s="26"/>
      <c r="H625" s="26"/>
      <c r="I625" s="26"/>
    </row>
    <row r="626" spans="6:9" x14ac:dyDescent="0.3">
      <c r="F626" s="26"/>
      <c r="G626" s="26"/>
      <c r="H626" s="26"/>
      <c r="I626" s="26"/>
    </row>
    <row r="627" spans="6:9" x14ac:dyDescent="0.3">
      <c r="F627" s="26"/>
      <c r="G627" s="26"/>
      <c r="H627" s="26"/>
      <c r="I627" s="26"/>
    </row>
    <row r="628" spans="6:9" x14ac:dyDescent="0.3">
      <c r="F628" s="26"/>
      <c r="G628" s="26"/>
      <c r="H628" s="26"/>
      <c r="I628" s="26"/>
    </row>
    <row r="629" spans="6:9" x14ac:dyDescent="0.3">
      <c r="F629" s="26"/>
      <c r="G629" s="26"/>
      <c r="H629" s="26"/>
      <c r="I629" s="26"/>
    </row>
    <row r="630" spans="6:9" x14ac:dyDescent="0.3">
      <c r="F630" s="26"/>
      <c r="G630" s="26"/>
      <c r="H630" s="26"/>
      <c r="I630" s="26"/>
    </row>
    <row r="631" spans="6:9" x14ac:dyDescent="0.3">
      <c r="F631" s="26"/>
      <c r="G631" s="26"/>
      <c r="H631" s="26"/>
      <c r="I631" s="26"/>
    </row>
    <row r="632" spans="6:9" x14ac:dyDescent="0.3">
      <c r="F632" s="26"/>
      <c r="G632" s="26"/>
      <c r="H632" s="26"/>
      <c r="I632" s="26"/>
    </row>
    <row r="633" spans="6:9" x14ac:dyDescent="0.3">
      <c r="F633" s="26"/>
      <c r="G633" s="26"/>
      <c r="H633" s="26"/>
      <c r="I633" s="26"/>
    </row>
    <row r="634" spans="6:9" x14ac:dyDescent="0.3">
      <c r="F634" s="26"/>
      <c r="G634" s="26"/>
      <c r="H634" s="26"/>
      <c r="I634" s="26"/>
    </row>
    <row r="635" spans="6:9" x14ac:dyDescent="0.3">
      <c r="F635" s="26"/>
      <c r="G635" s="26"/>
      <c r="H635" s="26"/>
      <c r="I635" s="26"/>
    </row>
    <row r="636" spans="6:9" x14ac:dyDescent="0.3">
      <c r="F636" s="26"/>
      <c r="G636" s="26"/>
      <c r="H636" s="26"/>
      <c r="I636" s="26"/>
    </row>
    <row r="637" spans="6:9" x14ac:dyDescent="0.3">
      <c r="F637" s="26"/>
      <c r="G637" s="26"/>
      <c r="H637" s="26"/>
      <c r="I637" s="26"/>
    </row>
    <row r="638" spans="6:9" x14ac:dyDescent="0.3">
      <c r="F638" s="26"/>
      <c r="G638" s="26"/>
      <c r="H638" s="26"/>
      <c r="I638" s="26"/>
    </row>
    <row r="639" spans="6:9" x14ac:dyDescent="0.3">
      <c r="F639" s="26"/>
      <c r="G639" s="26"/>
      <c r="H639" s="26"/>
      <c r="I639" s="26"/>
    </row>
    <row r="640" spans="6:9" x14ac:dyDescent="0.3">
      <c r="F640" s="26"/>
      <c r="G640" s="26"/>
      <c r="H640" s="26"/>
      <c r="I640" s="26"/>
    </row>
    <row r="641" spans="6:9" x14ac:dyDescent="0.3">
      <c r="F641" s="26"/>
      <c r="G641" s="26"/>
      <c r="H641" s="26"/>
      <c r="I641" s="26"/>
    </row>
    <row r="642" spans="6:9" x14ac:dyDescent="0.3">
      <c r="F642" s="26"/>
      <c r="G642" s="26"/>
      <c r="H642" s="26"/>
      <c r="I642" s="26"/>
    </row>
    <row r="643" spans="6:9" x14ac:dyDescent="0.3">
      <c r="F643" s="26"/>
      <c r="G643" s="26"/>
      <c r="H643" s="26"/>
      <c r="I643" s="26"/>
    </row>
    <row r="644" spans="6:9" x14ac:dyDescent="0.3">
      <c r="F644" s="26"/>
      <c r="G644" s="26"/>
      <c r="H644" s="26"/>
      <c r="I644" s="26"/>
    </row>
    <row r="645" spans="6:9" x14ac:dyDescent="0.3">
      <c r="F645" s="26"/>
      <c r="G645" s="26"/>
      <c r="H645" s="26"/>
      <c r="I645" s="26"/>
    </row>
    <row r="646" spans="6:9" x14ac:dyDescent="0.3">
      <c r="F646" s="26"/>
      <c r="G646" s="26"/>
      <c r="H646" s="26"/>
      <c r="I646" s="26"/>
    </row>
    <row r="647" spans="6:9" x14ac:dyDescent="0.3">
      <c r="F647" s="26"/>
      <c r="G647" s="26"/>
      <c r="H647" s="26"/>
      <c r="I647" s="26"/>
    </row>
    <row r="648" spans="6:9" x14ac:dyDescent="0.3">
      <c r="F648" s="26"/>
      <c r="G648" s="26"/>
      <c r="H648" s="26"/>
      <c r="I648" s="26"/>
    </row>
    <row r="649" spans="6:9" x14ac:dyDescent="0.3">
      <c r="F649" s="26"/>
      <c r="G649" s="26"/>
      <c r="H649" s="26"/>
      <c r="I649" s="26"/>
    </row>
    <row r="650" spans="6:9" x14ac:dyDescent="0.3">
      <c r="F650" s="26"/>
      <c r="G650" s="26"/>
      <c r="H650" s="26"/>
      <c r="I650" s="26"/>
    </row>
    <row r="651" spans="6:9" x14ac:dyDescent="0.3">
      <c r="F651" s="26"/>
      <c r="G651" s="26"/>
      <c r="H651" s="26"/>
      <c r="I651" s="26"/>
    </row>
    <row r="652" spans="6:9" x14ac:dyDescent="0.3">
      <c r="F652" s="26"/>
      <c r="G652" s="26"/>
      <c r="H652" s="26"/>
      <c r="I652" s="26"/>
    </row>
    <row r="653" spans="6:9" x14ac:dyDescent="0.3">
      <c r="F653" s="26"/>
      <c r="G653" s="26"/>
      <c r="H653" s="26"/>
      <c r="I653" s="26"/>
    </row>
    <row r="654" spans="6:9" x14ac:dyDescent="0.3">
      <c r="F654" s="26"/>
      <c r="G654" s="26"/>
      <c r="H654" s="26"/>
      <c r="I654" s="26"/>
    </row>
    <row r="655" spans="6:9" x14ac:dyDescent="0.3">
      <c r="F655" s="26"/>
      <c r="G655" s="26"/>
      <c r="H655" s="26"/>
      <c r="I655" s="26"/>
    </row>
    <row r="656" spans="6:9" x14ac:dyDescent="0.3">
      <c r="F656" s="26"/>
      <c r="G656" s="26"/>
      <c r="H656" s="26"/>
      <c r="I656" s="26"/>
    </row>
    <row r="657" spans="6:9" x14ac:dyDescent="0.3">
      <c r="F657" s="26"/>
      <c r="G657" s="26"/>
      <c r="H657" s="26"/>
      <c r="I657" s="26"/>
    </row>
    <row r="658" spans="6:9" x14ac:dyDescent="0.3">
      <c r="F658" s="26"/>
      <c r="G658" s="26"/>
      <c r="H658" s="26"/>
      <c r="I658" s="26"/>
    </row>
    <row r="659" spans="6:9" x14ac:dyDescent="0.3">
      <c r="F659" s="26"/>
      <c r="G659" s="26"/>
      <c r="H659" s="26"/>
      <c r="I659" s="26"/>
    </row>
    <row r="660" spans="6:9" x14ac:dyDescent="0.3">
      <c r="F660" s="26"/>
      <c r="G660" s="26"/>
      <c r="H660" s="26"/>
      <c r="I660" s="26"/>
    </row>
    <row r="661" spans="6:9" x14ac:dyDescent="0.3">
      <c r="F661" s="26"/>
      <c r="G661" s="26"/>
      <c r="H661" s="26"/>
      <c r="I661" s="26"/>
    </row>
    <row r="662" spans="6:9" x14ac:dyDescent="0.3">
      <c r="F662" s="26"/>
      <c r="G662" s="26"/>
      <c r="H662" s="26"/>
      <c r="I662" s="26"/>
    </row>
    <row r="663" spans="6:9" x14ac:dyDescent="0.3">
      <c r="F663" s="26"/>
      <c r="G663" s="26"/>
      <c r="H663" s="26"/>
      <c r="I663" s="26"/>
    </row>
    <row r="664" spans="6:9" x14ac:dyDescent="0.3">
      <c r="F664" s="26"/>
      <c r="G664" s="26"/>
      <c r="H664" s="26"/>
      <c r="I664" s="26"/>
    </row>
    <row r="665" spans="6:9" x14ac:dyDescent="0.3">
      <c r="F665" s="26"/>
      <c r="G665" s="26"/>
      <c r="H665" s="26"/>
      <c r="I665" s="26"/>
    </row>
    <row r="666" spans="6:9" x14ac:dyDescent="0.3">
      <c r="F666" s="26"/>
      <c r="G666" s="26"/>
      <c r="H666" s="26"/>
      <c r="I666" s="26"/>
    </row>
    <row r="667" spans="6:9" x14ac:dyDescent="0.3">
      <c r="F667" s="26"/>
      <c r="G667" s="26"/>
      <c r="H667" s="26"/>
      <c r="I667" s="26"/>
    </row>
    <row r="668" spans="6:9" x14ac:dyDescent="0.3">
      <c r="F668" s="26"/>
      <c r="G668" s="26"/>
      <c r="H668" s="26"/>
      <c r="I668" s="26"/>
    </row>
    <row r="669" spans="6:9" x14ac:dyDescent="0.3">
      <c r="F669" s="26"/>
      <c r="G669" s="26"/>
      <c r="H669" s="26"/>
      <c r="I669" s="26"/>
    </row>
    <row r="670" spans="6:9" x14ac:dyDescent="0.3">
      <c r="F670" s="26"/>
      <c r="G670" s="26"/>
      <c r="H670" s="26"/>
      <c r="I670" s="26"/>
    </row>
    <row r="671" spans="6:9" x14ac:dyDescent="0.3">
      <c r="F671" s="26"/>
      <c r="G671" s="26"/>
      <c r="H671" s="26"/>
      <c r="I671" s="26"/>
    </row>
    <row r="672" spans="6:9" x14ac:dyDescent="0.3">
      <c r="F672" s="26"/>
      <c r="G672" s="26"/>
      <c r="H672" s="26"/>
      <c r="I672" s="26"/>
    </row>
    <row r="673" spans="6:9" x14ac:dyDescent="0.3">
      <c r="F673" s="26"/>
      <c r="G673" s="26"/>
      <c r="H673" s="26"/>
      <c r="I673" s="26"/>
    </row>
    <row r="674" spans="6:9" x14ac:dyDescent="0.3">
      <c r="F674" s="26"/>
      <c r="G674" s="26"/>
      <c r="H674" s="26"/>
      <c r="I674" s="26"/>
    </row>
    <row r="675" spans="6:9" x14ac:dyDescent="0.3">
      <c r="F675" s="26"/>
      <c r="G675" s="26"/>
      <c r="H675" s="26"/>
      <c r="I675" s="26"/>
    </row>
    <row r="676" spans="6:9" x14ac:dyDescent="0.3">
      <c r="F676" s="26"/>
      <c r="G676" s="26"/>
      <c r="H676" s="26"/>
      <c r="I676" s="26"/>
    </row>
    <row r="677" spans="6:9" x14ac:dyDescent="0.3">
      <c r="F677" s="26"/>
      <c r="G677" s="26"/>
      <c r="H677" s="26"/>
      <c r="I677" s="26"/>
    </row>
    <row r="678" spans="6:9" x14ac:dyDescent="0.3">
      <c r="F678" s="26"/>
      <c r="G678" s="26"/>
      <c r="H678" s="26"/>
      <c r="I678" s="26"/>
    </row>
    <row r="679" spans="6:9" x14ac:dyDescent="0.3">
      <c r="F679" s="26"/>
      <c r="G679" s="26"/>
      <c r="H679" s="26"/>
      <c r="I679" s="26"/>
    </row>
    <row r="680" spans="6:9" x14ac:dyDescent="0.3">
      <c r="F680" s="26"/>
      <c r="G680" s="26"/>
      <c r="H680" s="26"/>
      <c r="I680" s="26"/>
    </row>
    <row r="681" spans="6:9" x14ac:dyDescent="0.3">
      <c r="F681" s="26"/>
      <c r="G681" s="26"/>
      <c r="H681" s="26"/>
      <c r="I681" s="26"/>
    </row>
    <row r="682" spans="6:9" x14ac:dyDescent="0.3">
      <c r="F682" s="26"/>
      <c r="G682" s="26"/>
      <c r="H682" s="26"/>
      <c r="I682" s="26"/>
    </row>
    <row r="683" spans="6:9" x14ac:dyDescent="0.3">
      <c r="F683" s="26"/>
      <c r="G683" s="26"/>
      <c r="H683" s="26"/>
      <c r="I683" s="26"/>
    </row>
    <row r="684" spans="6:9" x14ac:dyDescent="0.3">
      <c r="F684" s="26"/>
      <c r="G684" s="26"/>
      <c r="H684" s="26"/>
      <c r="I684" s="26"/>
    </row>
    <row r="685" spans="6:9" x14ac:dyDescent="0.3">
      <c r="F685" s="26"/>
      <c r="G685" s="26"/>
      <c r="H685" s="26"/>
      <c r="I685" s="26"/>
    </row>
    <row r="686" spans="6:9" x14ac:dyDescent="0.3">
      <c r="F686" s="26"/>
      <c r="G686" s="26"/>
      <c r="H686" s="26"/>
      <c r="I686" s="26"/>
    </row>
    <row r="687" spans="6:9" x14ac:dyDescent="0.3">
      <c r="F687" s="26"/>
      <c r="G687" s="26"/>
      <c r="H687" s="26"/>
      <c r="I687" s="26"/>
    </row>
    <row r="688" spans="6:9" x14ac:dyDescent="0.3">
      <c r="F688" s="26"/>
      <c r="G688" s="26"/>
      <c r="H688" s="26"/>
      <c r="I688" s="26"/>
    </row>
    <row r="689" spans="6:9" x14ac:dyDescent="0.3">
      <c r="F689" s="26"/>
      <c r="G689" s="26"/>
      <c r="H689" s="26"/>
      <c r="I689" s="26"/>
    </row>
    <row r="690" spans="6:9" x14ac:dyDescent="0.3">
      <c r="F690" s="26"/>
      <c r="G690" s="26"/>
      <c r="H690" s="26"/>
      <c r="I690" s="26"/>
    </row>
    <row r="691" spans="6:9" x14ac:dyDescent="0.3">
      <c r="F691" s="26"/>
      <c r="G691" s="26"/>
      <c r="H691" s="26"/>
      <c r="I691" s="26"/>
    </row>
    <row r="692" spans="6:9" x14ac:dyDescent="0.3">
      <c r="F692" s="26"/>
      <c r="G692" s="26"/>
      <c r="H692" s="26"/>
      <c r="I692" s="26"/>
    </row>
    <row r="693" spans="6:9" x14ac:dyDescent="0.3">
      <c r="F693" s="26"/>
      <c r="G693" s="26"/>
      <c r="H693" s="26"/>
      <c r="I693" s="26"/>
    </row>
    <row r="694" spans="6:9" x14ac:dyDescent="0.3">
      <c r="F694" s="26"/>
      <c r="G694" s="26"/>
      <c r="H694" s="26"/>
      <c r="I694" s="26"/>
    </row>
    <row r="695" spans="6:9" x14ac:dyDescent="0.3">
      <c r="F695" s="26"/>
      <c r="G695" s="26"/>
      <c r="H695" s="26"/>
      <c r="I695" s="26"/>
    </row>
    <row r="696" spans="6:9" x14ac:dyDescent="0.3">
      <c r="F696" s="26"/>
      <c r="G696" s="26"/>
      <c r="H696" s="26"/>
      <c r="I696" s="26"/>
    </row>
    <row r="697" spans="6:9" x14ac:dyDescent="0.3">
      <c r="F697" s="26"/>
      <c r="G697" s="26"/>
      <c r="H697" s="26"/>
      <c r="I697" s="26"/>
    </row>
    <row r="698" spans="6:9" x14ac:dyDescent="0.3">
      <c r="F698" s="26"/>
      <c r="G698" s="26"/>
      <c r="H698" s="26"/>
      <c r="I698" s="26"/>
    </row>
    <row r="699" spans="6:9" x14ac:dyDescent="0.3">
      <c r="F699" s="26"/>
      <c r="G699" s="26"/>
      <c r="H699" s="26"/>
      <c r="I699" s="26"/>
    </row>
    <row r="700" spans="6:9" x14ac:dyDescent="0.3">
      <c r="F700" s="26"/>
      <c r="G700" s="26"/>
      <c r="H700" s="26"/>
      <c r="I700" s="26"/>
    </row>
    <row r="701" spans="6:9" x14ac:dyDescent="0.3">
      <c r="F701" s="26"/>
      <c r="G701" s="26"/>
      <c r="H701" s="26"/>
      <c r="I701" s="26"/>
    </row>
    <row r="702" spans="6:9" x14ac:dyDescent="0.3">
      <c r="F702" s="26"/>
      <c r="G702" s="26"/>
      <c r="H702" s="26"/>
      <c r="I702" s="26"/>
    </row>
    <row r="703" spans="6:9" x14ac:dyDescent="0.3">
      <c r="F703" s="26"/>
      <c r="G703" s="26"/>
      <c r="H703" s="26"/>
      <c r="I703" s="26"/>
    </row>
    <row r="704" spans="6:9" x14ac:dyDescent="0.3">
      <c r="F704" s="26"/>
      <c r="G704" s="26"/>
      <c r="H704" s="26"/>
      <c r="I704" s="26"/>
    </row>
    <row r="705" spans="6:9" x14ac:dyDescent="0.3">
      <c r="F705" s="26"/>
      <c r="G705" s="26"/>
      <c r="H705" s="26"/>
      <c r="I705" s="26"/>
    </row>
    <row r="706" spans="6:9" x14ac:dyDescent="0.3">
      <c r="F706" s="26"/>
      <c r="G706" s="26"/>
      <c r="H706" s="26"/>
      <c r="I706" s="26"/>
    </row>
    <row r="707" spans="6:9" x14ac:dyDescent="0.3">
      <c r="F707" s="26"/>
      <c r="G707" s="26"/>
      <c r="H707" s="26"/>
      <c r="I707" s="26"/>
    </row>
    <row r="708" spans="6:9" x14ac:dyDescent="0.3">
      <c r="F708" s="26"/>
      <c r="G708" s="26"/>
      <c r="H708" s="26"/>
      <c r="I708" s="26"/>
    </row>
    <row r="709" spans="6:9" x14ac:dyDescent="0.3">
      <c r="F709" s="26"/>
      <c r="G709" s="26"/>
      <c r="H709" s="26"/>
      <c r="I709" s="26"/>
    </row>
    <row r="710" spans="6:9" x14ac:dyDescent="0.3">
      <c r="F710" s="26"/>
      <c r="G710" s="26"/>
      <c r="H710" s="26"/>
      <c r="I710" s="26"/>
    </row>
    <row r="711" spans="6:9" x14ac:dyDescent="0.3">
      <c r="F711" s="26"/>
      <c r="G711" s="26"/>
      <c r="H711" s="26"/>
      <c r="I711" s="26"/>
    </row>
    <row r="712" spans="6:9" x14ac:dyDescent="0.3">
      <c r="F712" s="26"/>
      <c r="G712" s="26"/>
      <c r="H712" s="26"/>
      <c r="I712" s="26"/>
    </row>
    <row r="713" spans="6:9" x14ac:dyDescent="0.3">
      <c r="F713" s="26"/>
      <c r="G713" s="26"/>
      <c r="H713" s="26"/>
      <c r="I713" s="26"/>
    </row>
    <row r="714" spans="6:9" x14ac:dyDescent="0.3">
      <c r="F714" s="26"/>
      <c r="G714" s="26"/>
      <c r="H714" s="26"/>
      <c r="I714" s="26"/>
    </row>
    <row r="715" spans="6:9" x14ac:dyDescent="0.3">
      <c r="F715" s="26"/>
      <c r="G715" s="26"/>
      <c r="H715" s="26"/>
      <c r="I715" s="26"/>
    </row>
    <row r="716" spans="6:9" x14ac:dyDescent="0.3">
      <c r="F716" s="26"/>
      <c r="G716" s="26"/>
      <c r="H716" s="26"/>
      <c r="I716" s="26"/>
    </row>
    <row r="717" spans="6:9" x14ac:dyDescent="0.3">
      <c r="F717" s="26"/>
      <c r="G717" s="26"/>
      <c r="H717" s="26"/>
      <c r="I717" s="26"/>
    </row>
    <row r="718" spans="6:9" x14ac:dyDescent="0.3">
      <c r="F718" s="26"/>
      <c r="G718" s="26"/>
      <c r="H718" s="26"/>
      <c r="I718" s="26"/>
    </row>
    <row r="719" spans="6:9" x14ac:dyDescent="0.3">
      <c r="F719" s="26"/>
      <c r="G719" s="26"/>
      <c r="H719" s="26"/>
      <c r="I719" s="26"/>
    </row>
    <row r="720" spans="6:9" x14ac:dyDescent="0.3">
      <c r="F720" s="26"/>
      <c r="G720" s="26"/>
      <c r="H720" s="26"/>
      <c r="I720" s="26"/>
    </row>
    <row r="721" spans="6:9" x14ac:dyDescent="0.3">
      <c r="F721" s="26"/>
      <c r="G721" s="26"/>
      <c r="H721" s="26"/>
      <c r="I721" s="26"/>
    </row>
    <row r="722" spans="6:9" x14ac:dyDescent="0.3">
      <c r="F722" s="26"/>
      <c r="G722" s="26"/>
      <c r="H722" s="26"/>
      <c r="I722" s="26"/>
    </row>
    <row r="723" spans="6:9" x14ac:dyDescent="0.3">
      <c r="F723" s="26"/>
      <c r="G723" s="26"/>
      <c r="H723" s="26"/>
      <c r="I723" s="26"/>
    </row>
    <row r="724" spans="6:9" x14ac:dyDescent="0.3">
      <c r="F724" s="26"/>
      <c r="G724" s="26"/>
      <c r="H724" s="26"/>
      <c r="I724" s="26"/>
    </row>
    <row r="725" spans="6:9" x14ac:dyDescent="0.3">
      <c r="F725" s="26"/>
      <c r="G725" s="26"/>
      <c r="H725" s="26"/>
      <c r="I725" s="26"/>
    </row>
    <row r="726" spans="6:9" x14ac:dyDescent="0.3">
      <c r="F726" s="26"/>
      <c r="G726" s="26"/>
      <c r="H726" s="26"/>
      <c r="I726" s="26"/>
    </row>
    <row r="727" spans="6:9" x14ac:dyDescent="0.3">
      <c r="F727" s="26"/>
      <c r="G727" s="26"/>
      <c r="H727" s="26"/>
      <c r="I727" s="26"/>
    </row>
    <row r="728" spans="6:9" x14ac:dyDescent="0.3">
      <c r="F728" s="26"/>
      <c r="G728" s="26"/>
      <c r="H728" s="26"/>
      <c r="I728" s="26"/>
    </row>
    <row r="729" spans="6:9" x14ac:dyDescent="0.3">
      <c r="F729" s="26"/>
      <c r="G729" s="26"/>
      <c r="H729" s="26"/>
      <c r="I729" s="26"/>
    </row>
    <row r="730" spans="6:9" x14ac:dyDescent="0.3">
      <c r="F730" s="26"/>
      <c r="G730" s="26"/>
      <c r="H730" s="26"/>
      <c r="I730" s="26"/>
    </row>
    <row r="731" spans="6:9" x14ac:dyDescent="0.3">
      <c r="F731" s="26"/>
      <c r="G731" s="26"/>
      <c r="H731" s="26"/>
      <c r="I731" s="26"/>
    </row>
    <row r="732" spans="6:9" x14ac:dyDescent="0.3">
      <c r="F732" s="26"/>
      <c r="G732" s="26"/>
      <c r="H732" s="26"/>
      <c r="I732" s="26"/>
    </row>
    <row r="733" spans="6:9" x14ac:dyDescent="0.3">
      <c r="F733" s="26"/>
      <c r="G733" s="26"/>
      <c r="H733" s="26"/>
      <c r="I733" s="26"/>
    </row>
    <row r="734" spans="6:9" x14ac:dyDescent="0.3">
      <c r="F734" s="26"/>
      <c r="G734" s="26"/>
      <c r="H734" s="26"/>
      <c r="I734" s="26"/>
    </row>
    <row r="735" spans="6:9" x14ac:dyDescent="0.3">
      <c r="F735" s="26"/>
      <c r="G735" s="26"/>
      <c r="H735" s="26"/>
      <c r="I735" s="26"/>
    </row>
    <row r="736" spans="6:9" x14ac:dyDescent="0.3">
      <c r="F736" s="26"/>
      <c r="G736" s="26"/>
      <c r="H736" s="26"/>
      <c r="I736" s="26"/>
    </row>
    <row r="737" spans="6:9" x14ac:dyDescent="0.3">
      <c r="F737" s="26"/>
      <c r="G737" s="26"/>
      <c r="H737" s="26"/>
      <c r="I737" s="26"/>
    </row>
    <row r="738" spans="6:9" x14ac:dyDescent="0.3">
      <c r="F738" s="26"/>
      <c r="G738" s="26"/>
      <c r="H738" s="26"/>
      <c r="I738" s="26"/>
    </row>
    <row r="739" spans="6:9" x14ac:dyDescent="0.3">
      <c r="F739" s="26"/>
      <c r="G739" s="26"/>
      <c r="H739" s="26"/>
      <c r="I739" s="26"/>
    </row>
    <row r="740" spans="6:9" x14ac:dyDescent="0.3">
      <c r="F740" s="26"/>
      <c r="G740" s="26"/>
      <c r="H740" s="26"/>
      <c r="I740" s="26"/>
    </row>
    <row r="741" spans="6:9" x14ac:dyDescent="0.3">
      <c r="F741" s="26"/>
      <c r="G741" s="26"/>
      <c r="H741" s="26"/>
      <c r="I741" s="26"/>
    </row>
    <row r="742" spans="6:9" x14ac:dyDescent="0.3">
      <c r="F742" s="26"/>
      <c r="G742" s="26"/>
      <c r="H742" s="26"/>
      <c r="I742" s="26"/>
    </row>
    <row r="743" spans="6:9" x14ac:dyDescent="0.3">
      <c r="F743" s="26"/>
      <c r="G743" s="26"/>
      <c r="H743" s="26"/>
      <c r="I743" s="26"/>
    </row>
    <row r="744" spans="6:9" x14ac:dyDescent="0.3">
      <c r="F744" s="26"/>
      <c r="G744" s="26"/>
      <c r="H744" s="26"/>
      <c r="I744" s="26"/>
    </row>
    <row r="745" spans="6:9" x14ac:dyDescent="0.3">
      <c r="F745" s="26"/>
      <c r="G745" s="26"/>
      <c r="H745" s="26"/>
      <c r="I745" s="26"/>
    </row>
    <row r="746" spans="6:9" x14ac:dyDescent="0.3">
      <c r="F746" s="26"/>
      <c r="G746" s="26"/>
      <c r="H746" s="26"/>
      <c r="I746" s="26"/>
    </row>
    <row r="747" spans="6:9" x14ac:dyDescent="0.3">
      <c r="F747" s="26"/>
      <c r="G747" s="26"/>
      <c r="H747" s="26"/>
      <c r="I747" s="26"/>
    </row>
    <row r="748" spans="6:9" x14ac:dyDescent="0.3">
      <c r="F748" s="26"/>
      <c r="G748" s="26"/>
      <c r="H748" s="26"/>
      <c r="I748" s="26"/>
    </row>
    <row r="749" spans="6:9" x14ac:dyDescent="0.3">
      <c r="F749" s="26"/>
      <c r="G749" s="26"/>
      <c r="H749" s="26"/>
      <c r="I749" s="26"/>
    </row>
    <row r="750" spans="6:9" x14ac:dyDescent="0.3">
      <c r="F750" s="26"/>
      <c r="G750" s="26"/>
      <c r="H750" s="26"/>
      <c r="I750" s="26"/>
    </row>
    <row r="751" spans="6:9" x14ac:dyDescent="0.3">
      <c r="F751" s="26"/>
      <c r="G751" s="26"/>
      <c r="H751" s="26"/>
      <c r="I751" s="26"/>
    </row>
    <row r="752" spans="6:9" x14ac:dyDescent="0.3">
      <c r="F752" s="26"/>
      <c r="G752" s="26"/>
      <c r="H752" s="26"/>
      <c r="I752" s="26"/>
    </row>
    <row r="753" spans="6:9" x14ac:dyDescent="0.3">
      <c r="F753" s="26"/>
      <c r="G753" s="26"/>
      <c r="H753" s="26"/>
      <c r="I753" s="26"/>
    </row>
    <row r="754" spans="6:9" x14ac:dyDescent="0.3">
      <c r="F754" s="26"/>
      <c r="G754" s="26"/>
      <c r="H754" s="26"/>
      <c r="I754" s="26"/>
    </row>
    <row r="755" spans="6:9" x14ac:dyDescent="0.3">
      <c r="F755" s="26"/>
      <c r="G755" s="26"/>
      <c r="H755" s="26"/>
      <c r="I755" s="26"/>
    </row>
    <row r="756" spans="6:9" x14ac:dyDescent="0.3">
      <c r="F756" s="26"/>
      <c r="G756" s="26"/>
      <c r="H756" s="26"/>
      <c r="I756" s="26"/>
    </row>
    <row r="757" spans="6:9" x14ac:dyDescent="0.3">
      <c r="F757" s="26"/>
      <c r="G757" s="26"/>
      <c r="H757" s="26"/>
      <c r="I757" s="26"/>
    </row>
    <row r="758" spans="6:9" x14ac:dyDescent="0.3">
      <c r="F758" s="26"/>
      <c r="G758" s="26"/>
      <c r="H758" s="26"/>
      <c r="I758" s="26"/>
    </row>
    <row r="759" spans="6:9" x14ac:dyDescent="0.3">
      <c r="F759" s="26"/>
      <c r="G759" s="26"/>
      <c r="H759" s="26"/>
      <c r="I759" s="26"/>
    </row>
    <row r="760" spans="6:9" x14ac:dyDescent="0.3">
      <c r="F760" s="26"/>
      <c r="G760" s="26"/>
      <c r="H760" s="26"/>
      <c r="I760" s="26"/>
    </row>
    <row r="761" spans="6:9" x14ac:dyDescent="0.3">
      <c r="F761" s="26"/>
      <c r="G761" s="26"/>
      <c r="H761" s="26"/>
      <c r="I761" s="26"/>
    </row>
    <row r="762" spans="6:9" x14ac:dyDescent="0.3">
      <c r="F762" s="26"/>
      <c r="G762" s="26"/>
      <c r="H762" s="26"/>
      <c r="I762" s="26"/>
    </row>
    <row r="763" spans="6:9" x14ac:dyDescent="0.3">
      <c r="F763" s="26"/>
      <c r="G763" s="26"/>
      <c r="H763" s="26"/>
      <c r="I763" s="26"/>
    </row>
    <row r="764" spans="6:9" x14ac:dyDescent="0.3">
      <c r="F764" s="26"/>
      <c r="G764" s="26"/>
      <c r="H764" s="26"/>
      <c r="I764" s="26"/>
    </row>
    <row r="765" spans="6:9" x14ac:dyDescent="0.3">
      <c r="F765" s="26"/>
      <c r="G765" s="26"/>
      <c r="H765" s="26"/>
      <c r="I765" s="26"/>
    </row>
    <row r="766" spans="6:9" x14ac:dyDescent="0.3">
      <c r="F766" s="26"/>
      <c r="G766" s="26"/>
      <c r="H766" s="26"/>
      <c r="I766" s="26"/>
    </row>
    <row r="767" spans="6:9" x14ac:dyDescent="0.3">
      <c r="F767" s="26"/>
      <c r="G767" s="26"/>
      <c r="H767" s="26"/>
      <c r="I767" s="26"/>
    </row>
    <row r="768" spans="6:9" x14ac:dyDescent="0.3">
      <c r="F768" s="26"/>
      <c r="G768" s="26"/>
      <c r="H768" s="26"/>
      <c r="I768" s="26"/>
    </row>
    <row r="769" spans="6:9" x14ac:dyDescent="0.3">
      <c r="F769" s="26"/>
      <c r="G769" s="26"/>
      <c r="H769" s="26"/>
      <c r="I769" s="26"/>
    </row>
    <row r="770" spans="6:9" x14ac:dyDescent="0.3">
      <c r="F770" s="26"/>
      <c r="G770" s="26"/>
      <c r="H770" s="26"/>
      <c r="I770" s="26"/>
    </row>
    <row r="771" spans="6:9" x14ac:dyDescent="0.3">
      <c r="F771" s="26"/>
      <c r="G771" s="26"/>
      <c r="H771" s="26"/>
      <c r="I771" s="26"/>
    </row>
    <row r="772" spans="6:9" x14ac:dyDescent="0.3">
      <c r="F772" s="26"/>
      <c r="G772" s="26"/>
      <c r="H772" s="26"/>
      <c r="I772" s="26"/>
    </row>
    <row r="773" spans="6:9" x14ac:dyDescent="0.3">
      <c r="F773" s="26"/>
      <c r="G773" s="26"/>
      <c r="H773" s="26"/>
      <c r="I773" s="26"/>
    </row>
    <row r="774" spans="6:9" x14ac:dyDescent="0.3">
      <c r="F774" s="26"/>
      <c r="G774" s="26"/>
      <c r="H774" s="26"/>
      <c r="I774" s="26"/>
    </row>
    <row r="775" spans="6:9" x14ac:dyDescent="0.3">
      <c r="F775" s="26"/>
      <c r="G775" s="26"/>
      <c r="H775" s="26"/>
      <c r="I775" s="26"/>
    </row>
    <row r="776" spans="6:9" x14ac:dyDescent="0.3">
      <c r="F776" s="26"/>
      <c r="G776" s="26"/>
      <c r="H776" s="26"/>
      <c r="I776" s="26"/>
    </row>
    <row r="777" spans="6:9" x14ac:dyDescent="0.3">
      <c r="F777" s="26"/>
      <c r="G777" s="26"/>
      <c r="H777" s="26"/>
      <c r="I777" s="26"/>
    </row>
    <row r="778" spans="6:9" x14ac:dyDescent="0.3">
      <c r="F778" s="26"/>
      <c r="G778" s="26"/>
      <c r="H778" s="26"/>
      <c r="I778" s="26"/>
    </row>
    <row r="779" spans="6:9" x14ac:dyDescent="0.3">
      <c r="F779" s="26"/>
      <c r="G779" s="26"/>
      <c r="H779" s="26"/>
      <c r="I779" s="26"/>
    </row>
    <row r="780" spans="6:9" x14ac:dyDescent="0.3">
      <c r="F780" s="26"/>
      <c r="G780" s="26"/>
      <c r="H780" s="26"/>
      <c r="I780" s="26"/>
    </row>
    <row r="781" spans="6:9" x14ac:dyDescent="0.3">
      <c r="F781" s="26"/>
      <c r="G781" s="26"/>
      <c r="H781" s="26"/>
      <c r="I781" s="26"/>
    </row>
    <row r="782" spans="6:9" x14ac:dyDescent="0.3">
      <c r="F782" s="26"/>
      <c r="G782" s="26"/>
      <c r="H782" s="26"/>
      <c r="I782" s="26"/>
    </row>
    <row r="783" spans="6:9" x14ac:dyDescent="0.3">
      <c r="F783" s="26"/>
      <c r="G783" s="26"/>
      <c r="H783" s="26"/>
      <c r="I783" s="26"/>
    </row>
    <row r="784" spans="6:9" x14ac:dyDescent="0.3">
      <c r="F784" s="26"/>
      <c r="G784" s="26"/>
      <c r="H784" s="26"/>
      <c r="I784" s="26"/>
    </row>
    <row r="785" spans="6:9" x14ac:dyDescent="0.3">
      <c r="F785" s="26"/>
      <c r="G785" s="26"/>
      <c r="H785" s="26"/>
      <c r="I785" s="26"/>
    </row>
    <row r="786" spans="6:9" x14ac:dyDescent="0.3">
      <c r="F786" s="26"/>
      <c r="G786" s="26"/>
      <c r="H786" s="26"/>
      <c r="I786" s="26"/>
    </row>
    <row r="787" spans="6:9" x14ac:dyDescent="0.3">
      <c r="F787" s="26"/>
      <c r="G787" s="26"/>
      <c r="H787" s="26"/>
      <c r="I787" s="26"/>
    </row>
    <row r="788" spans="6:9" x14ac:dyDescent="0.3">
      <c r="F788" s="26"/>
      <c r="G788" s="26"/>
      <c r="H788" s="26"/>
      <c r="I788" s="26"/>
    </row>
    <row r="789" spans="6:9" x14ac:dyDescent="0.3">
      <c r="F789" s="26"/>
      <c r="G789" s="26"/>
      <c r="H789" s="26"/>
      <c r="I789" s="26"/>
    </row>
    <row r="790" spans="6:9" x14ac:dyDescent="0.3">
      <c r="F790" s="26"/>
      <c r="G790" s="26"/>
      <c r="H790" s="26"/>
      <c r="I790" s="26"/>
    </row>
    <row r="791" spans="6:9" x14ac:dyDescent="0.3">
      <c r="F791" s="26"/>
      <c r="G791" s="26"/>
      <c r="H791" s="26"/>
      <c r="I791" s="26"/>
    </row>
    <row r="792" spans="6:9" x14ac:dyDescent="0.3">
      <c r="F792" s="26"/>
      <c r="G792" s="26"/>
      <c r="H792" s="26"/>
      <c r="I792" s="26"/>
    </row>
    <row r="793" spans="6:9" x14ac:dyDescent="0.3">
      <c r="F793" s="26"/>
      <c r="G793" s="26"/>
      <c r="H793" s="26"/>
      <c r="I793" s="26"/>
    </row>
    <row r="794" spans="6:9" x14ac:dyDescent="0.3">
      <c r="F794" s="26"/>
      <c r="G794" s="26"/>
      <c r="H794" s="26"/>
      <c r="I794" s="26"/>
    </row>
    <row r="795" spans="6:9" x14ac:dyDescent="0.3">
      <c r="F795" s="26"/>
      <c r="G795" s="26"/>
      <c r="H795" s="26"/>
      <c r="I795" s="26"/>
    </row>
    <row r="796" spans="6:9" x14ac:dyDescent="0.3">
      <c r="F796" s="26"/>
      <c r="G796" s="26"/>
      <c r="H796" s="26"/>
      <c r="I796" s="26"/>
    </row>
    <row r="797" spans="6:9" x14ac:dyDescent="0.3">
      <c r="F797" s="26"/>
      <c r="G797" s="26"/>
      <c r="H797" s="26"/>
      <c r="I797" s="26"/>
    </row>
    <row r="798" spans="6:9" x14ac:dyDescent="0.3">
      <c r="F798" s="26"/>
      <c r="G798" s="26"/>
      <c r="H798" s="26"/>
      <c r="I798" s="26"/>
    </row>
    <row r="799" spans="6:9" x14ac:dyDescent="0.3">
      <c r="F799" s="26"/>
      <c r="G799" s="26"/>
      <c r="H799" s="26"/>
      <c r="I799" s="26"/>
    </row>
    <row r="800" spans="6:9" x14ac:dyDescent="0.3">
      <c r="F800" s="26"/>
      <c r="G800" s="26"/>
      <c r="H800" s="26"/>
      <c r="I800" s="26"/>
    </row>
    <row r="801" spans="6:9" x14ac:dyDescent="0.3">
      <c r="F801" s="26"/>
      <c r="G801" s="26"/>
      <c r="H801" s="26"/>
      <c r="I801" s="26"/>
    </row>
    <row r="802" spans="6:9" x14ac:dyDescent="0.3">
      <c r="F802" s="26"/>
      <c r="G802" s="26"/>
      <c r="H802" s="26"/>
      <c r="I802" s="26"/>
    </row>
    <row r="803" spans="6:9" x14ac:dyDescent="0.3">
      <c r="F803" s="26"/>
      <c r="G803" s="26"/>
      <c r="H803" s="26"/>
      <c r="I803" s="26"/>
    </row>
    <row r="804" spans="6:9" x14ac:dyDescent="0.3">
      <c r="F804" s="26"/>
      <c r="G804" s="26"/>
      <c r="H804" s="26"/>
      <c r="I804" s="26"/>
    </row>
    <row r="805" spans="6:9" x14ac:dyDescent="0.3">
      <c r="F805" s="26"/>
      <c r="G805" s="26"/>
      <c r="H805" s="26"/>
      <c r="I805" s="26"/>
    </row>
    <row r="806" spans="6:9" x14ac:dyDescent="0.3">
      <c r="F806" s="26"/>
      <c r="G806" s="26"/>
      <c r="H806" s="26"/>
      <c r="I806" s="26"/>
    </row>
    <row r="807" spans="6:9" x14ac:dyDescent="0.3">
      <c r="F807" s="26"/>
      <c r="G807" s="26"/>
      <c r="H807" s="26"/>
      <c r="I807" s="26"/>
    </row>
    <row r="808" spans="6:9" x14ac:dyDescent="0.3">
      <c r="F808" s="26"/>
      <c r="G808" s="26"/>
      <c r="H808" s="26"/>
      <c r="I808" s="26"/>
    </row>
    <row r="809" spans="6:9" x14ac:dyDescent="0.3">
      <c r="F809" s="26"/>
      <c r="G809" s="26"/>
      <c r="H809" s="26"/>
      <c r="I809" s="26"/>
    </row>
    <row r="810" spans="6:9" x14ac:dyDescent="0.3">
      <c r="F810" s="26"/>
      <c r="G810" s="26"/>
      <c r="H810" s="26"/>
      <c r="I810" s="26"/>
    </row>
    <row r="811" spans="6:9" x14ac:dyDescent="0.3">
      <c r="F811" s="26"/>
      <c r="G811" s="26"/>
      <c r="H811" s="26"/>
      <c r="I811" s="26"/>
    </row>
    <row r="812" spans="6:9" x14ac:dyDescent="0.3">
      <c r="F812" s="26"/>
      <c r="G812" s="26"/>
      <c r="H812" s="26"/>
      <c r="I812" s="26"/>
    </row>
    <row r="813" spans="6:9" x14ac:dyDescent="0.3">
      <c r="F813" s="26"/>
      <c r="G813" s="26"/>
      <c r="H813" s="26"/>
      <c r="I813" s="26"/>
    </row>
    <row r="814" spans="6:9" x14ac:dyDescent="0.3">
      <c r="F814" s="26"/>
      <c r="G814" s="26"/>
      <c r="H814" s="26"/>
      <c r="I814" s="26"/>
    </row>
    <row r="815" spans="6:9" x14ac:dyDescent="0.3">
      <c r="F815" s="26"/>
      <c r="G815" s="26"/>
      <c r="H815" s="26"/>
      <c r="I815" s="26"/>
    </row>
    <row r="816" spans="6:9" x14ac:dyDescent="0.3">
      <c r="F816" s="26"/>
      <c r="G816" s="26"/>
      <c r="H816" s="26"/>
      <c r="I816" s="26"/>
    </row>
    <row r="817" spans="6:9" x14ac:dyDescent="0.3">
      <c r="F817" s="26"/>
      <c r="G817" s="26"/>
      <c r="H817" s="26"/>
      <c r="I817" s="26"/>
    </row>
    <row r="818" spans="6:9" x14ac:dyDescent="0.3">
      <c r="F818" s="26"/>
      <c r="G818" s="26"/>
      <c r="H818" s="26"/>
      <c r="I818" s="26"/>
    </row>
    <row r="819" spans="6:9" x14ac:dyDescent="0.3">
      <c r="F819" s="26"/>
      <c r="G819" s="26"/>
      <c r="H819" s="26"/>
      <c r="I819" s="26"/>
    </row>
    <row r="820" spans="6:9" x14ac:dyDescent="0.3">
      <c r="F820" s="26"/>
      <c r="G820" s="26"/>
      <c r="H820" s="26"/>
      <c r="I820" s="26"/>
    </row>
    <row r="821" spans="6:9" x14ac:dyDescent="0.3">
      <c r="F821" s="26"/>
      <c r="G821" s="26"/>
      <c r="H821" s="26"/>
      <c r="I821" s="26"/>
    </row>
    <row r="822" spans="6:9" x14ac:dyDescent="0.3">
      <c r="F822" s="26"/>
      <c r="G822" s="26"/>
      <c r="H822" s="26"/>
      <c r="I822" s="26"/>
    </row>
    <row r="823" spans="6:9" x14ac:dyDescent="0.3">
      <c r="F823" s="26"/>
      <c r="G823" s="26"/>
      <c r="H823" s="26"/>
      <c r="I823" s="26"/>
    </row>
    <row r="824" spans="6:9" x14ac:dyDescent="0.3">
      <c r="F824" s="26"/>
      <c r="G824" s="26"/>
      <c r="H824" s="26"/>
      <c r="I824" s="26"/>
    </row>
    <row r="825" spans="6:9" x14ac:dyDescent="0.3">
      <c r="F825" s="26"/>
      <c r="G825" s="26"/>
      <c r="H825" s="26"/>
      <c r="I825" s="26"/>
    </row>
    <row r="826" spans="6:9" x14ac:dyDescent="0.3">
      <c r="F826" s="26"/>
      <c r="G826" s="26"/>
      <c r="H826" s="26"/>
      <c r="I826" s="26"/>
    </row>
    <row r="827" spans="6:9" x14ac:dyDescent="0.3">
      <c r="F827" s="26"/>
      <c r="G827" s="26"/>
      <c r="H827" s="26"/>
      <c r="I827" s="26"/>
    </row>
    <row r="828" spans="6:9" x14ac:dyDescent="0.3">
      <c r="F828" s="26"/>
      <c r="G828" s="26"/>
      <c r="H828" s="26"/>
      <c r="I828" s="26"/>
    </row>
    <row r="829" spans="6:9" x14ac:dyDescent="0.3">
      <c r="F829" s="26"/>
      <c r="G829" s="26"/>
      <c r="H829" s="26"/>
      <c r="I829" s="26"/>
    </row>
    <row r="830" spans="6:9" x14ac:dyDescent="0.3">
      <c r="F830" s="26"/>
      <c r="G830" s="26"/>
      <c r="H830" s="26"/>
      <c r="I830" s="26"/>
    </row>
    <row r="831" spans="6:9" x14ac:dyDescent="0.3">
      <c r="F831" s="26"/>
      <c r="G831" s="26"/>
      <c r="H831" s="26"/>
      <c r="I831" s="26"/>
    </row>
    <row r="832" spans="6:9" x14ac:dyDescent="0.3">
      <c r="F832" s="26"/>
      <c r="G832" s="26"/>
      <c r="H832" s="26"/>
      <c r="I832" s="26"/>
    </row>
    <row r="833" spans="6:9" x14ac:dyDescent="0.3">
      <c r="F833" s="26"/>
      <c r="G833" s="26"/>
      <c r="H833" s="26"/>
      <c r="I833" s="26"/>
    </row>
    <row r="834" spans="6:9" x14ac:dyDescent="0.3">
      <c r="F834" s="26"/>
      <c r="G834" s="26"/>
      <c r="H834" s="26"/>
      <c r="I834" s="26"/>
    </row>
    <row r="835" spans="6:9" x14ac:dyDescent="0.3">
      <c r="F835" s="26"/>
      <c r="G835" s="26"/>
      <c r="H835" s="26"/>
      <c r="I835" s="26"/>
    </row>
    <row r="836" spans="6:9" x14ac:dyDescent="0.3">
      <c r="F836" s="26"/>
      <c r="G836" s="26"/>
      <c r="H836" s="26"/>
      <c r="I836" s="26"/>
    </row>
    <row r="837" spans="6:9" x14ac:dyDescent="0.3">
      <c r="F837" s="26"/>
      <c r="G837" s="26"/>
      <c r="H837" s="26"/>
      <c r="I837" s="26"/>
    </row>
    <row r="838" spans="6:9" x14ac:dyDescent="0.3">
      <c r="F838" s="26"/>
      <c r="G838" s="26"/>
      <c r="H838" s="26"/>
      <c r="I838" s="26"/>
    </row>
    <row r="839" spans="6:9" x14ac:dyDescent="0.3">
      <c r="F839" s="26"/>
      <c r="G839" s="26"/>
      <c r="H839" s="26"/>
      <c r="I839" s="26"/>
    </row>
    <row r="840" spans="6:9" x14ac:dyDescent="0.3">
      <c r="F840" s="26"/>
      <c r="G840" s="26"/>
      <c r="H840" s="26"/>
      <c r="I840" s="26"/>
    </row>
    <row r="841" spans="6:9" x14ac:dyDescent="0.3">
      <c r="F841" s="26"/>
      <c r="G841" s="26"/>
      <c r="H841" s="26"/>
      <c r="I841" s="26"/>
    </row>
    <row r="842" spans="6:9" x14ac:dyDescent="0.3">
      <c r="F842" s="26"/>
      <c r="G842" s="26"/>
      <c r="H842" s="26"/>
      <c r="I842" s="26"/>
    </row>
    <row r="843" spans="6:9" x14ac:dyDescent="0.3">
      <c r="F843" s="26"/>
      <c r="G843" s="26"/>
      <c r="H843" s="26"/>
      <c r="I843" s="26"/>
    </row>
    <row r="844" spans="6:9" x14ac:dyDescent="0.3">
      <c r="F844" s="26"/>
      <c r="G844" s="26"/>
      <c r="H844" s="26"/>
      <c r="I844" s="26"/>
    </row>
    <row r="845" spans="6:9" x14ac:dyDescent="0.3">
      <c r="F845" s="26"/>
      <c r="G845" s="26"/>
      <c r="H845" s="26"/>
      <c r="I845" s="26"/>
    </row>
    <row r="846" spans="6:9" x14ac:dyDescent="0.3">
      <c r="F846" s="26"/>
      <c r="G846" s="26"/>
      <c r="H846" s="26"/>
      <c r="I846" s="26"/>
    </row>
    <row r="847" spans="6:9" x14ac:dyDescent="0.3">
      <c r="F847" s="26"/>
      <c r="G847" s="26"/>
      <c r="H847" s="26"/>
      <c r="I847" s="26"/>
    </row>
    <row r="848" spans="6:9" x14ac:dyDescent="0.3">
      <c r="F848" s="26"/>
      <c r="G848" s="26"/>
      <c r="H848" s="26"/>
      <c r="I848" s="26"/>
    </row>
    <row r="849" spans="6:9" x14ac:dyDescent="0.3">
      <c r="F849" s="26"/>
      <c r="G849" s="26"/>
      <c r="H849" s="26"/>
      <c r="I849" s="26"/>
    </row>
    <row r="850" spans="6:9" x14ac:dyDescent="0.3">
      <c r="F850" s="26"/>
      <c r="G850" s="26"/>
      <c r="H850" s="26"/>
      <c r="I850" s="26"/>
    </row>
    <row r="851" spans="6:9" x14ac:dyDescent="0.3">
      <c r="F851" s="26"/>
      <c r="G851" s="26"/>
      <c r="H851" s="26"/>
      <c r="I851" s="26"/>
    </row>
    <row r="852" spans="6:9" x14ac:dyDescent="0.3">
      <c r="F852" s="26"/>
      <c r="G852" s="26"/>
      <c r="H852" s="26"/>
      <c r="I852" s="26"/>
    </row>
    <row r="853" spans="6:9" x14ac:dyDescent="0.3">
      <c r="F853" s="26"/>
      <c r="G853" s="26"/>
      <c r="H853" s="26"/>
      <c r="I853" s="26"/>
    </row>
    <row r="854" spans="6:9" x14ac:dyDescent="0.3">
      <c r="F854" s="26"/>
      <c r="G854" s="26"/>
      <c r="H854" s="26"/>
      <c r="I854" s="26"/>
    </row>
    <row r="855" spans="6:9" x14ac:dyDescent="0.3">
      <c r="F855" s="26"/>
      <c r="G855" s="26"/>
      <c r="H855" s="26"/>
      <c r="I855" s="26"/>
    </row>
    <row r="856" spans="6:9" x14ac:dyDescent="0.3">
      <c r="F856" s="26"/>
      <c r="G856" s="26"/>
      <c r="H856" s="26"/>
      <c r="I856" s="26"/>
    </row>
    <row r="857" spans="6:9" x14ac:dyDescent="0.3">
      <c r="F857" s="26"/>
      <c r="G857" s="26"/>
      <c r="H857" s="26"/>
      <c r="I857" s="26"/>
    </row>
    <row r="858" spans="6:9" x14ac:dyDescent="0.3">
      <c r="F858" s="26"/>
      <c r="G858" s="26"/>
      <c r="H858" s="26"/>
      <c r="I858" s="26"/>
    </row>
    <row r="859" spans="6:9" x14ac:dyDescent="0.3">
      <c r="F859" s="26"/>
      <c r="G859" s="26"/>
      <c r="H859" s="26"/>
      <c r="I859" s="26"/>
    </row>
    <row r="860" spans="6:9" x14ac:dyDescent="0.3">
      <c r="F860" s="26"/>
      <c r="G860" s="26"/>
      <c r="H860" s="26"/>
      <c r="I860" s="26"/>
    </row>
    <row r="861" spans="6:9" x14ac:dyDescent="0.3">
      <c r="F861" s="26"/>
      <c r="G861" s="26"/>
      <c r="H861" s="26"/>
      <c r="I861" s="26"/>
    </row>
    <row r="862" spans="6:9" x14ac:dyDescent="0.3">
      <c r="F862" s="26"/>
      <c r="G862" s="26"/>
      <c r="H862" s="26"/>
      <c r="I862" s="26"/>
    </row>
    <row r="863" spans="6:9" x14ac:dyDescent="0.3">
      <c r="F863" s="26"/>
      <c r="G863" s="26"/>
      <c r="H863" s="26"/>
      <c r="I863" s="26"/>
    </row>
    <row r="864" spans="6:9" x14ac:dyDescent="0.3">
      <c r="F864" s="26"/>
      <c r="G864" s="26"/>
      <c r="H864" s="26"/>
      <c r="I864" s="26"/>
    </row>
    <row r="865" spans="6:9" x14ac:dyDescent="0.3">
      <c r="F865" s="26"/>
      <c r="G865" s="26"/>
      <c r="H865" s="26"/>
      <c r="I865" s="26"/>
    </row>
    <row r="866" spans="6:9" x14ac:dyDescent="0.3">
      <c r="F866" s="26"/>
      <c r="G866" s="26"/>
      <c r="H866" s="26"/>
      <c r="I866" s="26"/>
    </row>
    <row r="867" spans="6:9" x14ac:dyDescent="0.3">
      <c r="F867" s="26"/>
      <c r="G867" s="26"/>
      <c r="H867" s="26"/>
      <c r="I867" s="26"/>
    </row>
    <row r="868" spans="6:9" x14ac:dyDescent="0.3">
      <c r="F868" s="26"/>
      <c r="G868" s="26"/>
      <c r="H868" s="26"/>
      <c r="I868" s="26"/>
    </row>
    <row r="869" spans="6:9" x14ac:dyDescent="0.3">
      <c r="F869" s="26"/>
      <c r="G869" s="26"/>
      <c r="H869" s="26"/>
      <c r="I869" s="26"/>
    </row>
    <row r="870" spans="6:9" x14ac:dyDescent="0.3">
      <c r="F870" s="26"/>
      <c r="G870" s="26"/>
      <c r="H870" s="26"/>
      <c r="I870" s="26"/>
    </row>
    <row r="871" spans="6:9" x14ac:dyDescent="0.3">
      <c r="F871" s="26"/>
      <c r="G871" s="26"/>
      <c r="H871" s="26"/>
      <c r="I871" s="26"/>
    </row>
    <row r="872" spans="6:9" x14ac:dyDescent="0.3">
      <c r="F872" s="26"/>
      <c r="G872" s="26"/>
      <c r="H872" s="26"/>
      <c r="I872" s="26"/>
    </row>
    <row r="873" spans="6:9" x14ac:dyDescent="0.3">
      <c r="F873" s="26"/>
      <c r="G873" s="26"/>
      <c r="H873" s="26"/>
      <c r="I873" s="26"/>
    </row>
    <row r="874" spans="6:9" x14ac:dyDescent="0.3">
      <c r="F874" s="26"/>
      <c r="G874" s="26"/>
      <c r="H874" s="26"/>
      <c r="I874" s="26"/>
    </row>
    <row r="875" spans="6:9" x14ac:dyDescent="0.3">
      <c r="F875" s="26"/>
      <c r="G875" s="26"/>
      <c r="H875" s="26"/>
      <c r="I875" s="26"/>
    </row>
    <row r="876" spans="6:9" x14ac:dyDescent="0.3">
      <c r="F876" s="26"/>
      <c r="G876" s="26"/>
      <c r="H876" s="26"/>
      <c r="I876" s="26"/>
    </row>
    <row r="877" spans="6:9" x14ac:dyDescent="0.3">
      <c r="F877" s="26"/>
      <c r="G877" s="26"/>
      <c r="H877" s="26"/>
      <c r="I877" s="26"/>
    </row>
    <row r="878" spans="6:9" x14ac:dyDescent="0.3">
      <c r="F878" s="26"/>
      <c r="G878" s="26"/>
      <c r="H878" s="26"/>
      <c r="I878" s="26"/>
    </row>
    <row r="879" spans="6:9" x14ac:dyDescent="0.3">
      <c r="F879" s="26"/>
      <c r="G879" s="26"/>
      <c r="H879" s="26"/>
      <c r="I879" s="26"/>
    </row>
    <row r="880" spans="6:9" x14ac:dyDescent="0.3">
      <c r="F880" s="26"/>
      <c r="G880" s="26"/>
      <c r="H880" s="26"/>
      <c r="I880" s="26"/>
    </row>
    <row r="881" spans="6:9" x14ac:dyDescent="0.3">
      <c r="F881" s="26"/>
      <c r="G881" s="26"/>
      <c r="H881" s="26"/>
      <c r="I881" s="26"/>
    </row>
    <row r="882" spans="6:9" x14ac:dyDescent="0.3">
      <c r="F882" s="26"/>
      <c r="G882" s="26"/>
      <c r="H882" s="26"/>
      <c r="I882" s="26"/>
    </row>
    <row r="883" spans="6:9" x14ac:dyDescent="0.3">
      <c r="F883" s="26"/>
      <c r="G883" s="26"/>
      <c r="H883" s="26"/>
      <c r="I883" s="26"/>
    </row>
    <row r="884" spans="6:9" x14ac:dyDescent="0.3">
      <c r="F884" s="26"/>
      <c r="G884" s="26"/>
      <c r="H884" s="26"/>
      <c r="I884" s="26"/>
    </row>
    <row r="885" spans="6:9" x14ac:dyDescent="0.3">
      <c r="F885" s="26"/>
      <c r="G885" s="26"/>
      <c r="H885" s="26"/>
      <c r="I885" s="26"/>
    </row>
    <row r="886" spans="6:9" x14ac:dyDescent="0.3">
      <c r="F886" s="26"/>
      <c r="G886" s="26"/>
      <c r="H886" s="26"/>
      <c r="I886" s="26"/>
    </row>
    <row r="887" spans="6:9" x14ac:dyDescent="0.3">
      <c r="F887" s="26"/>
      <c r="G887" s="26"/>
      <c r="H887" s="26"/>
      <c r="I887" s="26"/>
    </row>
    <row r="888" spans="6:9" x14ac:dyDescent="0.3">
      <c r="F888" s="26"/>
      <c r="G888" s="26"/>
      <c r="H888" s="26"/>
      <c r="I888" s="26"/>
    </row>
    <row r="889" spans="6:9" x14ac:dyDescent="0.3">
      <c r="F889" s="26"/>
      <c r="G889" s="26"/>
      <c r="H889" s="26"/>
      <c r="I889" s="26"/>
    </row>
    <row r="890" spans="6:9" x14ac:dyDescent="0.3">
      <c r="F890" s="26"/>
      <c r="G890" s="26"/>
      <c r="H890" s="26"/>
      <c r="I890" s="26"/>
    </row>
    <row r="891" spans="6:9" x14ac:dyDescent="0.3">
      <c r="F891" s="26"/>
      <c r="G891" s="26"/>
      <c r="H891" s="26"/>
      <c r="I891" s="26"/>
    </row>
    <row r="892" spans="6:9" x14ac:dyDescent="0.3">
      <c r="F892" s="26"/>
      <c r="G892" s="26"/>
      <c r="H892" s="26"/>
      <c r="I892" s="26"/>
    </row>
    <row r="893" spans="6:9" x14ac:dyDescent="0.3">
      <c r="F893" s="26"/>
      <c r="G893" s="26"/>
      <c r="H893" s="26"/>
      <c r="I893" s="26"/>
    </row>
    <row r="894" spans="6:9" x14ac:dyDescent="0.3">
      <c r="F894" s="26"/>
      <c r="G894" s="26"/>
      <c r="H894" s="26"/>
      <c r="I894" s="26"/>
    </row>
    <row r="895" spans="6:9" x14ac:dyDescent="0.3">
      <c r="F895" s="26"/>
      <c r="G895" s="26"/>
      <c r="H895" s="26"/>
      <c r="I895" s="26"/>
    </row>
    <row r="896" spans="6:9" x14ac:dyDescent="0.3">
      <c r="F896" s="26"/>
      <c r="G896" s="26"/>
      <c r="H896" s="26"/>
      <c r="I896" s="26"/>
    </row>
    <row r="897" spans="6:9" x14ac:dyDescent="0.3">
      <c r="F897" s="26"/>
      <c r="G897" s="26"/>
      <c r="H897" s="26"/>
      <c r="I897" s="26"/>
    </row>
    <row r="898" spans="6:9" x14ac:dyDescent="0.3">
      <c r="F898" s="26"/>
      <c r="G898" s="26"/>
      <c r="H898" s="26"/>
      <c r="I898" s="26"/>
    </row>
    <row r="899" spans="6:9" x14ac:dyDescent="0.3">
      <c r="F899" s="26"/>
      <c r="G899" s="26"/>
      <c r="H899" s="26"/>
      <c r="I899" s="26"/>
    </row>
    <row r="900" spans="6:9" x14ac:dyDescent="0.3">
      <c r="F900" s="26"/>
      <c r="G900" s="26"/>
      <c r="H900" s="26"/>
      <c r="I900" s="26"/>
    </row>
    <row r="901" spans="6:9" x14ac:dyDescent="0.3">
      <c r="F901" s="26"/>
      <c r="G901" s="26"/>
      <c r="H901" s="26"/>
      <c r="I901" s="26"/>
    </row>
    <row r="902" spans="6:9" x14ac:dyDescent="0.3">
      <c r="F902" s="26"/>
      <c r="G902" s="26"/>
      <c r="H902" s="26"/>
      <c r="I902" s="26"/>
    </row>
    <row r="903" spans="6:9" x14ac:dyDescent="0.3">
      <c r="F903" s="26"/>
      <c r="G903" s="26"/>
      <c r="H903" s="26"/>
      <c r="I903" s="26"/>
    </row>
    <row r="904" spans="6:9" x14ac:dyDescent="0.3">
      <c r="F904" s="26"/>
      <c r="G904" s="26"/>
      <c r="H904" s="26"/>
      <c r="I904" s="26"/>
    </row>
    <row r="905" spans="6:9" x14ac:dyDescent="0.3">
      <c r="F905" s="26"/>
      <c r="G905" s="26"/>
      <c r="H905" s="26"/>
      <c r="I905" s="26"/>
    </row>
    <row r="906" spans="6:9" x14ac:dyDescent="0.3">
      <c r="F906" s="26"/>
      <c r="G906" s="26"/>
      <c r="H906" s="26"/>
      <c r="I906" s="26"/>
    </row>
    <row r="907" spans="6:9" x14ac:dyDescent="0.3">
      <c r="F907" s="26"/>
      <c r="G907" s="26"/>
      <c r="H907" s="26"/>
      <c r="I907" s="26"/>
    </row>
    <row r="908" spans="6:9" x14ac:dyDescent="0.3">
      <c r="F908" s="26"/>
      <c r="G908" s="26"/>
      <c r="H908" s="26"/>
      <c r="I908" s="26"/>
    </row>
    <row r="909" spans="6:9" x14ac:dyDescent="0.3">
      <c r="F909" s="26"/>
      <c r="G909" s="26"/>
      <c r="H909" s="26"/>
      <c r="I909" s="26"/>
    </row>
    <row r="910" spans="6:9" x14ac:dyDescent="0.3">
      <c r="F910" s="26"/>
      <c r="G910" s="26"/>
      <c r="H910" s="26"/>
      <c r="I910" s="26"/>
    </row>
    <row r="911" spans="6:9" x14ac:dyDescent="0.3">
      <c r="F911" s="26"/>
      <c r="G911" s="26"/>
      <c r="H911" s="26"/>
      <c r="I911" s="26"/>
    </row>
    <row r="912" spans="6:9" x14ac:dyDescent="0.3">
      <c r="F912" s="26"/>
      <c r="G912" s="26"/>
      <c r="H912" s="26"/>
      <c r="I912" s="26"/>
    </row>
    <row r="913" spans="6:9" x14ac:dyDescent="0.3">
      <c r="F913" s="26"/>
      <c r="G913" s="26"/>
      <c r="H913" s="26"/>
      <c r="I913" s="26"/>
    </row>
    <row r="914" spans="6:9" x14ac:dyDescent="0.3">
      <c r="F914" s="26"/>
      <c r="G914" s="26"/>
      <c r="H914" s="26"/>
      <c r="I914" s="26"/>
    </row>
    <row r="915" spans="6:9" x14ac:dyDescent="0.3">
      <c r="F915" s="26"/>
      <c r="G915" s="26"/>
      <c r="H915" s="26"/>
      <c r="I915" s="26"/>
    </row>
    <row r="916" spans="6:9" x14ac:dyDescent="0.3">
      <c r="F916" s="26"/>
      <c r="G916" s="26"/>
      <c r="H916" s="26"/>
      <c r="I916" s="26"/>
    </row>
    <row r="917" spans="6:9" x14ac:dyDescent="0.3">
      <c r="F917" s="26"/>
      <c r="G917" s="26"/>
      <c r="H917" s="26"/>
      <c r="I917" s="26"/>
    </row>
    <row r="918" spans="6:9" x14ac:dyDescent="0.3">
      <c r="F918" s="26"/>
      <c r="G918" s="26"/>
      <c r="H918" s="26"/>
      <c r="I918" s="26"/>
    </row>
    <row r="919" spans="6:9" x14ac:dyDescent="0.3">
      <c r="F919" s="26"/>
      <c r="G919" s="26"/>
      <c r="H919" s="26"/>
      <c r="I919" s="26"/>
    </row>
    <row r="920" spans="6:9" x14ac:dyDescent="0.3">
      <c r="F920" s="26"/>
      <c r="G920" s="26"/>
      <c r="H920" s="26"/>
      <c r="I920" s="26"/>
    </row>
    <row r="921" spans="6:9" x14ac:dyDescent="0.3">
      <c r="F921" s="26"/>
      <c r="G921" s="26"/>
      <c r="H921" s="26"/>
      <c r="I921" s="26"/>
    </row>
    <row r="922" spans="6:9" x14ac:dyDescent="0.3">
      <c r="F922" s="26"/>
      <c r="G922" s="26"/>
      <c r="H922" s="26"/>
      <c r="I922" s="26"/>
    </row>
    <row r="923" spans="6:9" x14ac:dyDescent="0.3">
      <c r="F923" s="26"/>
      <c r="G923" s="26"/>
      <c r="H923" s="26"/>
      <c r="I923" s="26"/>
    </row>
    <row r="924" spans="6:9" x14ac:dyDescent="0.3">
      <c r="F924" s="26"/>
      <c r="G924" s="26"/>
      <c r="H924" s="26"/>
      <c r="I924" s="26"/>
    </row>
    <row r="925" spans="6:9" x14ac:dyDescent="0.3">
      <c r="F925" s="26"/>
      <c r="G925" s="26"/>
      <c r="H925" s="26"/>
      <c r="I925" s="26"/>
    </row>
    <row r="926" spans="6:9" x14ac:dyDescent="0.3">
      <c r="F926" s="26"/>
      <c r="G926" s="26"/>
      <c r="H926" s="26"/>
      <c r="I926" s="26"/>
    </row>
    <row r="927" spans="6:9" x14ac:dyDescent="0.3">
      <c r="F927" s="26"/>
      <c r="G927" s="26"/>
      <c r="H927" s="26"/>
      <c r="I927" s="26"/>
    </row>
    <row r="928" spans="6:9" x14ac:dyDescent="0.3">
      <c r="F928" s="26"/>
      <c r="G928" s="26"/>
      <c r="H928" s="26"/>
      <c r="I928" s="26"/>
    </row>
    <row r="929" spans="6:9" x14ac:dyDescent="0.3">
      <c r="F929" s="26"/>
      <c r="G929" s="26"/>
      <c r="H929" s="26"/>
      <c r="I929" s="26"/>
    </row>
    <row r="930" spans="6:9" x14ac:dyDescent="0.3">
      <c r="F930" s="26"/>
      <c r="G930" s="26"/>
      <c r="H930" s="26"/>
      <c r="I930" s="26"/>
    </row>
    <row r="931" spans="6:9" x14ac:dyDescent="0.3">
      <c r="F931" s="26"/>
      <c r="G931" s="26"/>
      <c r="H931" s="26"/>
      <c r="I931" s="26"/>
    </row>
    <row r="932" spans="6:9" x14ac:dyDescent="0.3">
      <c r="F932" s="26"/>
      <c r="G932" s="26"/>
      <c r="H932" s="26"/>
      <c r="I932" s="26"/>
    </row>
    <row r="933" spans="6:9" x14ac:dyDescent="0.3">
      <c r="F933" s="26"/>
      <c r="G933" s="26"/>
      <c r="H933" s="26"/>
      <c r="I933" s="26"/>
    </row>
    <row r="934" spans="6:9" x14ac:dyDescent="0.3">
      <c r="F934" s="26"/>
      <c r="G934" s="26"/>
      <c r="H934" s="26"/>
      <c r="I934" s="26"/>
    </row>
    <row r="935" spans="6:9" x14ac:dyDescent="0.3">
      <c r="F935" s="26"/>
      <c r="G935" s="26"/>
      <c r="H935" s="26"/>
      <c r="I935" s="26"/>
    </row>
    <row r="936" spans="6:9" x14ac:dyDescent="0.3">
      <c r="F936" s="26"/>
      <c r="G936" s="26"/>
      <c r="H936" s="26"/>
      <c r="I936" s="26"/>
    </row>
    <row r="937" spans="6:9" x14ac:dyDescent="0.3">
      <c r="F937" s="26"/>
      <c r="G937" s="26"/>
      <c r="H937" s="26"/>
      <c r="I937" s="26"/>
    </row>
    <row r="938" spans="6:9" x14ac:dyDescent="0.3">
      <c r="F938" s="26"/>
      <c r="G938" s="26"/>
      <c r="H938" s="26"/>
      <c r="I938" s="26"/>
    </row>
    <row r="939" spans="6:9" x14ac:dyDescent="0.3">
      <c r="F939" s="26"/>
      <c r="G939" s="26"/>
      <c r="H939" s="26"/>
      <c r="I939" s="26"/>
    </row>
    <row r="940" spans="6:9" x14ac:dyDescent="0.3">
      <c r="F940" s="26"/>
      <c r="G940" s="26"/>
      <c r="H940" s="26"/>
      <c r="I940" s="26"/>
    </row>
    <row r="941" spans="6:9" x14ac:dyDescent="0.3">
      <c r="F941" s="26"/>
      <c r="G941" s="26"/>
      <c r="H941" s="26"/>
      <c r="I941" s="26"/>
    </row>
    <row r="942" spans="6:9" x14ac:dyDescent="0.3">
      <c r="F942" s="26"/>
      <c r="G942" s="26"/>
      <c r="H942" s="26"/>
      <c r="I942" s="26"/>
    </row>
    <row r="943" spans="6:9" x14ac:dyDescent="0.3">
      <c r="F943" s="26"/>
      <c r="G943" s="26"/>
      <c r="H943" s="26"/>
      <c r="I943" s="26"/>
    </row>
    <row r="944" spans="6:9" x14ac:dyDescent="0.3">
      <c r="F944" s="26"/>
      <c r="G944" s="26"/>
      <c r="H944" s="26"/>
      <c r="I944" s="26"/>
    </row>
    <row r="945" spans="6:9" x14ac:dyDescent="0.3">
      <c r="F945" s="26"/>
      <c r="G945" s="26"/>
      <c r="H945" s="26"/>
      <c r="I945" s="26"/>
    </row>
    <row r="946" spans="6:9" x14ac:dyDescent="0.3">
      <c r="F946" s="26"/>
      <c r="G946" s="26"/>
      <c r="H946" s="26"/>
      <c r="I946" s="26"/>
    </row>
    <row r="947" spans="6:9" x14ac:dyDescent="0.3">
      <c r="F947" s="26"/>
      <c r="G947" s="26"/>
      <c r="H947" s="26"/>
      <c r="I947" s="26"/>
    </row>
    <row r="948" spans="6:9" x14ac:dyDescent="0.3">
      <c r="F948" s="26"/>
      <c r="G948" s="26"/>
      <c r="H948" s="26"/>
      <c r="I948" s="26"/>
    </row>
    <row r="949" spans="6:9" x14ac:dyDescent="0.3">
      <c r="F949" s="26"/>
      <c r="G949" s="26"/>
      <c r="H949" s="26"/>
      <c r="I949" s="26"/>
    </row>
    <row r="950" spans="6:9" x14ac:dyDescent="0.3">
      <c r="F950" s="26"/>
      <c r="G950" s="26"/>
      <c r="H950" s="26"/>
      <c r="I950" s="26"/>
    </row>
    <row r="951" spans="6:9" x14ac:dyDescent="0.3">
      <c r="F951" s="26"/>
      <c r="G951" s="26"/>
      <c r="H951" s="26"/>
      <c r="I951" s="26"/>
    </row>
    <row r="952" spans="6:9" x14ac:dyDescent="0.3">
      <c r="F952" s="26"/>
      <c r="G952" s="26"/>
      <c r="H952" s="26"/>
      <c r="I952" s="26"/>
    </row>
    <row r="953" spans="6:9" x14ac:dyDescent="0.3">
      <c r="F953" s="26"/>
      <c r="G953" s="26"/>
      <c r="H953" s="26"/>
      <c r="I953" s="26"/>
    </row>
    <row r="954" spans="6:9" x14ac:dyDescent="0.3">
      <c r="F954" s="26"/>
      <c r="G954" s="26"/>
      <c r="H954" s="26"/>
      <c r="I954" s="26"/>
    </row>
    <row r="955" spans="6:9" x14ac:dyDescent="0.3">
      <c r="F955" s="26"/>
      <c r="G955" s="26"/>
      <c r="H955" s="26"/>
      <c r="I955" s="26"/>
    </row>
    <row r="956" spans="6:9" x14ac:dyDescent="0.3">
      <c r="F956" s="26"/>
      <c r="G956" s="26"/>
      <c r="H956" s="26"/>
      <c r="I956" s="26"/>
    </row>
    <row r="957" spans="6:9" x14ac:dyDescent="0.3">
      <c r="F957" s="26"/>
      <c r="G957" s="26"/>
      <c r="H957" s="26"/>
      <c r="I957" s="26"/>
    </row>
    <row r="958" spans="6:9" x14ac:dyDescent="0.3">
      <c r="F958" s="26"/>
      <c r="G958" s="26"/>
      <c r="H958" s="26"/>
      <c r="I958" s="26"/>
    </row>
    <row r="959" spans="6:9" x14ac:dyDescent="0.3">
      <c r="F959" s="26"/>
      <c r="G959" s="26"/>
      <c r="H959" s="26"/>
      <c r="I959" s="26"/>
    </row>
    <row r="960" spans="6:9" x14ac:dyDescent="0.3">
      <c r="F960" s="26"/>
      <c r="G960" s="26"/>
      <c r="H960" s="26"/>
      <c r="I960" s="26"/>
    </row>
    <row r="961" spans="6:9" x14ac:dyDescent="0.3">
      <c r="F961" s="26"/>
      <c r="G961" s="26"/>
      <c r="H961" s="26"/>
      <c r="I961" s="26"/>
    </row>
    <row r="962" spans="6:9" x14ac:dyDescent="0.3">
      <c r="F962" s="26"/>
      <c r="G962" s="26"/>
      <c r="H962" s="26"/>
      <c r="I962" s="26"/>
    </row>
    <row r="963" spans="6:9" x14ac:dyDescent="0.3">
      <c r="F963" s="26"/>
      <c r="G963" s="26"/>
      <c r="H963" s="26"/>
      <c r="I963" s="26"/>
    </row>
    <row r="964" spans="6:9" x14ac:dyDescent="0.3">
      <c r="F964" s="26"/>
      <c r="G964" s="26"/>
      <c r="H964" s="26"/>
      <c r="I964" s="26"/>
    </row>
    <row r="965" spans="6:9" x14ac:dyDescent="0.3">
      <c r="F965" s="26"/>
      <c r="G965" s="26"/>
      <c r="H965" s="26"/>
      <c r="I965" s="26"/>
    </row>
    <row r="966" spans="6:9" x14ac:dyDescent="0.3">
      <c r="F966" s="26"/>
      <c r="G966" s="26"/>
      <c r="H966" s="26"/>
      <c r="I966" s="26"/>
    </row>
    <row r="967" spans="6:9" x14ac:dyDescent="0.3">
      <c r="F967" s="26"/>
      <c r="G967" s="26"/>
      <c r="H967" s="26"/>
      <c r="I967" s="26"/>
    </row>
    <row r="968" spans="6:9" x14ac:dyDescent="0.3">
      <c r="F968" s="26"/>
      <c r="G968" s="26"/>
      <c r="H968" s="26"/>
      <c r="I968" s="26"/>
    </row>
    <row r="969" spans="6:9" x14ac:dyDescent="0.3">
      <c r="F969" s="26"/>
      <c r="G969" s="26"/>
      <c r="H969" s="26"/>
      <c r="I969" s="26"/>
    </row>
    <row r="970" spans="6:9" x14ac:dyDescent="0.3">
      <c r="F970" s="26"/>
      <c r="G970" s="26"/>
      <c r="H970" s="26"/>
      <c r="I970" s="26"/>
    </row>
    <row r="971" spans="6:9" x14ac:dyDescent="0.3">
      <c r="F971" s="26"/>
      <c r="G971" s="26"/>
      <c r="H971" s="26"/>
      <c r="I971" s="26"/>
    </row>
    <row r="972" spans="6:9" x14ac:dyDescent="0.3">
      <c r="F972" s="26"/>
      <c r="G972" s="26"/>
      <c r="H972" s="26"/>
      <c r="I972" s="26"/>
    </row>
    <row r="973" spans="6:9" x14ac:dyDescent="0.3">
      <c r="F973" s="26"/>
      <c r="G973" s="26"/>
      <c r="H973" s="26"/>
      <c r="I973" s="26"/>
    </row>
    <row r="974" spans="6:9" x14ac:dyDescent="0.3">
      <c r="F974" s="26"/>
      <c r="G974" s="26"/>
      <c r="H974" s="26"/>
      <c r="I974" s="26"/>
    </row>
    <row r="975" spans="6:9" x14ac:dyDescent="0.3">
      <c r="F975" s="26"/>
      <c r="G975" s="26"/>
      <c r="H975" s="26"/>
      <c r="I975" s="26"/>
    </row>
    <row r="976" spans="6:9" x14ac:dyDescent="0.3">
      <c r="F976" s="26"/>
      <c r="G976" s="26"/>
      <c r="H976" s="26"/>
      <c r="I976" s="26"/>
    </row>
    <row r="977" spans="6:9" x14ac:dyDescent="0.3">
      <c r="F977" s="26"/>
      <c r="G977" s="26"/>
      <c r="H977" s="26"/>
      <c r="I977" s="26"/>
    </row>
    <row r="978" spans="6:9" x14ac:dyDescent="0.3">
      <c r="F978" s="26"/>
      <c r="G978" s="26"/>
      <c r="H978" s="26"/>
      <c r="I978" s="26"/>
    </row>
    <row r="979" spans="6:9" x14ac:dyDescent="0.3">
      <c r="F979" s="26"/>
      <c r="G979" s="26"/>
      <c r="H979" s="26"/>
      <c r="I979" s="26"/>
    </row>
    <row r="980" spans="6:9" x14ac:dyDescent="0.3">
      <c r="F980" s="26"/>
      <c r="G980" s="26"/>
      <c r="H980" s="26"/>
      <c r="I980" s="26"/>
    </row>
    <row r="981" spans="6:9" x14ac:dyDescent="0.3">
      <c r="F981" s="26"/>
      <c r="G981" s="26"/>
      <c r="H981" s="26"/>
      <c r="I981" s="26"/>
    </row>
    <row r="982" spans="6:9" x14ac:dyDescent="0.3">
      <c r="F982" s="26"/>
      <c r="G982" s="26"/>
      <c r="H982" s="26"/>
      <c r="I982" s="26"/>
    </row>
    <row r="983" spans="6:9" x14ac:dyDescent="0.3">
      <c r="F983" s="26"/>
      <c r="G983" s="26"/>
      <c r="H983" s="26"/>
      <c r="I983" s="26"/>
    </row>
    <row r="984" spans="6:9" x14ac:dyDescent="0.3">
      <c r="F984" s="26"/>
      <c r="G984" s="26"/>
      <c r="H984" s="26"/>
      <c r="I984" s="26"/>
    </row>
    <row r="985" spans="6:9" x14ac:dyDescent="0.3">
      <c r="F985" s="26"/>
      <c r="G985" s="26"/>
      <c r="H985" s="26"/>
      <c r="I985" s="26"/>
    </row>
    <row r="986" spans="6:9" x14ac:dyDescent="0.3">
      <c r="F986" s="26"/>
      <c r="G986" s="26"/>
      <c r="H986" s="26"/>
      <c r="I986" s="26"/>
    </row>
    <row r="987" spans="6:9" x14ac:dyDescent="0.3">
      <c r="F987" s="26"/>
      <c r="G987" s="26"/>
      <c r="H987" s="26"/>
      <c r="I987" s="26"/>
    </row>
    <row r="988" spans="6:9" x14ac:dyDescent="0.3">
      <c r="F988" s="26"/>
      <c r="G988" s="26"/>
      <c r="H988" s="26"/>
      <c r="I988" s="26"/>
    </row>
    <row r="989" spans="6:9" x14ac:dyDescent="0.3">
      <c r="F989" s="26"/>
      <c r="G989" s="26"/>
      <c r="H989" s="26"/>
      <c r="I989" s="26"/>
    </row>
    <row r="990" spans="6:9" x14ac:dyDescent="0.3">
      <c r="F990" s="26"/>
      <c r="G990" s="26"/>
      <c r="H990" s="26"/>
      <c r="I990" s="26"/>
    </row>
    <row r="991" spans="6:9" x14ac:dyDescent="0.3">
      <c r="F991" s="26"/>
      <c r="G991" s="26"/>
      <c r="H991" s="26"/>
      <c r="I991" s="26"/>
    </row>
    <row r="992" spans="6:9" x14ac:dyDescent="0.3">
      <c r="F992" s="26"/>
      <c r="G992" s="26"/>
      <c r="H992" s="26"/>
      <c r="I992" s="26"/>
    </row>
    <row r="993" spans="6:9" x14ac:dyDescent="0.3">
      <c r="F993" s="26"/>
      <c r="G993" s="26"/>
      <c r="H993" s="26"/>
      <c r="I993" s="26"/>
    </row>
    <row r="994" spans="6:9" x14ac:dyDescent="0.3">
      <c r="F994" s="26"/>
      <c r="G994" s="26"/>
      <c r="H994" s="26"/>
      <c r="I994" s="26"/>
    </row>
    <row r="995" spans="6:9" x14ac:dyDescent="0.3">
      <c r="F995" s="26"/>
      <c r="G995" s="26"/>
      <c r="H995" s="26"/>
      <c r="I995" s="26"/>
    </row>
    <row r="996" spans="6:9" x14ac:dyDescent="0.3">
      <c r="F996" s="26"/>
      <c r="G996" s="26"/>
      <c r="H996" s="26"/>
      <c r="I996" s="26"/>
    </row>
    <row r="997" spans="6:9" x14ac:dyDescent="0.3">
      <c r="F997" s="26"/>
      <c r="G997" s="26"/>
      <c r="H997" s="26"/>
      <c r="I997" s="26"/>
    </row>
    <row r="998" spans="6:9" x14ac:dyDescent="0.3">
      <c r="F998" s="26"/>
      <c r="G998" s="26"/>
      <c r="H998" s="26"/>
      <c r="I998" s="26"/>
    </row>
    <row r="999" spans="6:9" x14ac:dyDescent="0.3">
      <c r="F999" s="26"/>
      <c r="G999" s="26"/>
      <c r="H999" s="26"/>
      <c r="I999" s="26"/>
    </row>
    <row r="1000" spans="6:9" x14ac:dyDescent="0.3">
      <c r="F1000" s="26"/>
      <c r="G1000" s="26"/>
      <c r="H1000" s="26"/>
      <c r="I1000" s="26"/>
    </row>
    <row r="1001" spans="6:9" x14ac:dyDescent="0.3">
      <c r="F1001" s="26"/>
      <c r="G1001" s="26"/>
      <c r="H1001" s="26"/>
      <c r="I1001" s="26"/>
    </row>
    <row r="1002" spans="6:9" x14ac:dyDescent="0.3">
      <c r="F1002" s="26"/>
      <c r="G1002" s="26"/>
      <c r="H1002" s="26"/>
      <c r="I1002" s="26"/>
    </row>
    <row r="1003" spans="6:9" x14ac:dyDescent="0.3">
      <c r="F1003" s="26"/>
      <c r="G1003" s="26"/>
      <c r="H1003" s="26"/>
      <c r="I1003" s="26"/>
    </row>
    <row r="1004" spans="6:9" x14ac:dyDescent="0.3">
      <c r="F1004" s="26"/>
      <c r="G1004" s="26"/>
      <c r="H1004" s="26"/>
      <c r="I1004" s="26"/>
    </row>
    <row r="1005" spans="6:9" x14ac:dyDescent="0.3">
      <c r="F1005" s="26"/>
      <c r="G1005" s="26"/>
      <c r="H1005" s="26"/>
      <c r="I1005" s="26"/>
    </row>
    <row r="1006" spans="6:9" x14ac:dyDescent="0.3">
      <c r="F1006" s="26"/>
      <c r="G1006" s="26"/>
      <c r="H1006" s="26"/>
      <c r="I1006" s="26"/>
    </row>
    <row r="1007" spans="6:9" x14ac:dyDescent="0.3">
      <c r="F1007" s="26"/>
      <c r="G1007" s="26"/>
      <c r="H1007" s="26"/>
      <c r="I1007" s="26"/>
    </row>
    <row r="1008" spans="6:9" x14ac:dyDescent="0.3">
      <c r="F1008" s="26"/>
      <c r="G1008" s="26"/>
      <c r="H1008" s="26"/>
      <c r="I1008" s="26"/>
    </row>
    <row r="1009" spans="6:9" x14ac:dyDescent="0.3">
      <c r="F1009" s="26"/>
      <c r="G1009" s="26"/>
      <c r="H1009" s="26"/>
      <c r="I1009" s="26"/>
    </row>
    <row r="1010" spans="6:9" x14ac:dyDescent="0.3">
      <c r="F1010" s="26"/>
      <c r="G1010" s="26"/>
      <c r="H1010" s="26"/>
      <c r="I1010" s="26"/>
    </row>
    <row r="1011" spans="6:9" x14ac:dyDescent="0.3">
      <c r="F1011" s="26"/>
      <c r="G1011" s="26"/>
      <c r="H1011" s="26"/>
      <c r="I1011" s="26"/>
    </row>
    <row r="1012" spans="6:9" x14ac:dyDescent="0.3">
      <c r="F1012" s="26"/>
      <c r="G1012" s="26"/>
      <c r="H1012" s="26"/>
      <c r="I1012" s="26"/>
    </row>
    <row r="1013" spans="6:9" x14ac:dyDescent="0.3">
      <c r="F1013" s="26"/>
      <c r="G1013" s="26"/>
      <c r="H1013" s="26"/>
      <c r="I1013" s="26"/>
    </row>
    <row r="1014" spans="6:9" x14ac:dyDescent="0.3">
      <c r="F1014" s="26"/>
      <c r="G1014" s="26"/>
      <c r="H1014" s="26"/>
      <c r="I1014" s="26"/>
    </row>
    <row r="1015" spans="6:9" x14ac:dyDescent="0.3">
      <c r="F1015" s="26"/>
      <c r="G1015" s="26"/>
      <c r="H1015" s="26"/>
      <c r="I1015" s="26"/>
    </row>
    <row r="1016" spans="6:9" x14ac:dyDescent="0.3">
      <c r="F1016" s="26"/>
      <c r="G1016" s="26"/>
      <c r="H1016" s="26"/>
      <c r="I1016" s="26"/>
    </row>
    <row r="1017" spans="6:9" x14ac:dyDescent="0.3">
      <c r="F1017" s="26"/>
      <c r="G1017" s="26"/>
      <c r="H1017" s="26"/>
      <c r="I1017" s="26"/>
    </row>
    <row r="1018" spans="6:9" x14ac:dyDescent="0.3">
      <c r="F1018" s="26"/>
      <c r="G1018" s="26"/>
      <c r="H1018" s="26"/>
      <c r="I1018" s="26"/>
    </row>
    <row r="1019" spans="6:9" x14ac:dyDescent="0.3">
      <c r="F1019" s="26"/>
      <c r="G1019" s="26"/>
      <c r="H1019" s="26"/>
      <c r="I1019" s="26"/>
    </row>
    <row r="1020" spans="6:9" x14ac:dyDescent="0.3">
      <c r="F1020" s="26"/>
      <c r="G1020" s="26"/>
      <c r="H1020" s="26"/>
      <c r="I1020" s="26"/>
    </row>
    <row r="1021" spans="6:9" x14ac:dyDescent="0.3">
      <c r="F1021" s="26"/>
      <c r="G1021" s="26"/>
      <c r="H1021" s="26"/>
      <c r="I1021" s="26"/>
    </row>
    <row r="1022" spans="6:9" x14ac:dyDescent="0.3">
      <c r="F1022" s="26"/>
      <c r="G1022" s="26"/>
      <c r="H1022" s="26"/>
      <c r="I1022" s="26"/>
    </row>
    <row r="1023" spans="6:9" x14ac:dyDescent="0.3">
      <c r="F1023" s="26"/>
      <c r="G1023" s="26"/>
      <c r="H1023" s="26"/>
      <c r="I1023" s="26"/>
    </row>
    <row r="1024" spans="6:9" x14ac:dyDescent="0.3">
      <c r="F1024" s="26"/>
      <c r="G1024" s="26"/>
      <c r="H1024" s="26"/>
      <c r="I1024" s="26"/>
    </row>
    <row r="1025" spans="6:9" x14ac:dyDescent="0.3">
      <c r="F1025" s="26"/>
      <c r="G1025" s="26"/>
      <c r="H1025" s="26"/>
      <c r="I1025" s="26"/>
    </row>
    <row r="1026" spans="6:9" x14ac:dyDescent="0.3">
      <c r="F1026" s="26"/>
      <c r="G1026" s="26"/>
      <c r="H1026" s="26"/>
      <c r="I1026" s="26"/>
    </row>
    <row r="1027" spans="6:9" x14ac:dyDescent="0.3">
      <c r="F1027" s="26"/>
      <c r="G1027" s="26"/>
      <c r="H1027" s="26"/>
      <c r="I1027" s="26"/>
    </row>
    <row r="1028" spans="6:9" x14ac:dyDescent="0.3">
      <c r="F1028" s="26"/>
      <c r="G1028" s="26"/>
      <c r="H1028" s="26"/>
      <c r="I1028" s="26"/>
    </row>
    <row r="1029" spans="6:9" x14ac:dyDescent="0.3">
      <c r="F1029" s="26"/>
      <c r="G1029" s="26"/>
      <c r="H1029" s="26"/>
      <c r="I1029" s="26"/>
    </row>
    <row r="1030" spans="6:9" x14ac:dyDescent="0.3">
      <c r="F1030" s="26"/>
      <c r="G1030" s="26"/>
      <c r="H1030" s="26"/>
      <c r="I1030" s="26"/>
    </row>
    <row r="1031" spans="6:9" x14ac:dyDescent="0.3">
      <c r="F1031" s="26"/>
      <c r="G1031" s="26"/>
      <c r="H1031" s="26"/>
      <c r="I1031" s="26"/>
    </row>
    <row r="1032" spans="6:9" x14ac:dyDescent="0.3">
      <c r="F1032" s="26"/>
      <c r="G1032" s="26"/>
      <c r="H1032" s="26"/>
      <c r="I1032" s="26"/>
    </row>
    <row r="1033" spans="6:9" x14ac:dyDescent="0.3">
      <c r="F1033" s="26"/>
      <c r="G1033" s="26"/>
      <c r="H1033" s="26"/>
      <c r="I1033" s="26"/>
    </row>
    <row r="1034" spans="6:9" x14ac:dyDescent="0.3">
      <c r="F1034" s="26"/>
      <c r="G1034" s="26"/>
      <c r="H1034" s="26"/>
      <c r="I1034" s="26"/>
    </row>
    <row r="1035" spans="6:9" x14ac:dyDescent="0.3">
      <c r="F1035" s="26"/>
      <c r="G1035" s="26"/>
      <c r="H1035" s="26"/>
      <c r="I1035" s="26"/>
    </row>
    <row r="1036" spans="6:9" x14ac:dyDescent="0.3">
      <c r="F1036" s="26"/>
      <c r="G1036" s="26"/>
      <c r="H1036" s="26"/>
      <c r="I1036" s="26"/>
    </row>
    <row r="1037" spans="6:9" x14ac:dyDescent="0.3">
      <c r="F1037" s="26"/>
      <c r="G1037" s="26"/>
      <c r="H1037" s="26"/>
      <c r="I1037" s="26"/>
    </row>
    <row r="1038" spans="6:9" x14ac:dyDescent="0.3">
      <c r="F1038" s="26"/>
      <c r="G1038" s="26"/>
      <c r="H1038" s="26"/>
      <c r="I1038" s="26"/>
    </row>
    <row r="1039" spans="6:9" x14ac:dyDescent="0.3">
      <c r="F1039" s="26"/>
      <c r="G1039" s="26"/>
      <c r="H1039" s="26"/>
      <c r="I1039" s="26"/>
    </row>
    <row r="1040" spans="6:9" x14ac:dyDescent="0.3">
      <c r="F1040" s="26"/>
      <c r="G1040" s="26"/>
      <c r="H1040" s="26"/>
      <c r="I1040" s="26"/>
    </row>
    <row r="1041" spans="6:9" x14ac:dyDescent="0.3">
      <c r="F1041" s="26"/>
      <c r="G1041" s="26"/>
      <c r="H1041" s="26"/>
      <c r="I1041" s="26"/>
    </row>
    <row r="1042" spans="6:9" x14ac:dyDescent="0.3">
      <c r="F1042" s="26"/>
      <c r="G1042" s="26"/>
      <c r="H1042" s="26"/>
      <c r="I1042" s="26"/>
    </row>
    <row r="1043" spans="6:9" x14ac:dyDescent="0.3">
      <c r="F1043" s="26"/>
      <c r="G1043" s="26"/>
      <c r="H1043" s="26"/>
      <c r="I1043" s="26"/>
    </row>
    <row r="1044" spans="6:9" x14ac:dyDescent="0.3">
      <c r="F1044" s="26"/>
      <c r="G1044" s="26"/>
      <c r="H1044" s="26"/>
      <c r="I1044" s="26"/>
    </row>
    <row r="1045" spans="6:9" x14ac:dyDescent="0.3">
      <c r="F1045" s="26"/>
      <c r="G1045" s="26"/>
      <c r="H1045" s="26"/>
      <c r="I1045" s="26"/>
    </row>
    <row r="1046" spans="6:9" x14ac:dyDescent="0.3">
      <c r="F1046" s="26"/>
      <c r="G1046" s="26"/>
      <c r="H1046" s="26"/>
      <c r="I1046" s="26"/>
    </row>
    <row r="1047" spans="6:9" x14ac:dyDescent="0.3">
      <c r="F1047" s="26"/>
      <c r="G1047" s="26"/>
      <c r="H1047" s="26"/>
      <c r="I1047" s="26"/>
    </row>
    <row r="1048" spans="6:9" x14ac:dyDescent="0.3">
      <c r="F1048" s="26"/>
      <c r="G1048" s="26"/>
      <c r="H1048" s="26"/>
      <c r="I1048" s="26"/>
    </row>
    <row r="1049" spans="6:9" x14ac:dyDescent="0.3">
      <c r="F1049" s="26"/>
      <c r="G1049" s="26"/>
      <c r="H1049" s="26"/>
      <c r="I1049" s="26"/>
    </row>
    <row r="1050" spans="6:9" x14ac:dyDescent="0.3">
      <c r="F1050" s="26"/>
      <c r="G1050" s="26"/>
      <c r="H1050" s="26"/>
      <c r="I1050" s="26"/>
    </row>
    <row r="1051" spans="6:9" x14ac:dyDescent="0.3">
      <c r="F1051" s="26"/>
      <c r="G1051" s="26"/>
      <c r="H1051" s="26"/>
      <c r="I1051" s="26"/>
    </row>
    <row r="1052" spans="6:9" x14ac:dyDescent="0.3">
      <c r="F1052" s="26"/>
      <c r="G1052" s="26"/>
      <c r="H1052" s="26"/>
      <c r="I1052" s="26"/>
    </row>
    <row r="1053" spans="6:9" x14ac:dyDescent="0.3">
      <c r="F1053" s="26"/>
      <c r="G1053" s="26"/>
      <c r="H1053" s="26"/>
      <c r="I1053" s="26"/>
    </row>
    <row r="1054" spans="6:9" x14ac:dyDescent="0.3">
      <c r="F1054" s="26"/>
      <c r="G1054" s="26"/>
      <c r="H1054" s="26"/>
      <c r="I1054" s="26"/>
    </row>
    <row r="1055" spans="6:9" x14ac:dyDescent="0.3">
      <c r="F1055" s="26"/>
      <c r="G1055" s="26"/>
      <c r="H1055" s="26"/>
      <c r="I1055" s="26"/>
    </row>
    <row r="1056" spans="6:9" x14ac:dyDescent="0.3">
      <c r="F1056" s="26"/>
      <c r="G1056" s="26"/>
      <c r="H1056" s="26"/>
      <c r="I1056" s="26"/>
    </row>
    <row r="1057" spans="6:9" x14ac:dyDescent="0.3">
      <c r="F1057" s="26"/>
      <c r="G1057" s="26"/>
      <c r="H1057" s="26"/>
      <c r="I1057" s="26"/>
    </row>
    <row r="1058" spans="6:9" x14ac:dyDescent="0.3">
      <c r="F1058" s="26"/>
      <c r="G1058" s="26"/>
      <c r="H1058" s="26"/>
      <c r="I1058" s="26"/>
    </row>
    <row r="1059" spans="6:9" x14ac:dyDescent="0.3">
      <c r="F1059" s="26"/>
      <c r="G1059" s="26"/>
      <c r="H1059" s="26"/>
      <c r="I1059" s="26"/>
    </row>
    <row r="1060" spans="6:9" x14ac:dyDescent="0.3">
      <c r="F1060" s="26"/>
      <c r="G1060" s="26"/>
      <c r="H1060" s="26"/>
      <c r="I1060" s="26"/>
    </row>
    <row r="1061" spans="6:9" x14ac:dyDescent="0.3">
      <c r="F1061" s="26"/>
      <c r="G1061" s="26"/>
      <c r="H1061" s="26"/>
      <c r="I1061" s="26"/>
    </row>
    <row r="1062" spans="6:9" x14ac:dyDescent="0.3">
      <c r="F1062" s="26"/>
      <c r="G1062" s="26"/>
      <c r="H1062" s="26"/>
      <c r="I1062" s="26"/>
    </row>
    <row r="1063" spans="6:9" x14ac:dyDescent="0.3">
      <c r="F1063" s="26"/>
      <c r="G1063" s="26"/>
      <c r="H1063" s="26"/>
      <c r="I1063" s="26"/>
    </row>
    <row r="1064" spans="6:9" x14ac:dyDescent="0.3">
      <c r="F1064" s="26"/>
      <c r="G1064" s="26"/>
      <c r="H1064" s="26"/>
      <c r="I1064" s="26"/>
    </row>
    <row r="1065" spans="6:9" x14ac:dyDescent="0.3">
      <c r="F1065" s="26"/>
      <c r="G1065" s="26"/>
      <c r="H1065" s="26"/>
      <c r="I1065" s="26"/>
    </row>
    <row r="1066" spans="6:9" x14ac:dyDescent="0.3">
      <c r="F1066" s="26"/>
      <c r="G1066" s="26"/>
      <c r="H1066" s="26"/>
      <c r="I1066" s="26"/>
    </row>
    <row r="1067" spans="6:9" x14ac:dyDescent="0.3">
      <c r="F1067" s="26"/>
      <c r="G1067" s="26"/>
      <c r="H1067" s="26"/>
      <c r="I1067" s="26"/>
    </row>
    <row r="1068" spans="6:9" x14ac:dyDescent="0.3">
      <c r="F1068" s="26"/>
      <c r="G1068" s="26"/>
      <c r="H1068" s="26"/>
      <c r="I1068" s="26"/>
    </row>
    <row r="1069" spans="6:9" x14ac:dyDescent="0.3">
      <c r="F1069" s="26"/>
      <c r="G1069" s="26"/>
      <c r="H1069" s="26"/>
      <c r="I1069" s="26"/>
    </row>
    <row r="1070" spans="6:9" x14ac:dyDescent="0.3">
      <c r="F1070" s="26"/>
      <c r="G1070" s="26"/>
      <c r="H1070" s="26"/>
      <c r="I1070" s="26"/>
    </row>
    <row r="1071" spans="6:9" x14ac:dyDescent="0.3">
      <c r="F1071" s="26"/>
      <c r="G1071" s="26"/>
      <c r="H1071" s="26"/>
      <c r="I1071" s="26"/>
    </row>
    <row r="1072" spans="6:9" x14ac:dyDescent="0.3">
      <c r="F1072" s="26"/>
      <c r="G1072" s="26"/>
      <c r="H1072" s="26"/>
      <c r="I1072" s="26"/>
    </row>
    <row r="1073" spans="6:9" x14ac:dyDescent="0.3">
      <c r="F1073" s="26"/>
      <c r="G1073" s="26"/>
      <c r="H1073" s="26"/>
      <c r="I1073" s="26"/>
    </row>
    <row r="1074" spans="6:9" x14ac:dyDescent="0.3">
      <c r="F1074" s="26"/>
      <c r="G1074" s="26"/>
      <c r="H1074" s="26"/>
      <c r="I1074" s="26"/>
    </row>
    <row r="1075" spans="6:9" x14ac:dyDescent="0.3">
      <c r="F1075" s="26"/>
      <c r="G1075" s="26"/>
      <c r="H1075" s="26"/>
      <c r="I1075" s="26"/>
    </row>
    <row r="1076" spans="6:9" x14ac:dyDescent="0.3">
      <c r="F1076" s="26"/>
      <c r="G1076" s="26"/>
      <c r="H1076" s="26"/>
      <c r="I1076" s="26"/>
    </row>
    <row r="1077" spans="6:9" x14ac:dyDescent="0.3">
      <c r="F1077" s="26"/>
      <c r="G1077" s="26"/>
      <c r="H1077" s="26"/>
      <c r="I1077" s="26"/>
    </row>
    <row r="1078" spans="6:9" x14ac:dyDescent="0.3">
      <c r="F1078" s="26"/>
      <c r="G1078" s="26"/>
      <c r="H1078" s="26"/>
      <c r="I1078" s="26"/>
    </row>
    <row r="1079" spans="6:9" x14ac:dyDescent="0.3">
      <c r="F1079" s="26"/>
      <c r="G1079" s="26"/>
      <c r="H1079" s="26"/>
      <c r="I1079" s="26"/>
    </row>
    <row r="1080" spans="6:9" x14ac:dyDescent="0.3">
      <c r="F1080" s="26"/>
      <c r="G1080" s="26"/>
      <c r="H1080" s="26"/>
      <c r="I1080" s="26"/>
    </row>
    <row r="1081" spans="6:9" x14ac:dyDescent="0.3">
      <c r="F1081" s="26"/>
      <c r="G1081" s="26"/>
      <c r="H1081" s="26"/>
      <c r="I1081" s="26"/>
    </row>
    <row r="1082" spans="6:9" x14ac:dyDescent="0.3">
      <c r="F1082" s="26"/>
      <c r="G1082" s="26"/>
      <c r="H1082" s="26"/>
      <c r="I1082" s="26"/>
    </row>
    <row r="1083" spans="6:9" x14ac:dyDescent="0.3">
      <c r="F1083" s="26"/>
      <c r="G1083" s="26"/>
      <c r="H1083" s="26"/>
      <c r="I1083" s="26"/>
    </row>
    <row r="1084" spans="6:9" x14ac:dyDescent="0.3">
      <c r="F1084" s="26"/>
      <c r="G1084" s="26"/>
      <c r="H1084" s="26"/>
      <c r="I1084" s="26"/>
    </row>
    <row r="1085" spans="6:9" x14ac:dyDescent="0.3">
      <c r="F1085" s="26"/>
      <c r="G1085" s="26"/>
      <c r="H1085" s="26"/>
      <c r="I1085" s="26"/>
    </row>
    <row r="1086" spans="6:9" x14ac:dyDescent="0.3">
      <c r="F1086" s="26"/>
      <c r="G1086" s="26"/>
      <c r="H1086" s="26"/>
      <c r="I1086" s="26"/>
    </row>
    <row r="1087" spans="6:9" x14ac:dyDescent="0.3">
      <c r="F1087" s="26"/>
      <c r="G1087" s="26"/>
      <c r="H1087" s="26"/>
      <c r="I1087" s="26"/>
    </row>
    <row r="1088" spans="6:9" x14ac:dyDescent="0.3">
      <c r="F1088" s="26"/>
      <c r="G1088" s="26"/>
      <c r="H1088" s="26"/>
      <c r="I1088" s="26"/>
    </row>
    <row r="1089" spans="6:9" x14ac:dyDescent="0.3">
      <c r="F1089" s="26"/>
      <c r="G1089" s="26"/>
      <c r="H1089" s="26"/>
      <c r="I1089" s="26"/>
    </row>
    <row r="1090" spans="6:9" x14ac:dyDescent="0.3">
      <c r="F1090" s="26"/>
      <c r="G1090" s="26"/>
      <c r="H1090" s="26"/>
      <c r="I1090" s="26"/>
    </row>
    <row r="1091" spans="6:9" x14ac:dyDescent="0.3">
      <c r="F1091" s="26"/>
      <c r="G1091" s="26"/>
      <c r="H1091" s="26"/>
      <c r="I1091" s="26"/>
    </row>
    <row r="1092" spans="6:9" x14ac:dyDescent="0.3">
      <c r="F1092" s="26"/>
      <c r="G1092" s="26"/>
      <c r="H1092" s="26"/>
      <c r="I1092" s="26"/>
    </row>
    <row r="1093" spans="6:9" x14ac:dyDescent="0.3">
      <c r="F1093" s="26"/>
      <c r="G1093" s="26"/>
      <c r="H1093" s="26"/>
      <c r="I1093" s="26"/>
    </row>
    <row r="1094" spans="6:9" x14ac:dyDescent="0.3">
      <c r="F1094" s="26"/>
      <c r="G1094" s="26"/>
      <c r="H1094" s="26"/>
      <c r="I1094" s="26"/>
    </row>
    <row r="1095" spans="6:9" x14ac:dyDescent="0.3">
      <c r="F1095" s="26"/>
      <c r="G1095" s="26"/>
      <c r="H1095" s="26"/>
      <c r="I1095" s="26"/>
    </row>
    <row r="1096" spans="6:9" x14ac:dyDescent="0.3">
      <c r="F1096" s="26"/>
      <c r="G1096" s="26"/>
      <c r="H1096" s="26"/>
      <c r="I1096" s="26"/>
    </row>
    <row r="1097" spans="6:9" x14ac:dyDescent="0.3">
      <c r="F1097" s="26"/>
      <c r="G1097" s="26"/>
      <c r="H1097" s="26"/>
      <c r="I1097" s="26"/>
    </row>
    <row r="1098" spans="6:9" x14ac:dyDescent="0.3">
      <c r="F1098" s="26"/>
      <c r="G1098" s="26"/>
      <c r="H1098" s="26"/>
      <c r="I1098" s="26"/>
    </row>
    <row r="1099" spans="6:9" x14ac:dyDescent="0.3">
      <c r="F1099" s="26"/>
      <c r="G1099" s="26"/>
      <c r="H1099" s="26"/>
      <c r="I1099" s="26"/>
    </row>
    <row r="1100" spans="6:9" x14ac:dyDescent="0.3">
      <c r="F1100" s="26"/>
      <c r="G1100" s="26"/>
      <c r="H1100" s="26"/>
      <c r="I1100" s="26"/>
    </row>
    <row r="1101" spans="6:9" x14ac:dyDescent="0.3">
      <c r="F1101" s="26"/>
      <c r="G1101" s="26"/>
      <c r="H1101" s="26"/>
      <c r="I1101" s="26"/>
    </row>
    <row r="1102" spans="6:9" x14ac:dyDescent="0.3">
      <c r="F1102" s="26"/>
      <c r="G1102" s="26"/>
      <c r="H1102" s="26"/>
      <c r="I1102" s="26"/>
    </row>
    <row r="1103" spans="6:9" x14ac:dyDescent="0.3">
      <c r="F1103" s="26"/>
      <c r="G1103" s="26"/>
      <c r="H1103" s="26"/>
      <c r="I1103" s="26"/>
    </row>
    <row r="1104" spans="6:9" x14ac:dyDescent="0.3">
      <c r="F1104" s="26"/>
      <c r="G1104" s="26"/>
      <c r="H1104" s="26"/>
      <c r="I1104" s="26"/>
    </row>
    <row r="1105" spans="6:9" x14ac:dyDescent="0.3">
      <c r="F1105" s="26"/>
      <c r="G1105" s="26"/>
      <c r="H1105" s="26"/>
      <c r="I1105" s="26"/>
    </row>
    <row r="1106" spans="6:9" x14ac:dyDescent="0.3">
      <c r="F1106" s="26"/>
      <c r="G1106" s="26"/>
      <c r="H1106" s="26"/>
      <c r="I1106" s="26"/>
    </row>
    <row r="1107" spans="6:9" x14ac:dyDescent="0.3">
      <c r="F1107" s="26"/>
      <c r="G1107" s="26"/>
      <c r="H1107" s="26"/>
      <c r="I1107" s="26"/>
    </row>
    <row r="1108" spans="6:9" x14ac:dyDescent="0.3">
      <c r="F1108" s="26"/>
      <c r="G1108" s="26"/>
      <c r="H1108" s="26"/>
      <c r="I1108" s="26"/>
    </row>
    <row r="1109" spans="6:9" x14ac:dyDescent="0.3">
      <c r="F1109" s="26"/>
      <c r="G1109" s="26"/>
      <c r="H1109" s="26"/>
      <c r="I1109" s="26"/>
    </row>
    <row r="1110" spans="6:9" x14ac:dyDescent="0.3">
      <c r="F1110" s="26"/>
      <c r="G1110" s="26"/>
      <c r="H1110" s="26"/>
      <c r="I1110" s="26"/>
    </row>
    <row r="1111" spans="6:9" x14ac:dyDescent="0.3">
      <c r="F1111" s="26"/>
      <c r="G1111" s="26"/>
      <c r="H1111" s="26"/>
      <c r="I1111" s="26"/>
    </row>
    <row r="1112" spans="6:9" x14ac:dyDescent="0.3">
      <c r="F1112" s="26"/>
      <c r="G1112" s="26"/>
      <c r="H1112" s="26"/>
      <c r="I1112" s="26"/>
    </row>
    <row r="1113" spans="6:9" x14ac:dyDescent="0.3">
      <c r="F1113" s="26"/>
      <c r="G1113" s="26"/>
      <c r="H1113" s="26"/>
      <c r="I1113" s="26"/>
    </row>
    <row r="1114" spans="6:9" x14ac:dyDescent="0.3">
      <c r="F1114" s="26"/>
      <c r="G1114" s="26"/>
      <c r="H1114" s="26"/>
      <c r="I1114" s="26"/>
    </row>
    <row r="1115" spans="6:9" x14ac:dyDescent="0.3">
      <c r="F1115" s="26"/>
      <c r="G1115" s="26"/>
      <c r="H1115" s="26"/>
      <c r="I1115" s="26"/>
    </row>
    <row r="1116" spans="6:9" x14ac:dyDescent="0.3">
      <c r="F1116" s="26"/>
      <c r="G1116" s="26"/>
      <c r="H1116" s="26"/>
      <c r="I1116" s="26"/>
    </row>
    <row r="1117" spans="6:9" x14ac:dyDescent="0.3">
      <c r="F1117" s="26"/>
      <c r="G1117" s="26"/>
      <c r="H1117" s="26"/>
      <c r="I1117" s="26"/>
    </row>
    <row r="1118" spans="6:9" x14ac:dyDescent="0.3">
      <c r="F1118" s="26"/>
      <c r="G1118" s="26"/>
      <c r="H1118" s="26"/>
      <c r="I1118" s="26"/>
    </row>
    <row r="1119" spans="6:9" x14ac:dyDescent="0.3">
      <c r="F1119" s="26"/>
      <c r="G1119" s="26"/>
      <c r="H1119" s="26"/>
      <c r="I1119" s="26"/>
    </row>
    <row r="1120" spans="6:9" x14ac:dyDescent="0.3">
      <c r="F1120" s="26"/>
      <c r="G1120" s="26"/>
      <c r="H1120" s="26"/>
      <c r="I1120" s="26"/>
    </row>
    <row r="1121" spans="6:9" x14ac:dyDescent="0.3">
      <c r="F1121" s="26"/>
      <c r="G1121" s="26"/>
      <c r="H1121" s="26"/>
      <c r="I1121" s="26"/>
    </row>
    <row r="1122" spans="6:9" x14ac:dyDescent="0.3">
      <c r="F1122" s="26"/>
      <c r="G1122" s="26"/>
      <c r="H1122" s="26"/>
      <c r="I1122" s="26"/>
    </row>
    <row r="1123" spans="6:9" x14ac:dyDescent="0.3">
      <c r="F1123" s="26"/>
      <c r="G1123" s="26"/>
      <c r="H1123" s="26"/>
      <c r="I1123" s="26"/>
    </row>
    <row r="1124" spans="6:9" x14ac:dyDescent="0.3">
      <c r="F1124" s="26"/>
      <c r="G1124" s="26"/>
      <c r="H1124" s="26"/>
      <c r="I1124" s="26"/>
    </row>
    <row r="1125" spans="6:9" x14ac:dyDescent="0.3">
      <c r="F1125" s="26"/>
      <c r="G1125" s="26"/>
      <c r="H1125" s="26"/>
      <c r="I1125" s="26"/>
    </row>
    <row r="1126" spans="6:9" x14ac:dyDescent="0.3">
      <c r="F1126" s="26"/>
      <c r="G1126" s="26"/>
      <c r="H1126" s="26"/>
      <c r="I1126" s="26"/>
    </row>
    <row r="1127" spans="6:9" x14ac:dyDescent="0.3">
      <c r="F1127" s="26"/>
      <c r="G1127" s="26"/>
      <c r="H1127" s="26"/>
      <c r="I1127" s="26"/>
    </row>
    <row r="1128" spans="6:9" x14ac:dyDescent="0.3">
      <c r="F1128" s="26"/>
      <c r="G1128" s="26"/>
      <c r="H1128" s="26"/>
      <c r="I1128" s="26"/>
    </row>
    <row r="1129" spans="6:9" x14ac:dyDescent="0.3">
      <c r="F1129" s="26"/>
      <c r="G1129" s="26"/>
      <c r="H1129" s="26"/>
      <c r="I1129" s="26"/>
    </row>
    <row r="1130" spans="6:9" x14ac:dyDescent="0.3">
      <c r="F1130" s="26"/>
      <c r="G1130" s="26"/>
      <c r="H1130" s="26"/>
      <c r="I1130" s="26"/>
    </row>
    <row r="1131" spans="6:9" x14ac:dyDescent="0.3">
      <c r="F1131" s="26"/>
      <c r="G1131" s="26"/>
      <c r="H1131" s="26"/>
      <c r="I1131" s="26"/>
    </row>
    <row r="1132" spans="6:9" x14ac:dyDescent="0.3">
      <c r="F1132" s="26"/>
      <c r="G1132" s="26"/>
      <c r="H1132" s="26"/>
      <c r="I1132" s="26"/>
    </row>
    <row r="1133" spans="6:9" x14ac:dyDescent="0.3">
      <c r="F1133" s="26"/>
      <c r="G1133" s="26"/>
      <c r="H1133" s="26"/>
      <c r="I1133" s="26"/>
    </row>
    <row r="1134" spans="6:9" x14ac:dyDescent="0.3">
      <c r="F1134" s="26"/>
      <c r="G1134" s="26"/>
      <c r="H1134" s="26"/>
      <c r="I1134" s="26"/>
    </row>
    <row r="1135" spans="6:9" x14ac:dyDescent="0.3">
      <c r="F1135" s="26"/>
      <c r="G1135" s="26"/>
      <c r="H1135" s="26"/>
      <c r="I1135" s="26"/>
    </row>
    <row r="1136" spans="6:9" x14ac:dyDescent="0.3">
      <c r="F1136" s="26"/>
      <c r="G1136" s="26"/>
      <c r="H1136" s="26"/>
      <c r="I1136" s="26"/>
    </row>
    <row r="1137" spans="6:9" x14ac:dyDescent="0.3">
      <c r="F1137" s="26"/>
      <c r="G1137" s="26"/>
      <c r="H1137" s="26"/>
      <c r="I1137" s="26"/>
    </row>
    <row r="1138" spans="6:9" x14ac:dyDescent="0.3">
      <c r="F1138" s="26"/>
      <c r="G1138" s="26"/>
      <c r="H1138" s="26"/>
      <c r="I1138" s="26"/>
    </row>
    <row r="1139" spans="6:9" x14ac:dyDescent="0.3">
      <c r="F1139" s="26"/>
      <c r="G1139" s="26"/>
      <c r="H1139" s="26"/>
      <c r="I1139" s="26"/>
    </row>
    <row r="1140" spans="6:9" x14ac:dyDescent="0.3">
      <c r="F1140" s="26"/>
      <c r="G1140" s="26"/>
      <c r="H1140" s="26"/>
      <c r="I1140" s="26"/>
    </row>
    <row r="1141" spans="6:9" x14ac:dyDescent="0.3">
      <c r="F1141" s="26"/>
      <c r="G1141" s="26"/>
      <c r="H1141" s="26"/>
      <c r="I1141" s="26"/>
    </row>
    <row r="1142" spans="6:9" x14ac:dyDescent="0.3">
      <c r="F1142" s="26"/>
      <c r="G1142" s="26"/>
      <c r="H1142" s="26"/>
      <c r="I1142" s="26"/>
    </row>
    <row r="1143" spans="6:9" x14ac:dyDescent="0.3">
      <c r="F1143" s="26"/>
      <c r="G1143" s="26"/>
      <c r="H1143" s="26"/>
      <c r="I1143" s="26"/>
    </row>
    <row r="1144" spans="6:9" x14ac:dyDescent="0.3">
      <c r="F1144" s="26"/>
      <c r="G1144" s="26"/>
      <c r="H1144" s="26"/>
      <c r="I1144" s="26"/>
    </row>
    <row r="1145" spans="6:9" x14ac:dyDescent="0.3">
      <c r="F1145" s="26"/>
      <c r="G1145" s="26"/>
      <c r="H1145" s="26"/>
      <c r="I1145" s="26"/>
    </row>
    <row r="1146" spans="6:9" x14ac:dyDescent="0.3">
      <c r="F1146" s="26"/>
      <c r="G1146" s="26"/>
      <c r="H1146" s="26"/>
      <c r="I1146" s="26"/>
    </row>
    <row r="1147" spans="6:9" x14ac:dyDescent="0.3">
      <c r="F1147" s="26"/>
      <c r="G1147" s="26"/>
      <c r="H1147" s="26"/>
      <c r="I1147" s="26"/>
    </row>
    <row r="1148" spans="6:9" x14ac:dyDescent="0.3">
      <c r="F1148" s="26"/>
      <c r="G1148" s="26"/>
      <c r="H1148" s="26"/>
      <c r="I1148" s="26"/>
    </row>
    <row r="1149" spans="6:9" x14ac:dyDescent="0.3">
      <c r="F1149" s="26"/>
      <c r="G1149" s="26"/>
      <c r="H1149" s="26"/>
      <c r="I1149" s="26"/>
    </row>
    <row r="1150" spans="6:9" x14ac:dyDescent="0.3">
      <c r="F1150" s="26"/>
      <c r="G1150" s="26"/>
      <c r="H1150" s="26"/>
      <c r="I1150" s="26"/>
    </row>
    <row r="1151" spans="6:9" x14ac:dyDescent="0.3">
      <c r="F1151" s="26"/>
      <c r="G1151" s="26"/>
      <c r="H1151" s="26"/>
      <c r="I1151" s="26"/>
    </row>
    <row r="1152" spans="6:9" x14ac:dyDescent="0.3">
      <c r="F1152" s="26"/>
      <c r="G1152" s="26"/>
      <c r="H1152" s="26"/>
      <c r="I1152" s="26"/>
    </row>
    <row r="1153" spans="6:9" x14ac:dyDescent="0.3">
      <c r="F1153" s="26"/>
      <c r="G1153" s="26"/>
      <c r="H1153" s="26"/>
      <c r="I1153" s="26"/>
    </row>
    <row r="1154" spans="6:9" x14ac:dyDescent="0.3">
      <c r="F1154" s="26"/>
      <c r="G1154" s="26"/>
      <c r="H1154" s="26"/>
      <c r="I1154" s="26"/>
    </row>
    <row r="1155" spans="6:9" x14ac:dyDescent="0.3">
      <c r="F1155" s="26"/>
      <c r="G1155" s="26"/>
      <c r="H1155" s="26"/>
      <c r="I1155" s="26"/>
    </row>
    <row r="1156" spans="6:9" x14ac:dyDescent="0.3">
      <c r="F1156" s="26"/>
      <c r="G1156" s="26"/>
      <c r="H1156" s="26"/>
      <c r="I1156" s="26"/>
    </row>
    <row r="1157" spans="6:9" x14ac:dyDescent="0.3">
      <c r="F1157" s="26"/>
      <c r="G1157" s="26"/>
      <c r="H1157" s="26"/>
      <c r="I1157" s="26"/>
    </row>
    <row r="1158" spans="6:9" x14ac:dyDescent="0.3">
      <c r="F1158" s="26"/>
      <c r="G1158" s="26"/>
      <c r="H1158" s="26"/>
      <c r="I1158" s="26"/>
    </row>
    <row r="1159" spans="6:9" x14ac:dyDescent="0.3">
      <c r="F1159" s="26"/>
      <c r="G1159" s="26"/>
      <c r="H1159" s="26"/>
      <c r="I1159" s="26"/>
    </row>
    <row r="1160" spans="6:9" x14ac:dyDescent="0.3">
      <c r="F1160" s="26"/>
      <c r="G1160" s="26"/>
      <c r="H1160" s="26"/>
      <c r="I1160" s="26"/>
    </row>
    <row r="1161" spans="6:9" x14ac:dyDescent="0.3">
      <c r="F1161" s="26"/>
      <c r="G1161" s="26"/>
      <c r="H1161" s="26"/>
      <c r="I1161" s="26"/>
    </row>
    <row r="1162" spans="6:9" x14ac:dyDescent="0.3">
      <c r="F1162" s="26"/>
      <c r="G1162" s="26"/>
      <c r="H1162" s="26"/>
      <c r="I1162" s="26"/>
    </row>
    <row r="1163" spans="6:9" x14ac:dyDescent="0.3">
      <c r="F1163" s="26"/>
      <c r="G1163" s="26"/>
      <c r="H1163" s="26"/>
      <c r="I1163" s="26"/>
    </row>
    <row r="1164" spans="6:9" x14ac:dyDescent="0.3">
      <c r="F1164" s="26"/>
      <c r="G1164" s="26"/>
      <c r="H1164" s="26"/>
      <c r="I1164" s="26"/>
    </row>
    <row r="1165" spans="6:9" x14ac:dyDescent="0.3">
      <c r="F1165" s="26"/>
      <c r="G1165" s="26"/>
      <c r="H1165" s="26"/>
      <c r="I1165" s="26"/>
    </row>
    <row r="1166" spans="6:9" x14ac:dyDescent="0.3">
      <c r="F1166" s="26"/>
      <c r="G1166" s="26"/>
      <c r="H1166" s="26"/>
      <c r="I1166" s="26"/>
    </row>
    <row r="1167" spans="6:9" x14ac:dyDescent="0.3">
      <c r="F1167" s="26"/>
      <c r="G1167" s="26"/>
      <c r="H1167" s="26"/>
      <c r="I1167" s="26"/>
    </row>
    <row r="1168" spans="6:9" x14ac:dyDescent="0.3">
      <c r="F1168" s="26"/>
      <c r="G1168" s="26"/>
      <c r="H1168" s="26"/>
      <c r="I1168" s="26"/>
    </row>
    <row r="1169" spans="6:9" x14ac:dyDescent="0.3">
      <c r="F1169" s="26"/>
      <c r="G1169" s="26"/>
      <c r="H1169" s="26"/>
      <c r="I1169" s="26"/>
    </row>
    <row r="1170" spans="6:9" x14ac:dyDescent="0.3">
      <c r="F1170" s="26"/>
      <c r="G1170" s="26"/>
      <c r="H1170" s="26"/>
      <c r="I1170" s="26"/>
    </row>
    <row r="1171" spans="6:9" x14ac:dyDescent="0.3">
      <c r="F1171" s="26"/>
      <c r="G1171" s="26"/>
      <c r="H1171" s="26"/>
      <c r="I1171" s="26"/>
    </row>
    <row r="1172" spans="6:9" x14ac:dyDescent="0.3">
      <c r="F1172" s="26"/>
      <c r="G1172" s="26"/>
      <c r="H1172" s="26"/>
      <c r="I1172" s="26"/>
    </row>
    <row r="1173" spans="6:9" x14ac:dyDescent="0.3">
      <c r="F1173" s="26"/>
      <c r="G1173" s="26"/>
      <c r="H1173" s="26"/>
      <c r="I1173" s="26"/>
    </row>
    <row r="1174" spans="6:9" x14ac:dyDescent="0.3">
      <c r="F1174" s="26"/>
      <c r="G1174" s="26"/>
      <c r="H1174" s="26"/>
      <c r="I1174" s="26"/>
    </row>
    <row r="1175" spans="6:9" x14ac:dyDescent="0.3">
      <c r="F1175" s="26"/>
      <c r="G1175" s="26"/>
      <c r="H1175" s="26"/>
      <c r="I1175" s="26"/>
    </row>
    <row r="1176" spans="6:9" x14ac:dyDescent="0.3">
      <c r="F1176" s="26"/>
      <c r="G1176" s="26"/>
      <c r="H1176" s="26"/>
      <c r="I1176" s="26"/>
    </row>
    <row r="1177" spans="6:9" x14ac:dyDescent="0.3">
      <c r="F1177" s="26"/>
      <c r="G1177" s="26"/>
      <c r="H1177" s="26"/>
      <c r="I1177" s="26"/>
    </row>
    <row r="1178" spans="6:9" x14ac:dyDescent="0.3">
      <c r="F1178" s="26"/>
      <c r="G1178" s="26"/>
      <c r="H1178" s="26"/>
      <c r="I1178" s="26"/>
    </row>
    <row r="1179" spans="6:9" x14ac:dyDescent="0.3">
      <c r="F1179" s="26"/>
      <c r="G1179" s="26"/>
      <c r="H1179" s="26"/>
      <c r="I1179" s="26"/>
    </row>
    <row r="1180" spans="6:9" x14ac:dyDescent="0.3">
      <c r="F1180" s="26"/>
      <c r="G1180" s="26"/>
      <c r="H1180" s="26"/>
      <c r="I1180" s="26"/>
    </row>
    <row r="1181" spans="6:9" x14ac:dyDescent="0.3">
      <c r="F1181" s="26"/>
      <c r="G1181" s="26"/>
      <c r="H1181" s="26"/>
      <c r="I1181" s="26"/>
    </row>
    <row r="1182" spans="6:9" x14ac:dyDescent="0.3">
      <c r="F1182" s="26"/>
      <c r="G1182" s="26"/>
      <c r="H1182" s="26"/>
      <c r="I1182" s="26"/>
    </row>
    <row r="1183" spans="6:9" x14ac:dyDescent="0.3">
      <c r="F1183" s="26"/>
      <c r="G1183" s="26"/>
      <c r="H1183" s="26"/>
      <c r="I1183" s="26"/>
    </row>
    <row r="1184" spans="6:9" x14ac:dyDescent="0.3">
      <c r="F1184" s="26"/>
      <c r="G1184" s="26"/>
      <c r="H1184" s="26"/>
      <c r="I1184" s="26"/>
    </row>
    <row r="1185" spans="6:9" x14ac:dyDescent="0.3">
      <c r="F1185" s="26"/>
      <c r="G1185" s="26"/>
      <c r="H1185" s="26"/>
      <c r="I1185" s="26"/>
    </row>
    <row r="1186" spans="6:9" x14ac:dyDescent="0.3">
      <c r="F1186" s="26"/>
      <c r="G1186" s="26"/>
      <c r="H1186" s="26"/>
      <c r="I1186" s="26"/>
    </row>
    <row r="1187" spans="6:9" x14ac:dyDescent="0.3">
      <c r="F1187" s="26"/>
      <c r="G1187" s="26"/>
      <c r="H1187" s="26"/>
      <c r="I1187" s="26"/>
    </row>
    <row r="1188" spans="6:9" x14ac:dyDescent="0.3">
      <c r="F1188" s="26"/>
      <c r="G1188" s="26"/>
      <c r="H1188" s="26"/>
      <c r="I1188" s="26"/>
    </row>
    <row r="1189" spans="6:9" x14ac:dyDescent="0.3">
      <c r="F1189" s="26"/>
      <c r="G1189" s="26"/>
      <c r="H1189" s="26"/>
      <c r="I1189" s="26"/>
    </row>
    <row r="1190" spans="6:9" x14ac:dyDescent="0.3">
      <c r="F1190" s="26"/>
      <c r="G1190" s="26"/>
      <c r="H1190" s="26"/>
      <c r="I1190" s="26"/>
    </row>
    <row r="1191" spans="6:9" x14ac:dyDescent="0.3">
      <c r="F1191" s="26"/>
      <c r="G1191" s="26"/>
      <c r="H1191" s="26"/>
      <c r="I1191" s="26"/>
    </row>
    <row r="1192" spans="6:9" x14ac:dyDescent="0.3">
      <c r="F1192" s="26"/>
      <c r="G1192" s="26"/>
      <c r="H1192" s="26"/>
      <c r="I1192" s="26"/>
    </row>
    <row r="1193" spans="6:9" x14ac:dyDescent="0.3">
      <c r="F1193" s="26"/>
      <c r="G1193" s="26"/>
      <c r="H1193" s="26"/>
      <c r="I1193" s="26"/>
    </row>
    <row r="1194" spans="6:9" x14ac:dyDescent="0.3">
      <c r="F1194" s="26"/>
      <c r="G1194" s="26"/>
      <c r="H1194" s="26"/>
      <c r="I1194" s="26"/>
    </row>
    <row r="1195" spans="6:9" x14ac:dyDescent="0.3">
      <c r="F1195" s="26"/>
      <c r="G1195" s="26"/>
      <c r="H1195" s="26"/>
      <c r="I1195" s="26"/>
    </row>
    <row r="1196" spans="6:9" x14ac:dyDescent="0.3">
      <c r="F1196" s="26"/>
      <c r="G1196" s="26"/>
      <c r="H1196" s="26"/>
      <c r="I1196" s="26"/>
    </row>
    <row r="1197" spans="6:9" x14ac:dyDescent="0.3">
      <c r="F1197" s="26"/>
      <c r="G1197" s="26"/>
      <c r="H1197" s="26"/>
      <c r="I1197" s="26"/>
    </row>
    <row r="1198" spans="6:9" x14ac:dyDescent="0.3">
      <c r="F1198" s="26"/>
      <c r="G1198" s="26"/>
      <c r="H1198" s="26"/>
      <c r="I1198" s="26"/>
    </row>
    <row r="1199" spans="6:9" x14ac:dyDescent="0.3">
      <c r="F1199" s="26"/>
      <c r="G1199" s="26"/>
      <c r="H1199" s="26"/>
      <c r="I1199" s="26"/>
    </row>
    <row r="1200" spans="6:9" x14ac:dyDescent="0.3">
      <c r="F1200" s="26"/>
      <c r="G1200" s="26"/>
      <c r="H1200" s="26"/>
      <c r="I1200" s="26"/>
    </row>
    <row r="1201" spans="6:9" x14ac:dyDescent="0.3">
      <c r="F1201" s="26"/>
      <c r="G1201" s="26"/>
      <c r="H1201" s="26"/>
      <c r="I1201" s="26"/>
    </row>
    <row r="1202" spans="6:9" x14ac:dyDescent="0.3">
      <c r="F1202" s="26"/>
      <c r="G1202" s="26"/>
      <c r="H1202" s="26"/>
      <c r="I1202" s="26"/>
    </row>
    <row r="1203" spans="6:9" x14ac:dyDescent="0.3">
      <c r="F1203" s="26"/>
      <c r="G1203" s="26"/>
      <c r="H1203" s="26"/>
      <c r="I1203" s="26"/>
    </row>
    <row r="1204" spans="6:9" x14ac:dyDescent="0.3">
      <c r="F1204" s="26"/>
      <c r="G1204" s="26"/>
      <c r="H1204" s="26"/>
      <c r="I1204" s="26"/>
    </row>
    <row r="1205" spans="6:9" x14ac:dyDescent="0.3">
      <c r="F1205" s="26"/>
      <c r="G1205" s="26"/>
      <c r="H1205" s="26"/>
      <c r="I1205" s="26"/>
    </row>
    <row r="1206" spans="6:9" x14ac:dyDescent="0.3">
      <c r="F1206" s="26"/>
      <c r="G1206" s="26"/>
      <c r="H1206" s="26"/>
      <c r="I1206" s="26"/>
    </row>
    <row r="1207" spans="6:9" x14ac:dyDescent="0.3">
      <c r="F1207" s="26"/>
      <c r="G1207" s="26"/>
      <c r="H1207" s="26"/>
      <c r="I1207" s="26"/>
    </row>
    <row r="1208" spans="6:9" x14ac:dyDescent="0.3">
      <c r="F1208" s="26"/>
      <c r="G1208" s="26"/>
      <c r="H1208" s="26"/>
      <c r="I1208" s="26"/>
    </row>
    <row r="1209" spans="6:9" x14ac:dyDescent="0.3">
      <c r="F1209" s="26"/>
      <c r="G1209" s="26"/>
      <c r="H1209" s="26"/>
      <c r="I1209" s="26"/>
    </row>
    <row r="1210" spans="6:9" x14ac:dyDescent="0.3">
      <c r="F1210" s="26"/>
      <c r="G1210" s="26"/>
      <c r="H1210" s="26"/>
      <c r="I1210" s="26"/>
    </row>
    <row r="1211" spans="6:9" x14ac:dyDescent="0.3">
      <c r="F1211" s="26"/>
      <c r="G1211" s="26"/>
      <c r="H1211" s="26"/>
      <c r="I1211" s="26"/>
    </row>
    <row r="1212" spans="6:9" x14ac:dyDescent="0.3">
      <c r="F1212" s="26"/>
      <c r="G1212" s="26"/>
      <c r="H1212" s="26"/>
      <c r="I1212" s="26"/>
    </row>
    <row r="1213" spans="6:9" x14ac:dyDescent="0.3">
      <c r="F1213" s="26"/>
      <c r="G1213" s="26"/>
      <c r="H1213" s="26"/>
      <c r="I1213" s="26"/>
    </row>
    <row r="1214" spans="6:9" x14ac:dyDescent="0.3">
      <c r="F1214" s="26"/>
      <c r="G1214" s="26"/>
      <c r="H1214" s="26"/>
      <c r="I1214" s="26"/>
    </row>
    <row r="1215" spans="6:9" x14ac:dyDescent="0.3">
      <c r="F1215" s="26"/>
      <c r="G1215" s="26"/>
      <c r="H1215" s="26"/>
      <c r="I1215" s="26"/>
    </row>
    <row r="1216" spans="6:9" x14ac:dyDescent="0.3">
      <c r="F1216" s="26"/>
      <c r="G1216" s="26"/>
      <c r="H1216" s="26"/>
      <c r="I1216" s="26"/>
    </row>
    <row r="1217" spans="6:9" x14ac:dyDescent="0.3">
      <c r="F1217" s="26"/>
      <c r="G1217" s="26"/>
      <c r="H1217" s="26"/>
      <c r="I1217" s="26"/>
    </row>
    <row r="1218" spans="6:9" x14ac:dyDescent="0.3">
      <c r="F1218" s="26"/>
      <c r="G1218" s="26"/>
      <c r="H1218" s="26"/>
      <c r="I1218" s="26"/>
    </row>
    <row r="1219" spans="6:9" x14ac:dyDescent="0.3">
      <c r="F1219" s="26"/>
      <c r="G1219" s="26"/>
      <c r="H1219" s="26"/>
      <c r="I1219" s="26"/>
    </row>
    <row r="1220" spans="6:9" x14ac:dyDescent="0.3">
      <c r="F1220" s="26"/>
      <c r="G1220" s="26"/>
      <c r="H1220" s="26"/>
      <c r="I1220" s="26"/>
    </row>
    <row r="1221" spans="6:9" x14ac:dyDescent="0.3">
      <c r="F1221" s="26"/>
      <c r="G1221" s="26"/>
      <c r="H1221" s="26"/>
      <c r="I1221" s="26"/>
    </row>
    <row r="1222" spans="6:9" x14ac:dyDescent="0.3">
      <c r="F1222" s="26"/>
      <c r="G1222" s="26"/>
      <c r="H1222" s="26"/>
      <c r="I1222" s="26"/>
    </row>
    <row r="1223" spans="6:9" x14ac:dyDescent="0.3">
      <c r="F1223" s="26"/>
      <c r="G1223" s="26"/>
      <c r="H1223" s="26"/>
      <c r="I1223" s="26"/>
    </row>
    <row r="1224" spans="6:9" x14ac:dyDescent="0.3">
      <c r="F1224" s="26"/>
      <c r="G1224" s="26"/>
      <c r="H1224" s="26"/>
      <c r="I1224" s="26"/>
    </row>
    <row r="1225" spans="6:9" x14ac:dyDescent="0.3">
      <c r="F1225" s="26"/>
      <c r="G1225" s="26"/>
      <c r="H1225" s="26"/>
      <c r="I1225" s="26"/>
    </row>
    <row r="1226" spans="6:9" x14ac:dyDescent="0.3">
      <c r="F1226" s="26"/>
      <c r="G1226" s="26"/>
      <c r="H1226" s="26"/>
      <c r="I1226" s="26"/>
    </row>
    <row r="1227" spans="6:9" x14ac:dyDescent="0.3">
      <c r="F1227" s="26"/>
      <c r="G1227" s="26"/>
      <c r="H1227" s="26"/>
      <c r="I1227" s="26"/>
    </row>
    <row r="1228" spans="6:9" x14ac:dyDescent="0.3">
      <c r="F1228" s="26"/>
      <c r="G1228" s="26"/>
      <c r="H1228" s="26"/>
      <c r="I1228" s="26"/>
    </row>
    <row r="1229" spans="6:9" x14ac:dyDescent="0.3">
      <c r="F1229" s="26"/>
      <c r="G1229" s="26"/>
      <c r="H1229" s="26"/>
      <c r="I1229" s="26"/>
    </row>
    <row r="1230" spans="6:9" x14ac:dyDescent="0.3">
      <c r="F1230" s="26"/>
      <c r="G1230" s="26"/>
      <c r="H1230" s="26"/>
      <c r="I1230" s="26"/>
    </row>
    <row r="1231" spans="6:9" x14ac:dyDescent="0.3">
      <c r="F1231" s="26"/>
      <c r="G1231" s="26"/>
      <c r="H1231" s="26"/>
      <c r="I1231" s="26"/>
    </row>
    <row r="1232" spans="6:9" x14ac:dyDescent="0.3">
      <c r="F1232" s="26"/>
      <c r="G1232" s="26"/>
      <c r="H1232" s="26"/>
      <c r="I1232" s="26"/>
    </row>
    <row r="1233" spans="6:9" x14ac:dyDescent="0.3">
      <c r="F1233" s="26"/>
      <c r="G1233" s="26"/>
      <c r="H1233" s="26"/>
      <c r="I1233" s="26"/>
    </row>
    <row r="1234" spans="6:9" x14ac:dyDescent="0.3">
      <c r="F1234" s="26"/>
      <c r="G1234" s="26"/>
      <c r="H1234" s="26"/>
      <c r="I1234" s="26"/>
    </row>
    <row r="1235" spans="6:9" x14ac:dyDescent="0.3">
      <c r="F1235" s="26"/>
      <c r="G1235" s="26"/>
      <c r="H1235" s="26"/>
      <c r="I1235" s="26"/>
    </row>
    <row r="1236" spans="6:9" x14ac:dyDescent="0.3">
      <c r="F1236" s="26"/>
      <c r="G1236" s="26"/>
      <c r="H1236" s="26"/>
      <c r="I1236" s="26"/>
    </row>
    <row r="1237" spans="6:9" x14ac:dyDescent="0.3">
      <c r="F1237" s="26"/>
      <c r="G1237" s="26"/>
      <c r="H1237" s="26"/>
      <c r="I1237" s="26"/>
    </row>
    <row r="1238" spans="6:9" x14ac:dyDescent="0.3">
      <c r="F1238" s="26"/>
      <c r="G1238" s="26"/>
      <c r="H1238" s="26"/>
      <c r="I1238" s="26"/>
    </row>
    <row r="1239" spans="6:9" x14ac:dyDescent="0.3">
      <c r="F1239" s="26"/>
      <c r="G1239" s="26"/>
      <c r="H1239" s="26"/>
      <c r="I1239" s="26"/>
    </row>
    <row r="1240" spans="6:9" x14ac:dyDescent="0.3">
      <c r="F1240" s="26"/>
      <c r="G1240" s="26"/>
      <c r="H1240" s="26"/>
      <c r="I1240" s="26"/>
    </row>
    <row r="1241" spans="6:9" x14ac:dyDescent="0.3">
      <c r="F1241" s="26"/>
      <c r="G1241" s="26"/>
      <c r="H1241" s="26"/>
      <c r="I1241" s="26"/>
    </row>
    <row r="1242" spans="6:9" x14ac:dyDescent="0.3">
      <c r="F1242" s="26"/>
      <c r="G1242" s="26"/>
      <c r="H1242" s="26"/>
      <c r="I1242" s="26"/>
    </row>
    <row r="1243" spans="6:9" x14ac:dyDescent="0.3">
      <c r="F1243" s="26"/>
      <c r="G1243" s="26"/>
      <c r="H1243" s="26"/>
      <c r="I1243" s="26"/>
    </row>
    <row r="1244" spans="6:9" x14ac:dyDescent="0.3">
      <c r="F1244" s="26"/>
      <c r="G1244" s="26"/>
      <c r="H1244" s="26"/>
      <c r="I1244" s="26"/>
    </row>
    <row r="1245" spans="6:9" x14ac:dyDescent="0.3">
      <c r="F1245" s="26"/>
      <c r="G1245" s="26"/>
      <c r="H1245" s="26"/>
      <c r="I1245" s="26"/>
    </row>
    <row r="1246" spans="6:9" x14ac:dyDescent="0.3">
      <c r="F1246" s="26"/>
      <c r="G1246" s="26"/>
      <c r="H1246" s="26"/>
      <c r="I1246" s="26"/>
    </row>
    <row r="1247" spans="6:9" x14ac:dyDescent="0.3">
      <c r="F1247" s="26"/>
      <c r="G1247" s="26"/>
      <c r="H1247" s="26"/>
      <c r="I1247" s="26"/>
    </row>
    <row r="1248" spans="6:9" x14ac:dyDescent="0.3">
      <c r="F1248" s="26"/>
      <c r="G1248" s="26"/>
      <c r="H1248" s="26"/>
      <c r="I1248" s="26"/>
    </row>
    <row r="1249" spans="6:9" x14ac:dyDescent="0.3">
      <c r="F1249" s="26"/>
      <c r="G1249" s="26"/>
      <c r="H1249" s="26"/>
      <c r="I1249" s="26"/>
    </row>
    <row r="1250" spans="6:9" x14ac:dyDescent="0.3">
      <c r="F1250" s="26"/>
      <c r="G1250" s="26"/>
      <c r="H1250" s="26"/>
      <c r="I1250" s="26"/>
    </row>
    <row r="1251" spans="6:9" x14ac:dyDescent="0.3">
      <c r="F1251" s="26"/>
      <c r="G1251" s="26"/>
      <c r="H1251" s="26"/>
      <c r="I1251" s="26"/>
    </row>
    <row r="1252" spans="6:9" x14ac:dyDescent="0.3">
      <c r="F1252" s="26"/>
      <c r="G1252" s="26"/>
      <c r="H1252" s="26"/>
      <c r="I1252" s="26"/>
    </row>
    <row r="1253" spans="6:9" x14ac:dyDescent="0.3">
      <c r="F1253" s="26"/>
      <c r="G1253" s="26"/>
      <c r="H1253" s="26"/>
      <c r="I1253" s="26"/>
    </row>
    <row r="1254" spans="6:9" x14ac:dyDescent="0.3">
      <c r="F1254" s="26"/>
      <c r="G1254" s="26"/>
      <c r="H1254" s="26"/>
      <c r="I1254" s="26"/>
    </row>
    <row r="1255" spans="6:9" x14ac:dyDescent="0.3">
      <c r="F1255" s="26"/>
      <c r="G1255" s="26"/>
      <c r="H1255" s="26"/>
      <c r="I1255" s="26"/>
    </row>
    <row r="1256" spans="6:9" x14ac:dyDescent="0.3">
      <c r="F1256" s="26"/>
      <c r="G1256" s="26"/>
      <c r="H1256" s="26"/>
      <c r="I1256" s="26"/>
    </row>
    <row r="1257" spans="6:9" x14ac:dyDescent="0.3">
      <c r="F1257" s="26"/>
      <c r="G1257" s="26"/>
      <c r="H1257" s="26"/>
      <c r="I1257" s="26"/>
    </row>
    <row r="1258" spans="6:9" x14ac:dyDescent="0.3">
      <c r="F1258" s="26"/>
      <c r="G1258" s="26"/>
      <c r="H1258" s="26"/>
      <c r="I1258" s="26"/>
    </row>
    <row r="1259" spans="6:9" x14ac:dyDescent="0.3">
      <c r="F1259" s="26"/>
      <c r="G1259" s="26"/>
      <c r="H1259" s="26"/>
      <c r="I1259" s="26"/>
    </row>
    <row r="1260" spans="6:9" x14ac:dyDescent="0.3">
      <c r="F1260" s="26"/>
      <c r="G1260" s="26"/>
      <c r="H1260" s="26"/>
      <c r="I1260" s="26"/>
    </row>
    <row r="1261" spans="6:9" x14ac:dyDescent="0.3">
      <c r="F1261" s="26"/>
      <c r="G1261" s="26"/>
      <c r="H1261" s="26"/>
      <c r="I1261" s="26"/>
    </row>
    <row r="1262" spans="6:9" x14ac:dyDescent="0.3">
      <c r="F1262" s="26"/>
      <c r="G1262" s="26"/>
      <c r="H1262" s="26"/>
      <c r="I1262" s="26"/>
    </row>
    <row r="1263" spans="6:9" x14ac:dyDescent="0.3">
      <c r="F1263" s="26"/>
      <c r="G1263" s="26"/>
      <c r="H1263" s="26"/>
      <c r="I1263" s="26"/>
    </row>
    <row r="1264" spans="6:9" x14ac:dyDescent="0.3">
      <c r="F1264" s="26"/>
      <c r="G1264" s="26"/>
      <c r="H1264" s="26"/>
      <c r="I1264" s="26"/>
    </row>
    <row r="1265" spans="6:9" x14ac:dyDescent="0.3">
      <c r="F1265" s="26"/>
      <c r="G1265" s="26"/>
      <c r="H1265" s="26"/>
      <c r="I1265" s="26"/>
    </row>
    <row r="1266" spans="6:9" x14ac:dyDescent="0.3">
      <c r="F1266" s="26"/>
      <c r="G1266" s="26"/>
      <c r="H1266" s="26"/>
      <c r="I1266" s="26"/>
    </row>
    <row r="1267" spans="6:9" x14ac:dyDescent="0.3">
      <c r="F1267" s="26"/>
      <c r="G1267" s="26"/>
      <c r="H1267" s="26"/>
      <c r="I1267" s="26"/>
    </row>
    <row r="1268" spans="6:9" x14ac:dyDescent="0.3">
      <c r="F1268" s="26"/>
      <c r="G1268" s="26"/>
      <c r="H1268" s="26"/>
      <c r="I1268" s="26"/>
    </row>
    <row r="1269" spans="6:9" x14ac:dyDescent="0.3">
      <c r="F1269" s="26"/>
      <c r="G1269" s="26"/>
      <c r="H1269" s="26"/>
      <c r="I1269" s="26"/>
    </row>
    <row r="1270" spans="6:9" x14ac:dyDescent="0.3">
      <c r="F1270" s="26"/>
      <c r="G1270" s="26"/>
      <c r="H1270" s="26"/>
      <c r="I1270" s="26"/>
    </row>
    <row r="1271" spans="6:9" x14ac:dyDescent="0.3">
      <c r="F1271" s="26"/>
      <c r="G1271" s="26"/>
      <c r="H1271" s="26"/>
      <c r="I1271" s="26"/>
    </row>
    <row r="1272" spans="6:9" x14ac:dyDescent="0.3">
      <c r="F1272" s="26"/>
      <c r="G1272" s="26"/>
      <c r="H1272" s="26"/>
      <c r="I1272" s="26"/>
    </row>
    <row r="1273" spans="6:9" x14ac:dyDescent="0.3">
      <c r="F1273" s="26"/>
      <c r="G1273" s="26"/>
      <c r="H1273" s="26"/>
      <c r="I1273" s="26"/>
    </row>
    <row r="1274" spans="6:9" x14ac:dyDescent="0.3">
      <c r="F1274" s="26"/>
      <c r="G1274" s="26"/>
      <c r="H1274" s="26"/>
      <c r="I1274" s="26"/>
    </row>
    <row r="1275" spans="6:9" x14ac:dyDescent="0.3">
      <c r="F1275" s="26"/>
      <c r="G1275" s="26"/>
      <c r="H1275" s="26"/>
      <c r="I1275" s="26"/>
    </row>
    <row r="1276" spans="6:9" x14ac:dyDescent="0.3">
      <c r="F1276" s="26"/>
      <c r="G1276" s="26"/>
      <c r="H1276" s="26"/>
      <c r="I1276" s="26"/>
    </row>
    <row r="1277" spans="6:9" x14ac:dyDescent="0.3">
      <c r="F1277" s="26"/>
      <c r="G1277" s="26"/>
      <c r="H1277" s="26"/>
      <c r="I1277" s="26"/>
    </row>
    <row r="1278" spans="6:9" x14ac:dyDescent="0.3">
      <c r="F1278" s="26"/>
      <c r="G1278" s="26"/>
      <c r="H1278" s="26"/>
      <c r="I1278" s="26"/>
    </row>
    <row r="1279" spans="6:9" x14ac:dyDescent="0.3">
      <c r="F1279" s="26"/>
      <c r="G1279" s="26"/>
      <c r="H1279" s="26"/>
      <c r="I1279" s="26"/>
    </row>
    <row r="1280" spans="6:9" x14ac:dyDescent="0.3">
      <c r="F1280" s="26"/>
      <c r="G1280" s="26"/>
      <c r="H1280" s="26"/>
      <c r="I1280" s="26"/>
    </row>
    <row r="1281" spans="6:9" x14ac:dyDescent="0.3">
      <c r="F1281" s="26"/>
      <c r="G1281" s="26"/>
      <c r="H1281" s="26"/>
      <c r="I1281" s="26"/>
    </row>
    <row r="1282" spans="6:9" x14ac:dyDescent="0.3">
      <c r="F1282" s="26"/>
      <c r="G1282" s="26"/>
      <c r="H1282" s="26"/>
      <c r="I1282" s="26"/>
    </row>
    <row r="1283" spans="6:9" x14ac:dyDescent="0.3">
      <c r="F1283" s="26"/>
      <c r="G1283" s="26"/>
      <c r="H1283" s="26"/>
      <c r="I1283" s="26"/>
    </row>
    <row r="1284" spans="6:9" x14ac:dyDescent="0.3">
      <c r="F1284" s="26"/>
      <c r="G1284" s="26"/>
      <c r="H1284" s="26"/>
      <c r="I1284" s="26"/>
    </row>
    <row r="1285" spans="6:9" x14ac:dyDescent="0.3">
      <c r="F1285" s="26"/>
      <c r="G1285" s="26"/>
      <c r="H1285" s="26"/>
      <c r="I1285" s="26"/>
    </row>
    <row r="1286" spans="6:9" x14ac:dyDescent="0.3">
      <c r="F1286" s="26"/>
      <c r="G1286" s="26"/>
      <c r="H1286" s="26"/>
      <c r="I1286" s="26"/>
    </row>
    <row r="1287" spans="6:9" x14ac:dyDescent="0.3">
      <c r="F1287" s="26"/>
      <c r="G1287" s="26"/>
      <c r="H1287" s="26"/>
      <c r="I1287" s="26"/>
    </row>
    <row r="1288" spans="6:9" x14ac:dyDescent="0.3">
      <c r="F1288" s="26"/>
      <c r="G1288" s="26"/>
      <c r="H1288" s="26"/>
      <c r="I1288" s="26"/>
    </row>
    <row r="1289" spans="6:9" x14ac:dyDescent="0.3">
      <c r="F1289" s="26"/>
      <c r="G1289" s="26"/>
      <c r="H1289" s="26"/>
      <c r="I1289" s="26"/>
    </row>
    <row r="1290" spans="6:9" x14ac:dyDescent="0.3">
      <c r="F1290" s="26"/>
      <c r="G1290" s="26"/>
      <c r="H1290" s="26"/>
      <c r="I1290" s="26"/>
    </row>
    <row r="1291" spans="6:9" x14ac:dyDescent="0.3">
      <c r="F1291" s="26"/>
      <c r="G1291" s="26"/>
      <c r="H1291" s="26"/>
      <c r="I1291" s="26"/>
    </row>
    <row r="1292" spans="6:9" x14ac:dyDescent="0.3">
      <c r="F1292" s="26"/>
      <c r="G1292" s="26"/>
      <c r="H1292" s="26"/>
      <c r="I1292" s="26"/>
    </row>
    <row r="1293" spans="6:9" x14ac:dyDescent="0.3">
      <c r="F1293" s="26"/>
      <c r="G1293" s="26"/>
      <c r="H1293" s="26"/>
      <c r="I1293" s="26"/>
    </row>
    <row r="1294" spans="6:9" x14ac:dyDescent="0.3">
      <c r="F1294" s="26"/>
      <c r="G1294" s="26"/>
      <c r="H1294" s="26"/>
      <c r="I1294" s="26"/>
    </row>
    <row r="1295" spans="6:9" x14ac:dyDescent="0.3">
      <c r="F1295" s="26"/>
      <c r="G1295" s="26"/>
      <c r="H1295" s="26"/>
      <c r="I1295" s="26"/>
    </row>
    <row r="1296" spans="6:9" x14ac:dyDescent="0.3">
      <c r="F1296" s="26"/>
      <c r="G1296" s="26"/>
      <c r="H1296" s="26"/>
      <c r="I1296" s="26"/>
    </row>
    <row r="1297" spans="6:9" x14ac:dyDescent="0.3">
      <c r="F1297" s="26"/>
      <c r="G1297" s="26"/>
      <c r="H1297" s="26"/>
      <c r="I1297" s="26"/>
    </row>
    <row r="1298" spans="6:9" x14ac:dyDescent="0.3">
      <c r="F1298" s="26"/>
      <c r="G1298" s="26"/>
      <c r="H1298" s="26"/>
      <c r="I1298" s="26"/>
    </row>
    <row r="1299" spans="6:9" x14ac:dyDescent="0.3">
      <c r="F1299" s="26"/>
      <c r="G1299" s="26"/>
      <c r="H1299" s="26"/>
      <c r="I1299" s="26"/>
    </row>
    <row r="1300" spans="6:9" x14ac:dyDescent="0.3">
      <c r="F1300" s="26"/>
      <c r="G1300" s="26"/>
      <c r="H1300" s="26"/>
      <c r="I1300" s="26"/>
    </row>
    <row r="1301" spans="6:9" x14ac:dyDescent="0.3">
      <c r="F1301" s="26"/>
      <c r="G1301" s="26"/>
      <c r="H1301" s="26"/>
      <c r="I1301" s="26"/>
    </row>
    <row r="1302" spans="6:9" x14ac:dyDescent="0.3">
      <c r="F1302" s="26"/>
      <c r="G1302" s="26"/>
      <c r="H1302" s="26"/>
      <c r="I1302" s="26"/>
    </row>
    <row r="1303" spans="6:9" x14ac:dyDescent="0.3">
      <c r="F1303" s="26"/>
      <c r="G1303" s="26"/>
      <c r="H1303" s="26"/>
      <c r="I1303" s="26"/>
    </row>
    <row r="1304" spans="6:9" x14ac:dyDescent="0.3">
      <c r="F1304" s="26"/>
      <c r="G1304" s="26"/>
      <c r="H1304" s="26"/>
      <c r="I1304" s="26"/>
    </row>
    <row r="1305" spans="6:9" x14ac:dyDescent="0.3">
      <c r="F1305" s="26"/>
      <c r="G1305" s="26"/>
      <c r="H1305" s="26"/>
      <c r="I1305" s="26"/>
    </row>
    <row r="1306" spans="6:9" x14ac:dyDescent="0.3">
      <c r="F1306" s="26"/>
      <c r="G1306" s="26"/>
      <c r="H1306" s="26"/>
      <c r="I1306" s="26"/>
    </row>
    <row r="1307" spans="6:9" x14ac:dyDescent="0.3">
      <c r="F1307" s="26"/>
      <c r="G1307" s="26"/>
      <c r="H1307" s="26"/>
      <c r="I1307" s="26"/>
    </row>
    <row r="1308" spans="6:9" x14ac:dyDescent="0.3">
      <c r="F1308" s="26"/>
      <c r="G1308" s="26"/>
      <c r="H1308" s="26"/>
      <c r="I1308" s="26"/>
    </row>
    <row r="1309" spans="6:9" x14ac:dyDescent="0.3">
      <c r="F1309" s="26"/>
      <c r="G1309" s="26"/>
      <c r="H1309" s="26"/>
      <c r="I1309" s="26"/>
    </row>
    <row r="1310" spans="6:9" x14ac:dyDescent="0.3">
      <c r="F1310" s="26"/>
      <c r="G1310" s="26"/>
      <c r="H1310" s="26"/>
      <c r="I1310" s="26"/>
    </row>
    <row r="1311" spans="6:9" x14ac:dyDescent="0.3">
      <c r="F1311" s="26"/>
      <c r="G1311" s="26"/>
      <c r="H1311" s="26"/>
      <c r="I1311" s="26"/>
    </row>
    <row r="1312" spans="6:9" x14ac:dyDescent="0.3">
      <c r="F1312" s="26"/>
      <c r="G1312" s="26"/>
      <c r="H1312" s="26"/>
      <c r="I1312" s="26"/>
    </row>
    <row r="1313" spans="6:9" x14ac:dyDescent="0.3">
      <c r="F1313" s="26"/>
      <c r="G1313" s="26"/>
      <c r="H1313" s="26"/>
      <c r="I1313" s="26"/>
    </row>
    <row r="1314" spans="6:9" x14ac:dyDescent="0.3">
      <c r="F1314" s="26"/>
      <c r="G1314" s="26"/>
      <c r="H1314" s="26"/>
      <c r="I1314" s="26"/>
    </row>
    <row r="1315" spans="6:9" x14ac:dyDescent="0.3">
      <c r="F1315" s="26"/>
      <c r="G1315" s="26"/>
      <c r="H1315" s="26"/>
      <c r="I1315" s="26"/>
    </row>
    <row r="1316" spans="6:9" x14ac:dyDescent="0.3">
      <c r="F1316" s="26"/>
      <c r="G1316" s="26"/>
      <c r="H1316" s="26"/>
      <c r="I1316" s="26"/>
    </row>
    <row r="1317" spans="6:9" x14ac:dyDescent="0.3">
      <c r="F1317" s="26"/>
      <c r="G1317" s="26"/>
      <c r="H1317" s="26"/>
      <c r="I1317" s="26"/>
    </row>
    <row r="1318" spans="6:9" x14ac:dyDescent="0.3">
      <c r="F1318" s="26"/>
      <c r="G1318" s="26"/>
      <c r="H1318" s="26"/>
      <c r="I1318" s="26"/>
    </row>
    <row r="1319" spans="6:9" x14ac:dyDescent="0.3">
      <c r="F1319" s="26"/>
      <c r="G1319" s="26"/>
      <c r="H1319" s="26"/>
      <c r="I1319" s="26"/>
    </row>
    <row r="1320" spans="6:9" x14ac:dyDescent="0.3">
      <c r="F1320" s="26"/>
      <c r="G1320" s="26"/>
      <c r="H1320" s="26"/>
      <c r="I1320" s="26"/>
    </row>
    <row r="1321" spans="6:9" x14ac:dyDescent="0.3">
      <c r="F1321" s="26"/>
      <c r="G1321" s="26"/>
      <c r="H1321" s="26"/>
      <c r="I1321" s="26"/>
    </row>
    <row r="1322" spans="6:9" x14ac:dyDescent="0.3">
      <c r="F1322" s="26"/>
      <c r="G1322" s="26"/>
      <c r="H1322" s="26"/>
      <c r="I1322" s="26"/>
    </row>
    <row r="1323" spans="6:9" x14ac:dyDescent="0.3">
      <c r="F1323" s="26"/>
      <c r="G1323" s="26"/>
      <c r="H1323" s="26"/>
      <c r="I1323" s="26"/>
    </row>
    <row r="1324" spans="6:9" x14ac:dyDescent="0.3">
      <c r="F1324" s="26"/>
      <c r="G1324" s="26"/>
      <c r="H1324" s="26"/>
      <c r="I1324" s="26"/>
    </row>
    <row r="1325" spans="6:9" x14ac:dyDescent="0.3">
      <c r="F1325" s="26"/>
      <c r="G1325" s="26"/>
      <c r="H1325" s="26"/>
      <c r="I1325" s="26"/>
    </row>
    <row r="1326" spans="6:9" x14ac:dyDescent="0.3">
      <c r="F1326" s="26"/>
      <c r="G1326" s="26"/>
      <c r="H1326" s="26"/>
      <c r="I1326" s="26"/>
    </row>
    <row r="1327" spans="6:9" x14ac:dyDescent="0.3">
      <c r="F1327" s="26"/>
      <c r="G1327" s="26"/>
      <c r="H1327" s="26"/>
      <c r="I1327" s="26"/>
    </row>
    <row r="1328" spans="6:9" x14ac:dyDescent="0.3">
      <c r="F1328" s="26"/>
      <c r="G1328" s="26"/>
      <c r="H1328" s="26"/>
      <c r="I1328" s="26"/>
    </row>
    <row r="1329" spans="6:9" x14ac:dyDescent="0.3">
      <c r="F1329" s="26"/>
      <c r="G1329" s="26"/>
      <c r="H1329" s="26"/>
      <c r="I1329" s="26"/>
    </row>
    <row r="1330" spans="6:9" x14ac:dyDescent="0.3">
      <c r="F1330" s="26"/>
      <c r="G1330" s="26"/>
      <c r="H1330" s="26"/>
      <c r="I1330" s="26"/>
    </row>
    <row r="1331" spans="6:9" x14ac:dyDescent="0.3">
      <c r="F1331" s="26"/>
      <c r="G1331" s="26"/>
      <c r="H1331" s="26"/>
      <c r="I1331" s="26"/>
    </row>
    <row r="1332" spans="6:9" x14ac:dyDescent="0.3">
      <c r="F1332" s="26"/>
      <c r="G1332" s="26"/>
      <c r="H1332" s="26"/>
      <c r="I1332" s="26"/>
    </row>
    <row r="1333" spans="6:9" x14ac:dyDescent="0.3">
      <c r="F1333" s="26"/>
      <c r="G1333" s="26"/>
      <c r="H1333" s="26"/>
      <c r="I1333" s="26"/>
    </row>
    <row r="1334" spans="6:9" x14ac:dyDescent="0.3">
      <c r="F1334" s="26"/>
      <c r="G1334" s="26"/>
      <c r="H1334" s="26"/>
      <c r="I1334" s="26"/>
    </row>
    <row r="1335" spans="6:9" x14ac:dyDescent="0.3">
      <c r="F1335" s="26"/>
      <c r="G1335" s="26"/>
      <c r="H1335" s="26"/>
      <c r="I1335" s="26"/>
    </row>
    <row r="1336" spans="6:9" x14ac:dyDescent="0.3">
      <c r="F1336" s="26"/>
      <c r="G1336" s="26"/>
      <c r="H1336" s="26"/>
      <c r="I1336" s="26"/>
    </row>
    <row r="1337" spans="6:9" x14ac:dyDescent="0.3">
      <c r="F1337" s="26"/>
      <c r="G1337" s="26"/>
      <c r="H1337" s="26"/>
      <c r="I1337" s="26"/>
    </row>
    <row r="1338" spans="6:9" x14ac:dyDescent="0.3">
      <c r="F1338" s="26"/>
      <c r="G1338" s="26"/>
      <c r="H1338" s="26"/>
      <c r="I1338" s="26"/>
    </row>
    <row r="1339" spans="6:9" x14ac:dyDescent="0.3">
      <c r="F1339" s="26"/>
      <c r="G1339" s="26"/>
      <c r="H1339" s="26"/>
      <c r="I1339" s="26"/>
    </row>
    <row r="1340" spans="6:9" x14ac:dyDescent="0.3">
      <c r="F1340" s="26"/>
      <c r="G1340" s="26"/>
      <c r="H1340" s="26"/>
      <c r="I1340" s="26"/>
    </row>
    <row r="1341" spans="6:9" x14ac:dyDescent="0.3">
      <c r="F1341" s="26"/>
      <c r="G1341" s="26"/>
      <c r="H1341" s="26"/>
      <c r="I1341" s="26"/>
    </row>
    <row r="1342" spans="6:9" x14ac:dyDescent="0.3">
      <c r="F1342" s="26"/>
      <c r="G1342" s="26"/>
      <c r="H1342" s="26"/>
      <c r="I1342" s="26"/>
    </row>
    <row r="1343" spans="6:9" x14ac:dyDescent="0.3">
      <c r="F1343" s="26"/>
      <c r="G1343" s="26"/>
      <c r="H1343" s="26"/>
      <c r="I1343" s="26"/>
    </row>
    <row r="1344" spans="6:9" x14ac:dyDescent="0.3">
      <c r="F1344" s="26"/>
      <c r="G1344" s="26"/>
      <c r="H1344" s="26"/>
      <c r="I1344" s="26"/>
    </row>
    <row r="1345" spans="6:9" x14ac:dyDescent="0.3">
      <c r="F1345" s="26"/>
      <c r="G1345" s="26"/>
      <c r="H1345" s="26"/>
      <c r="I1345" s="26"/>
    </row>
    <row r="1346" spans="6:9" x14ac:dyDescent="0.3">
      <c r="F1346" s="26"/>
      <c r="G1346" s="26"/>
      <c r="H1346" s="26"/>
      <c r="I1346" s="26"/>
    </row>
    <row r="1347" spans="6:9" x14ac:dyDescent="0.3">
      <c r="F1347" s="26"/>
      <c r="G1347" s="26"/>
      <c r="H1347" s="26"/>
      <c r="I1347" s="26"/>
    </row>
    <row r="1348" spans="6:9" x14ac:dyDescent="0.3">
      <c r="F1348" s="26"/>
      <c r="G1348" s="26"/>
      <c r="H1348" s="26"/>
      <c r="I1348" s="26"/>
    </row>
    <row r="1349" spans="6:9" x14ac:dyDescent="0.3">
      <c r="F1349" s="26"/>
      <c r="G1349" s="26"/>
      <c r="H1349" s="26"/>
      <c r="I1349" s="26"/>
    </row>
    <row r="1350" spans="6:9" x14ac:dyDescent="0.3">
      <c r="F1350" s="26"/>
      <c r="G1350" s="26"/>
      <c r="H1350" s="26"/>
      <c r="I1350" s="26"/>
    </row>
    <row r="1351" spans="6:9" x14ac:dyDescent="0.3">
      <c r="F1351" s="26"/>
      <c r="G1351" s="26"/>
      <c r="H1351" s="26"/>
      <c r="I1351" s="26"/>
    </row>
    <row r="1352" spans="6:9" x14ac:dyDescent="0.3">
      <c r="F1352" s="26"/>
      <c r="G1352" s="26"/>
      <c r="H1352" s="26"/>
      <c r="I1352" s="26"/>
    </row>
    <row r="1353" spans="6:9" x14ac:dyDescent="0.3">
      <c r="F1353" s="26"/>
      <c r="G1353" s="26"/>
      <c r="H1353" s="26"/>
      <c r="I1353" s="26"/>
    </row>
    <row r="1354" spans="6:9" x14ac:dyDescent="0.3">
      <c r="F1354" s="26"/>
      <c r="G1354" s="26"/>
      <c r="H1354" s="26"/>
      <c r="I1354" s="26"/>
    </row>
    <row r="1355" spans="6:9" x14ac:dyDescent="0.3">
      <c r="F1355" s="26"/>
      <c r="G1355" s="26"/>
      <c r="H1355" s="26"/>
      <c r="I1355" s="26"/>
    </row>
    <row r="1356" spans="6:9" x14ac:dyDescent="0.3">
      <c r="F1356" s="26"/>
      <c r="G1356" s="26"/>
      <c r="H1356" s="26"/>
      <c r="I1356" s="26"/>
    </row>
    <row r="1357" spans="6:9" x14ac:dyDescent="0.3">
      <c r="F1357" s="26"/>
      <c r="G1357" s="26"/>
      <c r="H1357" s="26"/>
      <c r="I1357" s="26"/>
    </row>
    <row r="1358" spans="6:9" x14ac:dyDescent="0.3">
      <c r="F1358" s="26"/>
      <c r="G1358" s="26"/>
      <c r="H1358" s="26"/>
      <c r="I1358" s="26"/>
    </row>
    <row r="1359" spans="6:9" x14ac:dyDescent="0.3">
      <c r="F1359" s="26"/>
      <c r="G1359" s="26"/>
      <c r="H1359" s="26"/>
      <c r="I1359" s="26"/>
    </row>
    <row r="1360" spans="6:9" x14ac:dyDescent="0.3">
      <c r="F1360" s="26"/>
      <c r="G1360" s="26"/>
      <c r="H1360" s="26"/>
      <c r="I1360" s="26"/>
    </row>
    <row r="1361" spans="6:9" x14ac:dyDescent="0.3">
      <c r="F1361" s="26"/>
      <c r="G1361" s="26"/>
      <c r="H1361" s="26"/>
      <c r="I1361" s="26"/>
    </row>
    <row r="1362" spans="6:9" x14ac:dyDescent="0.3">
      <c r="F1362" s="26"/>
      <c r="G1362" s="26"/>
      <c r="H1362" s="26"/>
      <c r="I1362" s="26"/>
    </row>
    <row r="1363" spans="6:9" x14ac:dyDescent="0.3">
      <c r="F1363" s="26"/>
      <c r="G1363" s="26"/>
      <c r="H1363" s="26"/>
      <c r="I1363" s="26"/>
    </row>
    <row r="1364" spans="6:9" x14ac:dyDescent="0.3">
      <c r="F1364" s="26"/>
      <c r="G1364" s="26"/>
      <c r="H1364" s="26"/>
      <c r="I1364" s="26"/>
    </row>
    <row r="1365" spans="6:9" x14ac:dyDescent="0.3">
      <c r="F1365" s="26"/>
      <c r="G1365" s="26"/>
      <c r="H1365" s="26"/>
      <c r="I1365" s="26"/>
    </row>
    <row r="1366" spans="6:9" x14ac:dyDescent="0.3">
      <c r="F1366" s="26"/>
      <c r="G1366" s="26"/>
      <c r="H1366" s="26"/>
      <c r="I1366" s="26"/>
    </row>
    <row r="1367" spans="6:9" x14ac:dyDescent="0.3">
      <c r="F1367" s="26"/>
      <c r="G1367" s="26"/>
      <c r="H1367" s="26"/>
      <c r="I1367" s="26"/>
    </row>
    <row r="1368" spans="6:9" x14ac:dyDescent="0.3">
      <c r="F1368" s="26"/>
      <c r="G1368" s="26"/>
      <c r="H1368" s="26"/>
      <c r="I1368" s="26"/>
    </row>
    <row r="1369" spans="6:9" x14ac:dyDescent="0.3">
      <c r="F1369" s="26"/>
      <c r="G1369" s="26"/>
      <c r="H1369" s="26"/>
      <c r="I1369" s="26"/>
    </row>
    <row r="1370" spans="6:9" x14ac:dyDescent="0.3">
      <c r="F1370" s="26"/>
      <c r="G1370" s="26"/>
      <c r="H1370" s="26"/>
      <c r="I1370" s="26"/>
    </row>
    <row r="1371" spans="6:9" x14ac:dyDescent="0.3">
      <c r="F1371" s="26"/>
      <c r="G1371" s="26"/>
      <c r="H1371" s="26"/>
      <c r="I1371" s="26"/>
    </row>
    <row r="1372" spans="6:9" x14ac:dyDescent="0.3">
      <c r="F1372" s="26"/>
      <c r="G1372" s="26"/>
      <c r="H1372" s="26"/>
      <c r="I1372" s="26"/>
    </row>
    <row r="1373" spans="6:9" x14ac:dyDescent="0.3">
      <c r="F1373" s="26"/>
      <c r="G1373" s="26"/>
      <c r="H1373" s="26"/>
      <c r="I1373" s="26"/>
    </row>
    <row r="1374" spans="6:9" x14ac:dyDescent="0.3">
      <c r="F1374" s="26"/>
      <c r="G1374" s="26"/>
      <c r="H1374" s="26"/>
      <c r="I1374" s="26"/>
    </row>
    <row r="1375" spans="6:9" x14ac:dyDescent="0.3">
      <c r="F1375" s="26"/>
      <c r="G1375" s="26"/>
      <c r="H1375" s="26"/>
      <c r="I1375" s="26"/>
    </row>
    <row r="1376" spans="6:9" x14ac:dyDescent="0.3">
      <c r="F1376" s="26"/>
      <c r="G1376" s="26"/>
      <c r="H1376" s="26"/>
      <c r="I1376" s="26"/>
    </row>
    <row r="1377" spans="6:9" x14ac:dyDescent="0.3">
      <c r="F1377" s="26"/>
      <c r="G1377" s="26"/>
      <c r="H1377" s="26"/>
      <c r="I1377" s="26"/>
    </row>
    <row r="1378" spans="6:9" x14ac:dyDescent="0.3">
      <c r="F1378" s="26"/>
      <c r="G1378" s="26"/>
      <c r="H1378" s="26"/>
      <c r="I1378" s="26"/>
    </row>
    <row r="1379" spans="6:9" x14ac:dyDescent="0.3">
      <c r="F1379" s="26"/>
      <c r="G1379" s="26"/>
      <c r="H1379" s="26"/>
      <c r="I1379" s="26"/>
    </row>
    <row r="1380" spans="6:9" x14ac:dyDescent="0.3">
      <c r="F1380" s="26"/>
      <c r="G1380" s="26"/>
      <c r="H1380" s="26"/>
      <c r="I1380" s="26"/>
    </row>
    <row r="1381" spans="6:9" x14ac:dyDescent="0.3">
      <c r="F1381" s="26"/>
      <c r="G1381" s="26"/>
      <c r="H1381" s="26"/>
      <c r="I1381" s="26"/>
    </row>
    <row r="1382" spans="6:9" x14ac:dyDescent="0.3">
      <c r="F1382" s="26"/>
      <c r="G1382" s="26"/>
      <c r="H1382" s="26"/>
      <c r="I1382" s="26"/>
    </row>
    <row r="1383" spans="6:9" x14ac:dyDescent="0.3">
      <c r="F1383" s="26"/>
      <c r="G1383" s="26"/>
      <c r="H1383" s="26"/>
      <c r="I1383" s="26"/>
    </row>
    <row r="1384" spans="6:9" x14ac:dyDescent="0.3">
      <c r="F1384" s="26"/>
      <c r="G1384" s="26"/>
      <c r="H1384" s="26"/>
      <c r="I1384" s="26"/>
    </row>
    <row r="1385" spans="6:9" x14ac:dyDescent="0.3">
      <c r="F1385" s="26"/>
      <c r="G1385" s="26"/>
      <c r="H1385" s="26"/>
      <c r="I1385" s="26"/>
    </row>
    <row r="1386" spans="6:9" x14ac:dyDescent="0.3">
      <c r="F1386" s="26"/>
      <c r="G1386" s="26"/>
      <c r="H1386" s="26"/>
      <c r="I1386" s="26"/>
    </row>
    <row r="1387" spans="6:9" x14ac:dyDescent="0.3">
      <c r="F1387" s="26"/>
      <c r="G1387" s="26"/>
      <c r="H1387" s="26"/>
      <c r="I1387" s="26"/>
    </row>
    <row r="1388" spans="6:9" x14ac:dyDescent="0.3">
      <c r="F1388" s="26"/>
      <c r="G1388" s="26"/>
      <c r="H1388" s="26"/>
      <c r="I1388" s="26"/>
    </row>
    <row r="1389" spans="6:9" x14ac:dyDescent="0.3">
      <c r="F1389" s="26"/>
      <c r="G1389" s="26"/>
      <c r="H1389" s="26"/>
      <c r="I1389" s="26"/>
    </row>
    <row r="1390" spans="6:9" x14ac:dyDescent="0.3">
      <c r="F1390" s="26"/>
      <c r="G1390" s="26"/>
      <c r="H1390" s="26"/>
      <c r="I1390" s="26"/>
    </row>
    <row r="1391" spans="6:9" x14ac:dyDescent="0.3">
      <c r="F1391" s="26"/>
      <c r="G1391" s="26"/>
      <c r="H1391" s="26"/>
      <c r="I1391" s="26"/>
    </row>
    <row r="1392" spans="6:9" x14ac:dyDescent="0.3">
      <c r="F1392" s="26"/>
      <c r="G1392" s="26"/>
      <c r="H1392" s="26"/>
      <c r="I1392" s="26"/>
    </row>
    <row r="1393" spans="6:9" x14ac:dyDescent="0.3">
      <c r="F1393" s="26"/>
      <c r="G1393" s="26"/>
      <c r="H1393" s="26"/>
      <c r="I1393" s="26"/>
    </row>
    <row r="1394" spans="6:9" x14ac:dyDescent="0.3">
      <c r="F1394" s="26"/>
      <c r="G1394" s="26"/>
      <c r="H1394" s="26"/>
      <c r="I1394" s="26"/>
    </row>
    <row r="1395" spans="6:9" x14ac:dyDescent="0.3">
      <c r="F1395" s="26"/>
      <c r="G1395" s="26"/>
      <c r="H1395" s="26"/>
      <c r="I1395" s="26"/>
    </row>
    <row r="1396" spans="6:9" x14ac:dyDescent="0.3">
      <c r="F1396" s="26"/>
      <c r="G1396" s="26"/>
      <c r="H1396" s="26"/>
      <c r="I1396" s="26"/>
    </row>
    <row r="1397" spans="6:9" x14ac:dyDescent="0.3">
      <c r="F1397" s="26"/>
      <c r="G1397" s="26"/>
      <c r="H1397" s="26"/>
      <c r="I1397" s="26"/>
    </row>
    <row r="1398" spans="6:9" x14ac:dyDescent="0.3">
      <c r="F1398" s="26"/>
      <c r="G1398" s="26"/>
      <c r="H1398" s="26"/>
      <c r="I1398" s="26"/>
    </row>
    <row r="1399" spans="6:9" x14ac:dyDescent="0.3">
      <c r="F1399" s="26"/>
      <c r="G1399" s="26"/>
      <c r="H1399" s="26"/>
      <c r="I1399" s="26"/>
    </row>
    <row r="1400" spans="6:9" x14ac:dyDescent="0.3">
      <c r="F1400" s="26"/>
      <c r="G1400" s="26"/>
      <c r="H1400" s="26"/>
      <c r="I1400" s="26"/>
    </row>
    <row r="1401" spans="6:9" x14ac:dyDescent="0.3">
      <c r="F1401" s="26"/>
      <c r="G1401" s="26"/>
      <c r="H1401" s="26"/>
      <c r="I1401" s="26"/>
    </row>
    <row r="1402" spans="6:9" x14ac:dyDescent="0.3">
      <c r="F1402" s="26"/>
      <c r="G1402" s="26"/>
      <c r="H1402" s="26"/>
      <c r="I1402" s="26"/>
    </row>
    <row r="1403" spans="6:9" x14ac:dyDescent="0.3">
      <c r="F1403" s="26"/>
      <c r="G1403" s="26"/>
      <c r="H1403" s="26"/>
      <c r="I1403" s="26"/>
    </row>
    <row r="1404" spans="6:9" x14ac:dyDescent="0.3">
      <c r="F1404" s="26"/>
      <c r="G1404" s="26"/>
      <c r="H1404" s="26"/>
      <c r="I1404" s="26"/>
    </row>
    <row r="1405" spans="6:9" x14ac:dyDescent="0.3">
      <c r="F1405" s="26"/>
      <c r="G1405" s="26"/>
      <c r="H1405" s="26"/>
      <c r="I1405" s="26"/>
    </row>
    <row r="1406" spans="6:9" x14ac:dyDescent="0.3">
      <c r="F1406" s="26"/>
      <c r="G1406" s="26"/>
      <c r="H1406" s="26"/>
      <c r="I1406" s="26"/>
    </row>
    <row r="1407" spans="6:9" x14ac:dyDescent="0.3">
      <c r="F1407" s="26"/>
      <c r="G1407" s="26"/>
      <c r="H1407" s="26"/>
      <c r="I1407" s="26"/>
    </row>
    <row r="1408" spans="6:9" x14ac:dyDescent="0.3">
      <c r="F1408" s="26"/>
      <c r="G1408" s="26"/>
      <c r="H1408" s="26"/>
      <c r="I1408" s="26"/>
    </row>
    <row r="1409" spans="6:9" x14ac:dyDescent="0.3">
      <c r="F1409" s="26"/>
      <c r="G1409" s="26"/>
      <c r="H1409" s="26"/>
      <c r="I1409" s="26"/>
    </row>
    <row r="1410" spans="6:9" x14ac:dyDescent="0.3">
      <c r="F1410" s="26"/>
      <c r="G1410" s="26"/>
      <c r="H1410" s="26"/>
      <c r="I1410" s="26"/>
    </row>
    <row r="1411" spans="6:9" x14ac:dyDescent="0.3">
      <c r="F1411" s="26"/>
      <c r="G1411" s="26"/>
      <c r="H1411" s="26"/>
      <c r="I1411" s="26"/>
    </row>
    <row r="1412" spans="6:9" x14ac:dyDescent="0.3">
      <c r="F1412" s="26"/>
      <c r="G1412" s="26"/>
      <c r="H1412" s="26"/>
      <c r="I1412" s="26"/>
    </row>
    <row r="1413" spans="6:9" x14ac:dyDescent="0.3">
      <c r="F1413" s="26"/>
      <c r="G1413" s="26"/>
      <c r="H1413" s="26"/>
      <c r="I1413" s="26"/>
    </row>
    <row r="1414" spans="6:9" x14ac:dyDescent="0.3">
      <c r="F1414" s="26"/>
      <c r="G1414" s="26"/>
      <c r="H1414" s="26"/>
      <c r="I1414" s="26"/>
    </row>
    <row r="1415" spans="6:9" x14ac:dyDescent="0.3">
      <c r="F1415" s="26"/>
      <c r="G1415" s="26"/>
      <c r="H1415" s="26"/>
      <c r="I1415" s="26"/>
    </row>
    <row r="1416" spans="6:9" x14ac:dyDescent="0.3">
      <c r="F1416" s="26"/>
      <c r="G1416" s="26"/>
      <c r="H1416" s="26"/>
      <c r="I1416" s="26"/>
    </row>
    <row r="1417" spans="6:9" x14ac:dyDescent="0.3">
      <c r="F1417" s="26"/>
      <c r="G1417" s="26"/>
      <c r="H1417" s="26"/>
      <c r="I1417" s="26"/>
    </row>
    <row r="1418" spans="6:9" x14ac:dyDescent="0.3">
      <c r="F1418" s="26"/>
      <c r="G1418" s="26"/>
      <c r="H1418" s="26"/>
      <c r="I1418" s="26"/>
    </row>
    <row r="1419" spans="6:9" x14ac:dyDescent="0.3">
      <c r="F1419" s="26"/>
      <c r="G1419" s="26"/>
      <c r="H1419" s="26"/>
      <c r="I1419" s="26"/>
    </row>
    <row r="1420" spans="6:9" x14ac:dyDescent="0.3">
      <c r="F1420" s="26"/>
      <c r="G1420" s="26"/>
      <c r="H1420" s="26"/>
      <c r="I1420" s="26"/>
    </row>
    <row r="1421" spans="6:9" x14ac:dyDescent="0.3">
      <c r="F1421" s="26"/>
      <c r="G1421" s="26"/>
      <c r="H1421" s="26"/>
      <c r="I1421" s="26"/>
    </row>
    <row r="1422" spans="6:9" x14ac:dyDescent="0.3">
      <c r="F1422" s="26"/>
      <c r="G1422" s="26"/>
      <c r="H1422" s="26"/>
      <c r="I1422" s="26"/>
    </row>
    <row r="1423" spans="6:9" x14ac:dyDescent="0.3">
      <c r="F1423" s="26"/>
      <c r="G1423" s="26"/>
      <c r="H1423" s="26"/>
      <c r="I1423" s="26"/>
    </row>
    <row r="1424" spans="6:9" x14ac:dyDescent="0.3">
      <c r="F1424" s="26"/>
      <c r="G1424" s="26"/>
      <c r="H1424" s="26"/>
      <c r="I1424" s="26"/>
    </row>
    <row r="1425" spans="6:9" x14ac:dyDescent="0.3">
      <c r="F1425" s="26"/>
      <c r="G1425" s="26"/>
      <c r="H1425" s="26"/>
      <c r="I1425" s="26"/>
    </row>
    <row r="1426" spans="6:9" x14ac:dyDescent="0.3">
      <c r="F1426" s="26"/>
      <c r="G1426" s="26"/>
      <c r="H1426" s="26"/>
      <c r="I1426" s="26"/>
    </row>
    <row r="1427" spans="6:9" x14ac:dyDescent="0.3">
      <c r="F1427" s="26"/>
      <c r="G1427" s="26"/>
      <c r="H1427" s="26"/>
      <c r="I1427" s="26"/>
    </row>
    <row r="1428" spans="6:9" x14ac:dyDescent="0.3">
      <c r="F1428" s="26"/>
      <c r="G1428" s="26"/>
      <c r="H1428" s="26"/>
      <c r="I1428" s="26"/>
    </row>
    <row r="1429" spans="6:9" x14ac:dyDescent="0.3">
      <c r="F1429" s="26"/>
      <c r="G1429" s="26"/>
      <c r="H1429" s="26"/>
      <c r="I1429" s="26"/>
    </row>
    <row r="1430" spans="6:9" x14ac:dyDescent="0.3">
      <c r="F1430" s="26"/>
      <c r="G1430" s="26"/>
      <c r="H1430" s="26"/>
      <c r="I1430" s="26"/>
    </row>
    <row r="1431" spans="6:9" x14ac:dyDescent="0.3">
      <c r="F1431" s="26"/>
      <c r="G1431" s="26"/>
      <c r="H1431" s="26"/>
      <c r="I1431" s="26"/>
    </row>
    <row r="1432" spans="6:9" x14ac:dyDescent="0.3">
      <c r="F1432" s="26"/>
      <c r="G1432" s="26"/>
      <c r="H1432" s="26"/>
      <c r="I1432" s="26"/>
    </row>
    <row r="1433" spans="6:9" x14ac:dyDescent="0.3">
      <c r="F1433" s="26"/>
      <c r="G1433" s="26"/>
      <c r="H1433" s="26"/>
      <c r="I1433" s="26"/>
    </row>
    <row r="1434" spans="6:9" x14ac:dyDescent="0.3">
      <c r="F1434" s="26"/>
      <c r="G1434" s="26"/>
      <c r="H1434" s="26"/>
      <c r="I1434" s="26"/>
    </row>
    <row r="1435" spans="6:9" x14ac:dyDescent="0.3">
      <c r="F1435" s="26"/>
      <c r="G1435" s="26"/>
      <c r="H1435" s="26"/>
      <c r="I1435" s="26"/>
    </row>
    <row r="1436" spans="6:9" x14ac:dyDescent="0.3">
      <c r="F1436" s="26"/>
      <c r="G1436" s="26"/>
      <c r="H1436" s="26"/>
      <c r="I1436" s="26"/>
    </row>
    <row r="1437" spans="6:9" x14ac:dyDescent="0.3">
      <c r="F1437" s="26"/>
      <c r="G1437" s="26"/>
      <c r="H1437" s="26"/>
      <c r="I1437" s="26"/>
    </row>
    <row r="1438" spans="6:9" x14ac:dyDescent="0.3">
      <c r="F1438" s="26"/>
      <c r="G1438" s="26"/>
      <c r="H1438" s="26"/>
      <c r="I1438" s="26"/>
    </row>
    <row r="1439" spans="6:9" x14ac:dyDescent="0.3">
      <c r="F1439" s="26"/>
      <c r="G1439" s="26"/>
      <c r="H1439" s="26"/>
      <c r="I1439" s="26"/>
    </row>
    <row r="1440" spans="6:9" x14ac:dyDescent="0.3">
      <c r="F1440" s="26"/>
      <c r="G1440" s="26"/>
      <c r="H1440" s="26"/>
      <c r="I1440" s="26"/>
    </row>
    <row r="1441" spans="6:9" x14ac:dyDescent="0.3">
      <c r="F1441" s="26"/>
      <c r="G1441" s="26"/>
      <c r="H1441" s="26"/>
      <c r="I1441" s="26"/>
    </row>
    <row r="1442" spans="6:9" x14ac:dyDescent="0.3">
      <c r="F1442" s="26"/>
      <c r="G1442" s="26"/>
      <c r="H1442" s="26"/>
      <c r="I1442" s="26"/>
    </row>
    <row r="1443" spans="6:9" x14ac:dyDescent="0.3">
      <c r="F1443" s="26"/>
      <c r="G1443" s="26"/>
      <c r="H1443" s="26"/>
      <c r="I1443" s="26"/>
    </row>
    <row r="1444" spans="6:9" x14ac:dyDescent="0.3">
      <c r="F1444" s="26"/>
      <c r="G1444" s="26"/>
      <c r="H1444" s="26"/>
      <c r="I1444" s="26"/>
    </row>
    <row r="1445" spans="6:9" x14ac:dyDescent="0.3">
      <c r="F1445" s="26"/>
      <c r="G1445" s="26"/>
      <c r="H1445" s="26"/>
      <c r="I1445" s="26"/>
    </row>
    <row r="1446" spans="6:9" x14ac:dyDescent="0.3">
      <c r="F1446" s="26"/>
      <c r="G1446" s="26"/>
      <c r="H1446" s="26"/>
      <c r="I1446" s="26"/>
    </row>
    <row r="1447" spans="6:9" x14ac:dyDescent="0.3">
      <c r="F1447" s="26"/>
      <c r="G1447" s="26"/>
      <c r="H1447" s="26"/>
      <c r="I1447" s="26"/>
    </row>
    <row r="1448" spans="6:9" x14ac:dyDescent="0.3">
      <c r="F1448" s="26"/>
      <c r="G1448" s="26"/>
      <c r="H1448" s="26"/>
      <c r="I1448" s="26"/>
    </row>
    <row r="1449" spans="6:9" x14ac:dyDescent="0.3">
      <c r="F1449" s="26"/>
      <c r="G1449" s="26"/>
      <c r="H1449" s="26"/>
      <c r="I1449" s="26"/>
    </row>
    <row r="1450" spans="6:9" x14ac:dyDescent="0.3">
      <c r="F1450" s="26"/>
      <c r="G1450" s="26"/>
      <c r="H1450" s="26"/>
      <c r="I1450" s="26"/>
    </row>
    <row r="1451" spans="6:9" x14ac:dyDescent="0.3">
      <c r="F1451" s="26"/>
      <c r="G1451" s="26"/>
      <c r="H1451" s="26"/>
      <c r="I1451" s="26"/>
    </row>
    <row r="1452" spans="6:9" x14ac:dyDescent="0.3">
      <c r="F1452" s="26"/>
      <c r="G1452" s="26"/>
      <c r="H1452" s="26"/>
      <c r="I1452" s="26"/>
    </row>
    <row r="1453" spans="6:9" x14ac:dyDescent="0.3">
      <c r="F1453" s="26"/>
      <c r="G1453" s="26"/>
      <c r="H1453" s="26"/>
      <c r="I1453" s="26"/>
    </row>
    <row r="1454" spans="6:9" x14ac:dyDescent="0.3">
      <c r="F1454" s="26"/>
      <c r="G1454" s="26"/>
      <c r="H1454" s="26"/>
      <c r="I1454" s="26"/>
    </row>
    <row r="1455" spans="6:9" x14ac:dyDescent="0.3">
      <c r="F1455" s="26"/>
      <c r="G1455" s="26"/>
      <c r="H1455" s="26"/>
      <c r="I1455" s="26"/>
    </row>
    <row r="1456" spans="6:9" x14ac:dyDescent="0.3">
      <c r="F1456" s="26"/>
      <c r="G1456" s="26"/>
      <c r="H1456" s="26"/>
      <c r="I1456" s="26"/>
    </row>
    <row r="1457" spans="6:9" x14ac:dyDescent="0.3">
      <c r="F1457" s="26"/>
      <c r="G1457" s="26"/>
      <c r="H1457" s="26"/>
      <c r="I1457" s="26"/>
    </row>
    <row r="1458" spans="6:9" x14ac:dyDescent="0.3">
      <c r="F1458" s="26"/>
      <c r="G1458" s="26"/>
      <c r="H1458" s="26"/>
      <c r="I1458" s="26"/>
    </row>
    <row r="1459" spans="6:9" x14ac:dyDescent="0.3">
      <c r="F1459" s="26"/>
      <c r="G1459" s="26"/>
      <c r="H1459" s="26"/>
      <c r="I1459" s="26"/>
    </row>
    <row r="1460" spans="6:9" x14ac:dyDescent="0.3">
      <c r="F1460" s="26"/>
      <c r="G1460" s="26"/>
      <c r="H1460" s="26"/>
      <c r="I1460" s="26"/>
    </row>
    <row r="1461" spans="6:9" x14ac:dyDescent="0.3">
      <c r="F1461" s="26"/>
      <c r="G1461" s="26"/>
      <c r="H1461" s="26"/>
      <c r="I1461" s="26"/>
    </row>
    <row r="1462" spans="6:9" x14ac:dyDescent="0.3">
      <c r="F1462" s="26"/>
      <c r="G1462" s="26"/>
      <c r="H1462" s="26"/>
      <c r="I1462" s="26"/>
    </row>
    <row r="1463" spans="6:9" x14ac:dyDescent="0.3">
      <c r="F1463" s="26"/>
      <c r="G1463" s="26"/>
      <c r="H1463" s="26"/>
      <c r="I1463" s="26"/>
    </row>
    <row r="1464" spans="6:9" x14ac:dyDescent="0.3">
      <c r="F1464" s="26"/>
      <c r="G1464" s="26"/>
      <c r="H1464" s="26"/>
      <c r="I1464" s="26"/>
    </row>
    <row r="1465" spans="6:9" x14ac:dyDescent="0.3">
      <c r="F1465" s="26"/>
      <c r="G1465" s="26"/>
      <c r="H1465" s="26"/>
      <c r="I1465" s="26"/>
    </row>
    <row r="1466" spans="6:9" x14ac:dyDescent="0.3">
      <c r="F1466" s="26"/>
      <c r="G1466" s="26"/>
      <c r="H1466" s="26"/>
      <c r="I1466" s="26"/>
    </row>
    <row r="1467" spans="6:9" x14ac:dyDescent="0.3">
      <c r="F1467" s="26"/>
      <c r="G1467" s="26"/>
      <c r="H1467" s="26"/>
      <c r="I1467" s="26"/>
    </row>
    <row r="1468" spans="6:9" x14ac:dyDescent="0.3">
      <c r="F1468" s="26"/>
      <c r="G1468" s="26"/>
      <c r="H1468" s="26"/>
      <c r="I1468" s="26"/>
    </row>
    <row r="1469" spans="6:9" x14ac:dyDescent="0.3">
      <c r="F1469" s="26"/>
      <c r="G1469" s="26"/>
      <c r="H1469" s="26"/>
      <c r="I1469" s="26"/>
    </row>
    <row r="1470" spans="6:9" x14ac:dyDescent="0.3">
      <c r="F1470" s="26"/>
      <c r="G1470" s="26"/>
      <c r="H1470" s="26"/>
      <c r="I1470" s="26"/>
    </row>
    <row r="1471" spans="6:9" x14ac:dyDescent="0.3">
      <c r="F1471" s="26"/>
      <c r="G1471" s="26"/>
      <c r="H1471" s="26"/>
      <c r="I1471" s="26"/>
    </row>
    <row r="1472" spans="6:9" x14ac:dyDescent="0.3">
      <c r="F1472" s="26"/>
      <c r="G1472" s="26"/>
      <c r="H1472" s="26"/>
      <c r="I1472" s="26"/>
    </row>
    <row r="1473" spans="6:9" x14ac:dyDescent="0.3">
      <c r="F1473" s="26"/>
      <c r="G1473" s="26"/>
      <c r="H1473" s="26"/>
      <c r="I1473" s="26"/>
    </row>
    <row r="1474" spans="6:9" x14ac:dyDescent="0.3">
      <c r="F1474" s="26"/>
      <c r="G1474" s="26"/>
      <c r="H1474" s="26"/>
      <c r="I1474" s="26"/>
    </row>
    <row r="1475" spans="6:9" x14ac:dyDescent="0.3">
      <c r="F1475" s="26"/>
      <c r="G1475" s="26"/>
      <c r="H1475" s="26"/>
      <c r="I1475" s="26"/>
    </row>
    <row r="1476" spans="6:9" x14ac:dyDescent="0.3">
      <c r="F1476" s="26"/>
      <c r="G1476" s="26"/>
      <c r="H1476" s="26"/>
      <c r="I1476" s="26"/>
    </row>
    <row r="1477" spans="6:9" x14ac:dyDescent="0.3">
      <c r="F1477" s="26"/>
      <c r="G1477" s="26"/>
      <c r="H1477" s="26"/>
      <c r="I1477" s="26"/>
    </row>
    <row r="1478" spans="6:9" x14ac:dyDescent="0.3">
      <c r="F1478" s="26"/>
      <c r="G1478" s="26"/>
      <c r="H1478" s="26"/>
      <c r="I1478" s="26"/>
    </row>
    <row r="1479" spans="6:9" x14ac:dyDescent="0.3">
      <c r="F1479" s="26"/>
      <c r="G1479" s="26"/>
      <c r="H1479" s="26"/>
      <c r="I1479" s="26"/>
    </row>
    <row r="1480" spans="6:9" x14ac:dyDescent="0.3">
      <c r="F1480" s="26"/>
      <c r="G1480" s="26"/>
      <c r="H1480" s="26"/>
      <c r="I1480" s="26"/>
    </row>
    <row r="1481" spans="6:9" x14ac:dyDescent="0.3">
      <c r="F1481" s="26"/>
      <c r="G1481" s="26"/>
      <c r="H1481" s="26"/>
      <c r="I1481" s="26"/>
    </row>
    <row r="1482" spans="6:9" x14ac:dyDescent="0.3">
      <c r="F1482" s="26"/>
      <c r="G1482" s="26"/>
      <c r="H1482" s="26"/>
      <c r="I1482" s="26"/>
    </row>
    <row r="1483" spans="6:9" x14ac:dyDescent="0.3">
      <c r="F1483" s="26"/>
      <c r="G1483" s="26"/>
      <c r="H1483" s="26"/>
      <c r="I1483" s="26"/>
    </row>
    <row r="1484" spans="6:9" x14ac:dyDescent="0.3">
      <c r="F1484" s="26"/>
      <c r="G1484" s="26"/>
      <c r="H1484" s="26"/>
      <c r="I1484" s="26"/>
    </row>
    <row r="1485" spans="6:9" x14ac:dyDescent="0.3">
      <c r="F1485" s="26"/>
      <c r="G1485" s="26"/>
      <c r="H1485" s="26"/>
      <c r="I1485" s="26"/>
    </row>
    <row r="1486" spans="6:9" x14ac:dyDescent="0.3">
      <c r="F1486" s="26"/>
      <c r="G1486" s="26"/>
      <c r="H1486" s="26"/>
      <c r="I1486" s="26"/>
    </row>
    <row r="1487" spans="6:9" x14ac:dyDescent="0.3">
      <c r="F1487" s="26"/>
      <c r="G1487" s="26"/>
      <c r="H1487" s="26"/>
      <c r="I1487" s="26"/>
    </row>
    <row r="1488" spans="6:9" x14ac:dyDescent="0.3">
      <c r="F1488" s="26"/>
      <c r="G1488" s="26"/>
      <c r="H1488" s="26"/>
      <c r="I1488" s="26"/>
    </row>
    <row r="1489" spans="6:9" x14ac:dyDescent="0.3">
      <c r="F1489" s="26"/>
      <c r="G1489" s="26"/>
      <c r="H1489" s="26"/>
      <c r="I1489" s="26"/>
    </row>
    <row r="1490" spans="6:9" x14ac:dyDescent="0.3">
      <c r="F1490" s="26"/>
      <c r="G1490" s="26"/>
      <c r="H1490" s="26"/>
      <c r="I1490" s="26"/>
    </row>
    <row r="1491" spans="6:9" x14ac:dyDescent="0.3">
      <c r="F1491" s="26"/>
      <c r="G1491" s="26"/>
      <c r="H1491" s="26"/>
      <c r="I1491" s="26"/>
    </row>
    <row r="1492" spans="6:9" x14ac:dyDescent="0.3">
      <c r="F1492" s="26"/>
      <c r="G1492" s="26"/>
      <c r="H1492" s="26"/>
      <c r="I1492" s="26"/>
    </row>
    <row r="1493" spans="6:9" x14ac:dyDescent="0.3">
      <c r="F1493" s="26"/>
      <c r="G1493" s="26"/>
      <c r="H1493" s="26"/>
      <c r="I1493" s="26"/>
    </row>
    <row r="1494" spans="6:9" x14ac:dyDescent="0.3">
      <c r="F1494" s="26"/>
      <c r="G1494" s="26"/>
      <c r="H1494" s="26"/>
      <c r="I1494" s="26"/>
    </row>
    <row r="1495" spans="6:9" x14ac:dyDescent="0.3">
      <c r="F1495" s="26"/>
      <c r="G1495" s="26"/>
      <c r="H1495" s="26"/>
      <c r="I1495" s="26"/>
    </row>
    <row r="1496" spans="6:9" x14ac:dyDescent="0.3">
      <c r="F1496" s="26"/>
      <c r="G1496" s="26"/>
      <c r="H1496" s="26"/>
      <c r="I1496" s="26"/>
    </row>
    <row r="1497" spans="6:9" x14ac:dyDescent="0.3">
      <c r="F1497" s="26"/>
      <c r="G1497" s="26"/>
      <c r="H1497" s="26"/>
      <c r="I1497" s="26"/>
    </row>
    <row r="1498" spans="6:9" x14ac:dyDescent="0.3">
      <c r="F1498" s="26"/>
      <c r="G1498" s="26"/>
      <c r="H1498" s="26"/>
      <c r="I1498" s="26"/>
    </row>
    <row r="1499" spans="6:9" x14ac:dyDescent="0.3">
      <c r="F1499" s="26"/>
      <c r="G1499" s="26"/>
      <c r="H1499" s="26"/>
      <c r="I1499" s="26"/>
    </row>
    <row r="1500" spans="6:9" x14ac:dyDescent="0.3">
      <c r="F1500" s="26"/>
      <c r="G1500" s="26"/>
      <c r="H1500" s="26"/>
      <c r="I1500" s="26"/>
    </row>
    <row r="1501" spans="6:9" x14ac:dyDescent="0.3">
      <c r="F1501" s="26"/>
      <c r="G1501" s="26"/>
      <c r="H1501" s="26"/>
      <c r="I1501" s="26"/>
    </row>
    <row r="1502" spans="6:9" x14ac:dyDescent="0.3">
      <c r="F1502" s="26"/>
      <c r="G1502" s="26"/>
      <c r="H1502" s="26"/>
      <c r="I1502" s="26"/>
    </row>
    <row r="1503" spans="6:9" x14ac:dyDescent="0.3">
      <c r="F1503" s="26"/>
      <c r="G1503" s="26"/>
      <c r="H1503" s="26"/>
      <c r="I1503" s="26"/>
    </row>
    <row r="1504" spans="6:9" x14ac:dyDescent="0.3">
      <c r="F1504" s="26"/>
      <c r="G1504" s="26"/>
      <c r="H1504" s="26"/>
      <c r="I1504" s="26"/>
    </row>
    <row r="1505" spans="6:9" x14ac:dyDescent="0.3">
      <c r="F1505" s="26"/>
      <c r="G1505" s="26"/>
      <c r="H1505" s="26"/>
      <c r="I1505" s="26"/>
    </row>
    <row r="1506" spans="6:9" x14ac:dyDescent="0.3">
      <c r="F1506" s="26"/>
      <c r="G1506" s="26"/>
      <c r="H1506" s="26"/>
      <c r="I1506" s="26"/>
    </row>
    <row r="1507" spans="6:9" x14ac:dyDescent="0.3">
      <c r="F1507" s="26"/>
      <c r="G1507" s="26"/>
      <c r="H1507" s="26"/>
      <c r="I1507" s="26"/>
    </row>
    <row r="1508" spans="6:9" x14ac:dyDescent="0.3">
      <c r="F1508" s="26"/>
      <c r="G1508" s="26"/>
      <c r="H1508" s="26"/>
      <c r="I1508" s="26"/>
    </row>
    <row r="1509" spans="6:9" x14ac:dyDescent="0.3">
      <c r="F1509" s="26"/>
      <c r="G1509" s="26"/>
      <c r="H1509" s="26"/>
      <c r="I1509" s="26"/>
    </row>
    <row r="1510" spans="6:9" x14ac:dyDescent="0.3">
      <c r="F1510" s="26"/>
      <c r="G1510" s="26"/>
      <c r="H1510" s="26"/>
      <c r="I1510" s="26"/>
    </row>
    <row r="1511" spans="6:9" x14ac:dyDescent="0.3">
      <c r="F1511" s="26"/>
      <c r="G1511" s="26"/>
      <c r="H1511" s="26"/>
      <c r="I1511" s="26"/>
    </row>
    <row r="1512" spans="6:9" x14ac:dyDescent="0.3">
      <c r="F1512" s="26"/>
      <c r="G1512" s="26"/>
      <c r="H1512" s="26"/>
      <c r="I1512" s="26"/>
    </row>
    <row r="1513" spans="6:9" x14ac:dyDescent="0.3">
      <c r="F1513" s="26"/>
      <c r="G1513" s="26"/>
      <c r="H1513" s="26"/>
      <c r="I1513" s="26"/>
    </row>
    <row r="1514" spans="6:9" x14ac:dyDescent="0.3">
      <c r="F1514" s="26"/>
      <c r="G1514" s="26"/>
      <c r="H1514" s="26"/>
      <c r="I1514" s="26"/>
    </row>
    <row r="1515" spans="6:9" x14ac:dyDescent="0.3">
      <c r="F1515" s="26"/>
      <c r="G1515" s="26"/>
      <c r="H1515" s="26"/>
      <c r="I1515" s="26"/>
    </row>
    <row r="1516" spans="6:9" x14ac:dyDescent="0.3">
      <c r="F1516" s="26"/>
      <c r="G1516" s="26"/>
      <c r="H1516" s="26"/>
      <c r="I1516" s="26"/>
    </row>
    <row r="1517" spans="6:9" x14ac:dyDescent="0.3">
      <c r="F1517" s="26"/>
      <c r="G1517" s="26"/>
      <c r="H1517" s="26"/>
      <c r="I1517" s="26"/>
    </row>
    <row r="1518" spans="6:9" x14ac:dyDescent="0.3">
      <c r="F1518" s="26"/>
      <c r="G1518" s="26"/>
      <c r="H1518" s="26"/>
      <c r="I1518" s="26"/>
    </row>
    <row r="1519" spans="6:9" x14ac:dyDescent="0.3">
      <c r="F1519" s="26"/>
      <c r="G1519" s="26"/>
      <c r="H1519" s="26"/>
      <c r="I1519" s="26"/>
    </row>
    <row r="1520" spans="6:9" x14ac:dyDescent="0.3">
      <c r="F1520" s="26"/>
      <c r="G1520" s="26"/>
      <c r="H1520" s="26"/>
      <c r="I1520" s="26"/>
    </row>
    <row r="1521" spans="6:9" x14ac:dyDescent="0.3">
      <c r="F1521" s="26"/>
      <c r="G1521" s="26"/>
      <c r="H1521" s="26"/>
      <c r="I1521" s="26"/>
    </row>
    <row r="1522" spans="6:9" x14ac:dyDescent="0.3">
      <c r="F1522" s="26"/>
      <c r="G1522" s="26"/>
      <c r="H1522" s="26"/>
      <c r="I1522" s="26"/>
    </row>
    <row r="1523" spans="6:9" x14ac:dyDescent="0.3">
      <c r="F1523" s="26"/>
      <c r="G1523" s="26"/>
      <c r="H1523" s="26"/>
      <c r="I1523" s="26"/>
    </row>
    <row r="1524" spans="6:9" x14ac:dyDescent="0.3">
      <c r="F1524" s="26"/>
      <c r="G1524" s="26"/>
      <c r="H1524" s="26"/>
      <c r="I1524" s="26"/>
    </row>
    <row r="1525" spans="6:9" x14ac:dyDescent="0.3">
      <c r="F1525" s="26"/>
      <c r="G1525" s="26"/>
      <c r="H1525" s="26"/>
      <c r="I1525" s="26"/>
    </row>
    <row r="1526" spans="6:9" x14ac:dyDescent="0.3">
      <c r="F1526" s="26"/>
      <c r="G1526" s="26"/>
      <c r="H1526" s="26"/>
      <c r="I1526" s="26"/>
    </row>
    <row r="1527" spans="6:9" x14ac:dyDescent="0.3">
      <c r="F1527" s="26"/>
      <c r="G1527" s="26"/>
      <c r="H1527" s="26"/>
      <c r="I1527" s="26"/>
    </row>
    <row r="1528" spans="6:9" x14ac:dyDescent="0.3">
      <c r="F1528" s="26"/>
      <c r="G1528" s="26"/>
      <c r="H1528" s="26"/>
      <c r="I1528" s="26"/>
    </row>
    <row r="1529" spans="6:9" x14ac:dyDescent="0.3">
      <c r="F1529" s="26"/>
      <c r="G1529" s="26"/>
      <c r="H1529" s="26"/>
      <c r="I1529" s="26"/>
    </row>
    <row r="1530" spans="6:9" x14ac:dyDescent="0.3">
      <c r="F1530" s="26"/>
      <c r="G1530" s="26"/>
      <c r="H1530" s="26"/>
      <c r="I1530" s="26"/>
    </row>
    <row r="1531" spans="6:9" x14ac:dyDescent="0.3">
      <c r="F1531" s="26"/>
      <c r="G1531" s="26"/>
      <c r="H1531" s="26"/>
      <c r="I1531" s="26"/>
    </row>
    <row r="1532" spans="6:9" x14ac:dyDescent="0.3">
      <c r="F1532" s="26"/>
      <c r="G1532" s="26"/>
      <c r="H1532" s="26"/>
      <c r="I1532" s="26"/>
    </row>
    <row r="1533" spans="6:9" x14ac:dyDescent="0.3">
      <c r="F1533" s="26"/>
      <c r="G1533" s="26"/>
      <c r="H1533" s="26"/>
      <c r="I1533" s="26"/>
    </row>
    <row r="1534" spans="6:9" x14ac:dyDescent="0.3">
      <c r="F1534" s="26"/>
      <c r="G1534" s="26"/>
      <c r="H1534" s="26"/>
      <c r="I1534" s="26"/>
    </row>
    <row r="1535" spans="6:9" x14ac:dyDescent="0.3">
      <c r="F1535" s="26"/>
      <c r="G1535" s="26"/>
      <c r="H1535" s="26"/>
      <c r="I1535" s="26"/>
    </row>
    <row r="1536" spans="6:9" x14ac:dyDescent="0.3">
      <c r="F1536" s="26"/>
      <c r="G1536" s="26"/>
      <c r="H1536" s="26"/>
      <c r="I1536" s="26"/>
    </row>
    <row r="1537" spans="6:9" x14ac:dyDescent="0.3">
      <c r="F1537" s="26"/>
      <c r="G1537" s="26"/>
      <c r="H1537" s="26"/>
      <c r="I1537" s="26"/>
    </row>
    <row r="1538" spans="6:9" x14ac:dyDescent="0.3">
      <c r="F1538" s="26"/>
      <c r="G1538" s="26"/>
      <c r="H1538" s="26"/>
      <c r="I1538" s="26"/>
    </row>
    <row r="1539" spans="6:9" x14ac:dyDescent="0.3">
      <c r="F1539" s="26"/>
      <c r="G1539" s="26"/>
      <c r="H1539" s="26"/>
      <c r="I1539" s="26"/>
    </row>
    <row r="1540" spans="6:9" x14ac:dyDescent="0.3">
      <c r="F1540" s="26"/>
      <c r="G1540" s="26"/>
      <c r="H1540" s="26"/>
      <c r="I1540" s="26"/>
    </row>
    <row r="1541" spans="6:9" x14ac:dyDescent="0.3">
      <c r="F1541" s="26"/>
      <c r="G1541" s="26"/>
      <c r="H1541" s="26"/>
      <c r="I1541" s="26"/>
    </row>
    <row r="1542" spans="6:9" x14ac:dyDescent="0.3">
      <c r="F1542" s="26"/>
      <c r="G1542" s="26"/>
      <c r="H1542" s="26"/>
      <c r="I1542" s="26"/>
    </row>
    <row r="1543" spans="6:9" x14ac:dyDescent="0.3">
      <c r="F1543" s="26"/>
      <c r="G1543" s="26"/>
      <c r="H1543" s="26"/>
      <c r="I1543" s="26"/>
    </row>
    <row r="1544" spans="6:9" x14ac:dyDescent="0.3">
      <c r="F1544" s="26"/>
      <c r="G1544" s="26"/>
      <c r="H1544" s="26"/>
      <c r="I1544" s="26"/>
    </row>
    <row r="1545" spans="6:9" x14ac:dyDescent="0.3">
      <c r="F1545" s="26"/>
      <c r="G1545" s="26"/>
      <c r="H1545" s="26"/>
      <c r="I1545" s="26"/>
    </row>
    <row r="1546" spans="6:9" x14ac:dyDescent="0.3">
      <c r="F1546" s="26"/>
      <c r="G1546" s="26"/>
      <c r="H1546" s="26"/>
      <c r="I1546" s="26"/>
    </row>
    <row r="1547" spans="6:9" x14ac:dyDescent="0.3">
      <c r="F1547" s="26"/>
      <c r="G1547" s="26"/>
      <c r="H1547" s="26"/>
      <c r="I1547" s="26"/>
    </row>
    <row r="1548" spans="6:9" x14ac:dyDescent="0.3">
      <c r="F1548" s="26"/>
      <c r="G1548" s="26"/>
      <c r="H1548" s="26"/>
      <c r="I1548" s="26"/>
    </row>
    <row r="1549" spans="6:9" x14ac:dyDescent="0.3">
      <c r="F1549" s="26"/>
      <c r="G1549" s="26"/>
      <c r="H1549" s="26"/>
      <c r="I1549" s="26"/>
    </row>
    <row r="1550" spans="6:9" x14ac:dyDescent="0.3">
      <c r="F1550" s="26"/>
      <c r="G1550" s="26"/>
      <c r="H1550" s="26"/>
      <c r="I1550" s="26"/>
    </row>
    <row r="1551" spans="6:9" x14ac:dyDescent="0.3">
      <c r="F1551" s="26"/>
      <c r="G1551" s="26"/>
      <c r="H1551" s="26"/>
      <c r="I1551" s="26"/>
    </row>
    <row r="1552" spans="6:9" x14ac:dyDescent="0.3">
      <c r="F1552" s="26"/>
      <c r="G1552" s="26"/>
      <c r="H1552" s="26"/>
      <c r="I1552" s="26"/>
    </row>
    <row r="1553" spans="6:9" x14ac:dyDescent="0.3">
      <c r="F1553" s="26"/>
      <c r="G1553" s="26"/>
      <c r="H1553" s="26"/>
      <c r="I1553" s="26"/>
    </row>
    <row r="1554" spans="6:9" x14ac:dyDescent="0.3">
      <c r="F1554" s="26"/>
      <c r="G1554" s="26"/>
      <c r="H1554" s="26"/>
      <c r="I1554" s="26"/>
    </row>
    <row r="1555" spans="6:9" x14ac:dyDescent="0.3">
      <c r="F1555" s="26"/>
      <c r="G1555" s="26"/>
      <c r="H1555" s="26"/>
      <c r="I1555" s="26"/>
    </row>
    <row r="1556" spans="6:9" x14ac:dyDescent="0.3">
      <c r="F1556" s="26"/>
      <c r="G1556" s="26"/>
      <c r="H1556" s="26"/>
      <c r="I1556" s="26"/>
    </row>
    <row r="1557" spans="6:9" x14ac:dyDescent="0.3">
      <c r="F1557" s="26"/>
      <c r="G1557" s="26"/>
      <c r="H1557" s="26"/>
      <c r="I1557" s="26"/>
    </row>
    <row r="1558" spans="6:9" x14ac:dyDescent="0.3">
      <c r="F1558" s="26"/>
      <c r="G1558" s="26"/>
      <c r="H1558" s="26"/>
      <c r="I1558" s="26"/>
    </row>
    <row r="1559" spans="6:9" x14ac:dyDescent="0.3">
      <c r="F1559" s="26"/>
      <c r="G1559" s="26"/>
      <c r="H1559" s="26"/>
      <c r="I1559" s="26"/>
    </row>
    <row r="1560" spans="6:9" x14ac:dyDescent="0.3">
      <c r="F1560" s="26"/>
      <c r="G1560" s="26"/>
      <c r="H1560" s="26"/>
      <c r="I1560" s="26"/>
    </row>
    <row r="1561" spans="6:9" x14ac:dyDescent="0.3">
      <c r="F1561" s="26"/>
      <c r="G1561" s="26"/>
      <c r="H1561" s="26"/>
      <c r="I1561" s="26"/>
    </row>
    <row r="1562" spans="6:9" x14ac:dyDescent="0.3">
      <c r="F1562" s="26"/>
      <c r="G1562" s="26"/>
      <c r="H1562" s="26"/>
      <c r="I1562" s="26"/>
    </row>
    <row r="1563" spans="6:9" x14ac:dyDescent="0.3">
      <c r="F1563" s="26"/>
      <c r="G1563" s="26"/>
      <c r="H1563" s="26"/>
      <c r="I1563" s="26"/>
    </row>
    <row r="1564" spans="6:9" x14ac:dyDescent="0.3">
      <c r="F1564" s="26"/>
      <c r="G1564" s="26"/>
      <c r="H1564" s="26"/>
      <c r="I1564" s="26"/>
    </row>
    <row r="1565" spans="6:9" x14ac:dyDescent="0.3">
      <c r="F1565" s="26"/>
      <c r="G1565" s="26"/>
      <c r="H1565" s="26"/>
      <c r="I1565" s="26"/>
    </row>
    <row r="1566" spans="6:9" x14ac:dyDescent="0.3">
      <c r="F1566" s="26"/>
      <c r="G1566" s="26"/>
      <c r="H1566" s="26"/>
      <c r="I1566" s="26"/>
    </row>
    <row r="1567" spans="6:9" x14ac:dyDescent="0.3">
      <c r="F1567" s="26"/>
      <c r="G1567" s="26"/>
      <c r="H1567" s="26"/>
      <c r="I1567" s="26"/>
    </row>
    <row r="1568" spans="6:9" x14ac:dyDescent="0.3">
      <c r="F1568" s="26"/>
      <c r="G1568" s="26"/>
      <c r="H1568" s="26"/>
      <c r="I1568" s="26"/>
    </row>
    <row r="1569" spans="6:9" x14ac:dyDescent="0.3">
      <c r="F1569" s="26"/>
      <c r="G1569" s="26"/>
      <c r="H1569" s="26"/>
      <c r="I1569" s="26"/>
    </row>
    <row r="1570" spans="6:9" x14ac:dyDescent="0.3">
      <c r="F1570" s="26"/>
      <c r="G1570" s="26"/>
      <c r="H1570" s="26"/>
      <c r="I1570" s="26"/>
    </row>
    <row r="1571" spans="6:9" x14ac:dyDescent="0.3">
      <c r="F1571" s="26"/>
      <c r="G1571" s="26"/>
      <c r="H1571" s="26"/>
      <c r="I1571" s="26"/>
    </row>
    <row r="1572" spans="6:9" x14ac:dyDescent="0.3">
      <c r="F1572" s="26"/>
      <c r="G1572" s="26"/>
      <c r="H1572" s="26"/>
      <c r="I1572" s="26"/>
    </row>
    <row r="1573" spans="6:9" x14ac:dyDescent="0.3">
      <c r="F1573" s="26"/>
      <c r="G1573" s="26"/>
      <c r="H1573" s="26"/>
      <c r="I1573" s="26"/>
    </row>
    <row r="1574" spans="6:9" x14ac:dyDescent="0.3">
      <c r="F1574" s="26"/>
      <c r="G1574" s="26"/>
      <c r="H1574" s="26"/>
      <c r="I1574" s="26"/>
    </row>
    <row r="1575" spans="6:9" x14ac:dyDescent="0.3">
      <c r="F1575" s="26"/>
      <c r="G1575" s="26"/>
      <c r="H1575" s="26"/>
      <c r="I1575" s="26"/>
    </row>
    <row r="1576" spans="6:9" x14ac:dyDescent="0.3">
      <c r="F1576" s="26"/>
      <c r="G1576" s="26"/>
      <c r="H1576" s="26"/>
      <c r="I1576" s="26"/>
    </row>
    <row r="1577" spans="6:9" x14ac:dyDescent="0.3">
      <c r="F1577" s="26"/>
      <c r="G1577" s="26"/>
      <c r="H1577" s="26"/>
      <c r="I1577" s="26"/>
    </row>
    <row r="1578" spans="6:9" x14ac:dyDescent="0.3">
      <c r="F1578" s="26"/>
      <c r="G1578" s="26"/>
      <c r="H1578" s="26"/>
      <c r="I1578" s="26"/>
    </row>
    <row r="1579" spans="6:9" x14ac:dyDescent="0.3">
      <c r="F1579" s="26"/>
      <c r="G1579" s="26"/>
      <c r="H1579" s="26"/>
      <c r="I1579" s="26"/>
    </row>
    <row r="1580" spans="6:9" x14ac:dyDescent="0.3">
      <c r="F1580" s="26"/>
      <c r="G1580" s="26"/>
      <c r="H1580" s="26"/>
      <c r="I1580" s="26"/>
    </row>
    <row r="1581" spans="6:9" x14ac:dyDescent="0.3">
      <c r="F1581" s="26"/>
      <c r="G1581" s="26"/>
      <c r="H1581" s="26"/>
      <c r="I1581" s="26"/>
    </row>
    <row r="1582" spans="6:9" x14ac:dyDescent="0.3">
      <c r="F1582" s="26"/>
      <c r="G1582" s="26"/>
      <c r="H1582" s="26"/>
      <c r="I1582" s="26"/>
    </row>
    <row r="1583" spans="6:9" x14ac:dyDescent="0.3">
      <c r="F1583" s="26"/>
      <c r="G1583" s="26"/>
      <c r="H1583" s="26"/>
      <c r="I1583" s="26"/>
    </row>
    <row r="1584" spans="6:9" x14ac:dyDescent="0.3">
      <c r="F1584" s="26"/>
      <c r="G1584" s="26"/>
      <c r="H1584" s="26"/>
      <c r="I1584" s="26"/>
    </row>
    <row r="1585" spans="6:9" x14ac:dyDescent="0.3">
      <c r="F1585" s="26"/>
      <c r="G1585" s="26"/>
      <c r="H1585" s="26"/>
      <c r="I1585" s="26"/>
    </row>
    <row r="1586" spans="6:9" x14ac:dyDescent="0.3">
      <c r="F1586" s="26"/>
      <c r="G1586" s="26"/>
      <c r="H1586" s="26"/>
      <c r="I1586" s="26"/>
    </row>
    <row r="1587" spans="6:9" x14ac:dyDescent="0.3">
      <c r="F1587" s="26"/>
      <c r="G1587" s="26"/>
      <c r="H1587" s="26"/>
      <c r="I1587" s="26"/>
    </row>
    <row r="1588" spans="6:9" x14ac:dyDescent="0.3">
      <c r="F1588" s="26"/>
      <c r="G1588" s="26"/>
      <c r="H1588" s="26"/>
      <c r="I1588" s="26"/>
    </row>
    <row r="1589" spans="6:9" x14ac:dyDescent="0.3">
      <c r="F1589" s="26"/>
      <c r="G1589" s="26"/>
      <c r="H1589" s="26"/>
      <c r="I1589" s="26"/>
    </row>
    <row r="1590" spans="6:9" x14ac:dyDescent="0.3">
      <c r="F1590" s="26"/>
      <c r="G1590" s="26"/>
      <c r="H1590" s="26"/>
      <c r="I1590" s="26"/>
    </row>
    <row r="1591" spans="6:9" x14ac:dyDescent="0.3">
      <c r="F1591" s="26"/>
      <c r="G1591" s="26"/>
      <c r="H1591" s="26"/>
      <c r="I1591" s="26"/>
    </row>
    <row r="1592" spans="6:9" x14ac:dyDescent="0.3">
      <c r="F1592" s="26"/>
      <c r="G1592" s="26"/>
      <c r="H1592" s="26"/>
      <c r="I1592" s="26"/>
    </row>
    <row r="1593" spans="6:9" x14ac:dyDescent="0.3">
      <c r="F1593" s="26"/>
      <c r="G1593" s="26"/>
      <c r="H1593" s="26"/>
      <c r="I1593" s="26"/>
    </row>
    <row r="1594" spans="6:9" x14ac:dyDescent="0.3">
      <c r="F1594" s="26"/>
      <c r="G1594" s="26"/>
      <c r="H1594" s="26"/>
      <c r="I1594" s="26"/>
    </row>
    <row r="1595" spans="6:9" x14ac:dyDescent="0.3">
      <c r="F1595" s="26"/>
      <c r="G1595" s="26"/>
      <c r="H1595" s="26"/>
      <c r="I1595" s="26"/>
    </row>
    <row r="1596" spans="6:9" x14ac:dyDescent="0.3">
      <c r="F1596" s="26"/>
      <c r="G1596" s="26"/>
      <c r="H1596" s="26"/>
      <c r="I1596" s="26"/>
    </row>
    <row r="1597" spans="6:9" x14ac:dyDescent="0.3">
      <c r="F1597" s="26"/>
      <c r="G1597" s="26"/>
      <c r="H1597" s="26"/>
      <c r="I1597" s="26"/>
    </row>
    <row r="1598" spans="6:9" x14ac:dyDescent="0.3">
      <c r="F1598" s="26"/>
      <c r="G1598" s="26"/>
      <c r="H1598" s="26"/>
      <c r="I1598" s="26"/>
    </row>
    <row r="1599" spans="6:9" x14ac:dyDescent="0.3">
      <c r="F1599" s="26"/>
      <c r="G1599" s="26"/>
      <c r="H1599" s="26"/>
      <c r="I1599" s="26"/>
    </row>
    <row r="1600" spans="6:9" x14ac:dyDescent="0.3">
      <c r="F1600" s="26"/>
      <c r="G1600" s="26"/>
      <c r="H1600" s="26"/>
      <c r="I1600" s="26"/>
    </row>
    <row r="1601" spans="6:9" x14ac:dyDescent="0.3">
      <c r="F1601" s="26"/>
      <c r="G1601" s="26"/>
      <c r="H1601" s="26"/>
      <c r="I1601" s="26"/>
    </row>
    <row r="1602" spans="6:9" x14ac:dyDescent="0.3">
      <c r="F1602" s="26"/>
      <c r="G1602" s="26"/>
      <c r="H1602" s="26"/>
      <c r="I1602" s="26"/>
    </row>
    <row r="1603" spans="6:9" x14ac:dyDescent="0.3">
      <c r="F1603" s="26"/>
      <c r="G1603" s="26"/>
      <c r="H1603" s="26"/>
      <c r="I1603" s="26"/>
    </row>
    <row r="1604" spans="6:9" x14ac:dyDescent="0.3">
      <c r="F1604" s="26"/>
      <c r="G1604" s="26"/>
      <c r="H1604" s="26"/>
      <c r="I1604" s="26"/>
    </row>
    <row r="1605" spans="6:9" x14ac:dyDescent="0.3">
      <c r="F1605" s="26"/>
      <c r="G1605" s="26"/>
      <c r="H1605" s="26"/>
      <c r="I1605" s="26"/>
    </row>
    <row r="1606" spans="6:9" x14ac:dyDescent="0.3">
      <c r="F1606" s="26"/>
      <c r="G1606" s="26"/>
      <c r="H1606" s="26"/>
      <c r="I1606" s="26"/>
    </row>
    <row r="1607" spans="6:9" x14ac:dyDescent="0.3">
      <c r="F1607" s="26"/>
      <c r="G1607" s="26"/>
      <c r="H1607" s="26"/>
      <c r="I1607" s="26"/>
    </row>
    <row r="1608" spans="6:9" x14ac:dyDescent="0.3">
      <c r="F1608" s="26"/>
      <c r="G1608" s="26"/>
      <c r="H1608" s="26"/>
      <c r="I1608" s="26"/>
    </row>
    <row r="1609" spans="6:9" x14ac:dyDescent="0.3">
      <c r="F1609" s="26"/>
      <c r="G1609" s="26"/>
      <c r="H1609" s="26"/>
      <c r="I1609" s="26"/>
    </row>
    <row r="1610" spans="6:9" x14ac:dyDescent="0.3">
      <c r="F1610" s="26"/>
      <c r="G1610" s="26"/>
      <c r="H1610" s="26"/>
      <c r="I1610" s="26"/>
    </row>
    <row r="1611" spans="6:9" x14ac:dyDescent="0.3">
      <c r="F1611" s="26"/>
      <c r="G1611" s="26"/>
      <c r="H1611" s="26"/>
      <c r="I1611" s="26"/>
    </row>
    <row r="1612" spans="6:9" x14ac:dyDescent="0.3">
      <c r="F1612" s="26"/>
      <c r="G1612" s="26"/>
      <c r="H1612" s="26"/>
      <c r="I1612" s="26"/>
    </row>
    <row r="1613" spans="6:9" x14ac:dyDescent="0.3">
      <c r="F1613" s="26"/>
      <c r="G1613" s="26"/>
      <c r="H1613" s="26"/>
      <c r="I1613" s="26"/>
    </row>
    <row r="1614" spans="6:9" x14ac:dyDescent="0.3">
      <c r="F1614" s="26"/>
      <c r="G1614" s="26"/>
      <c r="H1614" s="26"/>
      <c r="I1614" s="26"/>
    </row>
    <row r="1615" spans="6:9" x14ac:dyDescent="0.3">
      <c r="F1615" s="26"/>
      <c r="G1615" s="26"/>
      <c r="H1615" s="26"/>
      <c r="I1615" s="26"/>
    </row>
    <row r="1616" spans="6:9" x14ac:dyDescent="0.3">
      <c r="F1616" s="26"/>
      <c r="G1616" s="26"/>
      <c r="H1616" s="26"/>
      <c r="I1616" s="26"/>
    </row>
    <row r="1617" spans="6:9" x14ac:dyDescent="0.3">
      <c r="F1617" s="26"/>
      <c r="G1617" s="26"/>
      <c r="H1617" s="26"/>
      <c r="I1617" s="26"/>
    </row>
    <row r="1618" spans="6:9" x14ac:dyDescent="0.3">
      <c r="F1618" s="26"/>
      <c r="G1618" s="26"/>
      <c r="H1618" s="26"/>
      <c r="I1618" s="26"/>
    </row>
    <row r="1619" spans="6:9" x14ac:dyDescent="0.3">
      <c r="F1619" s="26"/>
      <c r="G1619" s="26"/>
      <c r="H1619" s="26"/>
      <c r="I1619" s="26"/>
    </row>
    <row r="1620" spans="6:9" x14ac:dyDescent="0.3">
      <c r="F1620" s="26"/>
      <c r="G1620" s="26"/>
      <c r="H1620" s="26"/>
      <c r="I1620" s="26"/>
    </row>
    <row r="1621" spans="6:9" x14ac:dyDescent="0.3">
      <c r="F1621" s="26"/>
      <c r="G1621" s="26"/>
      <c r="H1621" s="26"/>
      <c r="I1621" s="26"/>
    </row>
    <row r="1622" spans="6:9" x14ac:dyDescent="0.3">
      <c r="F1622" s="26"/>
      <c r="G1622" s="26"/>
      <c r="H1622" s="26"/>
      <c r="I1622" s="26"/>
    </row>
    <row r="1623" spans="6:9" x14ac:dyDescent="0.3">
      <c r="F1623" s="26"/>
      <c r="G1623" s="26"/>
      <c r="H1623" s="26"/>
      <c r="I1623" s="26"/>
    </row>
    <row r="1624" spans="6:9" x14ac:dyDescent="0.3">
      <c r="F1624" s="26"/>
      <c r="G1624" s="26"/>
      <c r="H1624" s="26"/>
      <c r="I1624" s="26"/>
    </row>
    <row r="1625" spans="6:9" x14ac:dyDescent="0.3">
      <c r="F1625" s="26"/>
      <c r="G1625" s="26"/>
      <c r="H1625" s="26"/>
      <c r="I1625" s="26"/>
    </row>
    <row r="1626" spans="6:9" x14ac:dyDescent="0.3">
      <c r="F1626" s="26"/>
      <c r="G1626" s="26"/>
      <c r="H1626" s="26"/>
      <c r="I1626" s="26"/>
    </row>
    <row r="1627" spans="6:9" x14ac:dyDescent="0.3">
      <c r="F1627" s="26"/>
      <c r="G1627" s="26"/>
      <c r="H1627" s="26"/>
      <c r="I1627" s="26"/>
    </row>
    <row r="1628" spans="6:9" x14ac:dyDescent="0.3">
      <c r="F1628" s="26"/>
      <c r="G1628" s="26"/>
      <c r="H1628" s="26"/>
      <c r="I1628" s="26"/>
    </row>
    <row r="1629" spans="6:9" x14ac:dyDescent="0.3">
      <c r="F1629" s="26"/>
      <c r="G1629" s="26"/>
      <c r="H1629" s="26"/>
      <c r="I1629" s="26"/>
    </row>
    <row r="1630" spans="6:9" x14ac:dyDescent="0.3">
      <c r="F1630" s="26"/>
      <c r="G1630" s="26"/>
      <c r="H1630" s="26"/>
      <c r="I1630" s="26"/>
    </row>
    <row r="1631" spans="6:9" x14ac:dyDescent="0.3">
      <c r="F1631" s="26"/>
      <c r="G1631" s="26"/>
      <c r="H1631" s="26"/>
      <c r="I1631" s="26"/>
    </row>
    <row r="1632" spans="6:9" x14ac:dyDescent="0.3">
      <c r="F1632" s="26"/>
      <c r="G1632" s="26"/>
      <c r="H1632" s="26"/>
      <c r="I1632" s="26"/>
    </row>
    <row r="1633" spans="6:9" x14ac:dyDescent="0.3">
      <c r="F1633" s="26"/>
      <c r="G1633" s="26"/>
      <c r="H1633" s="26"/>
      <c r="I1633" s="26"/>
    </row>
    <row r="1634" spans="6:9" x14ac:dyDescent="0.3">
      <c r="F1634" s="26"/>
      <c r="G1634" s="26"/>
      <c r="H1634" s="26"/>
      <c r="I1634" s="26"/>
    </row>
    <row r="1635" spans="6:9" x14ac:dyDescent="0.3">
      <c r="F1635" s="26"/>
      <c r="G1635" s="26"/>
      <c r="H1635" s="26"/>
      <c r="I1635" s="26"/>
    </row>
    <row r="1636" spans="6:9" x14ac:dyDescent="0.3">
      <c r="F1636" s="26"/>
      <c r="G1636" s="26"/>
      <c r="H1636" s="26"/>
      <c r="I1636" s="26"/>
    </row>
    <row r="1637" spans="6:9" x14ac:dyDescent="0.3">
      <c r="F1637" s="26"/>
      <c r="G1637" s="26"/>
      <c r="H1637" s="26"/>
      <c r="I1637" s="26"/>
    </row>
    <row r="1638" spans="6:9" x14ac:dyDescent="0.3">
      <c r="F1638" s="26"/>
      <c r="G1638" s="26"/>
      <c r="H1638" s="26"/>
      <c r="I1638" s="26"/>
    </row>
    <row r="1639" spans="6:9" x14ac:dyDescent="0.3">
      <c r="F1639" s="26"/>
      <c r="G1639" s="26"/>
      <c r="H1639" s="26"/>
      <c r="I1639" s="26"/>
    </row>
    <row r="1640" spans="6:9" x14ac:dyDescent="0.3">
      <c r="F1640" s="26"/>
      <c r="G1640" s="26"/>
      <c r="H1640" s="26"/>
      <c r="I1640" s="26"/>
    </row>
    <row r="1641" spans="6:9" x14ac:dyDescent="0.3">
      <c r="F1641" s="26"/>
      <c r="G1641" s="26"/>
      <c r="H1641" s="26"/>
      <c r="I1641" s="26"/>
    </row>
    <row r="1642" spans="6:9" x14ac:dyDescent="0.3">
      <c r="F1642" s="26"/>
      <c r="G1642" s="26"/>
      <c r="H1642" s="26"/>
      <c r="I1642" s="26"/>
    </row>
    <row r="1643" spans="6:9" x14ac:dyDescent="0.3">
      <c r="F1643" s="26"/>
      <c r="G1643" s="26"/>
      <c r="H1643" s="26"/>
      <c r="I1643" s="26"/>
    </row>
    <row r="1644" spans="6:9" x14ac:dyDescent="0.3">
      <c r="F1644" s="26"/>
      <c r="G1644" s="26"/>
      <c r="H1644" s="26"/>
      <c r="I1644" s="26"/>
    </row>
    <row r="1645" spans="6:9" x14ac:dyDescent="0.3">
      <c r="F1645" s="26"/>
      <c r="G1645" s="26"/>
      <c r="H1645" s="26"/>
      <c r="I1645" s="26"/>
    </row>
    <row r="1646" spans="6:9" x14ac:dyDescent="0.3">
      <c r="F1646" s="26"/>
      <c r="G1646" s="26"/>
      <c r="H1646" s="26"/>
      <c r="I1646" s="26"/>
    </row>
    <row r="1647" spans="6:9" x14ac:dyDescent="0.3">
      <c r="F1647" s="26"/>
      <c r="G1647" s="26"/>
      <c r="H1647" s="26"/>
      <c r="I1647" s="26"/>
    </row>
    <row r="1648" spans="6:9" x14ac:dyDescent="0.3">
      <c r="F1648" s="26"/>
      <c r="G1648" s="26"/>
      <c r="H1648" s="26"/>
      <c r="I1648" s="26"/>
    </row>
    <row r="1649" spans="6:9" x14ac:dyDescent="0.3">
      <c r="F1649" s="26"/>
      <c r="G1649" s="26"/>
      <c r="H1649" s="26"/>
      <c r="I1649" s="26"/>
    </row>
    <row r="1650" spans="6:9" x14ac:dyDescent="0.3">
      <c r="F1650" s="26"/>
      <c r="G1650" s="26"/>
      <c r="H1650" s="26"/>
      <c r="I1650" s="26"/>
    </row>
    <row r="1651" spans="6:9" x14ac:dyDescent="0.3">
      <c r="F1651" s="26"/>
      <c r="G1651" s="26"/>
      <c r="H1651" s="26"/>
      <c r="I1651" s="26"/>
    </row>
    <row r="1652" spans="6:9" x14ac:dyDescent="0.3">
      <c r="F1652" s="26"/>
      <c r="G1652" s="26"/>
      <c r="H1652" s="26"/>
      <c r="I1652" s="26"/>
    </row>
    <row r="1653" spans="6:9" x14ac:dyDescent="0.3">
      <c r="F1653" s="26"/>
      <c r="G1653" s="26"/>
      <c r="H1653" s="26"/>
      <c r="I1653" s="26"/>
    </row>
    <row r="1654" spans="6:9" x14ac:dyDescent="0.3">
      <c r="F1654" s="26"/>
      <c r="G1654" s="26"/>
      <c r="H1654" s="26"/>
      <c r="I1654" s="26"/>
    </row>
    <row r="1655" spans="6:9" x14ac:dyDescent="0.3">
      <c r="F1655" s="26"/>
      <c r="G1655" s="26"/>
      <c r="H1655" s="26"/>
      <c r="I1655" s="26"/>
    </row>
    <row r="1656" spans="6:9" x14ac:dyDescent="0.3">
      <c r="F1656" s="26"/>
      <c r="G1656" s="26"/>
      <c r="H1656" s="26"/>
      <c r="I1656" s="26"/>
    </row>
    <row r="1657" spans="6:9" x14ac:dyDescent="0.3">
      <c r="F1657" s="26"/>
      <c r="G1657" s="26"/>
      <c r="H1657" s="26"/>
      <c r="I1657" s="26"/>
    </row>
    <row r="1658" spans="6:9" x14ac:dyDescent="0.3">
      <c r="F1658" s="26"/>
      <c r="G1658" s="26"/>
      <c r="H1658" s="26"/>
      <c r="I1658" s="26"/>
    </row>
    <row r="1659" spans="6:9" x14ac:dyDescent="0.3">
      <c r="F1659" s="26"/>
      <c r="G1659" s="26"/>
      <c r="H1659" s="26"/>
      <c r="I1659" s="26"/>
    </row>
    <row r="1660" spans="6:9" x14ac:dyDescent="0.3">
      <c r="F1660" s="26"/>
      <c r="G1660" s="26"/>
      <c r="H1660" s="26"/>
      <c r="I1660" s="26"/>
    </row>
    <row r="1661" spans="6:9" x14ac:dyDescent="0.3">
      <c r="F1661" s="26"/>
      <c r="G1661" s="26"/>
      <c r="H1661" s="26"/>
      <c r="I1661" s="26"/>
    </row>
    <row r="1662" spans="6:9" x14ac:dyDescent="0.3">
      <c r="F1662" s="26"/>
      <c r="G1662" s="26"/>
      <c r="H1662" s="26"/>
      <c r="I1662" s="26"/>
    </row>
    <row r="1663" spans="6:9" x14ac:dyDescent="0.3">
      <c r="F1663" s="26"/>
      <c r="G1663" s="26"/>
      <c r="H1663" s="26"/>
      <c r="I1663" s="26"/>
    </row>
    <row r="1664" spans="6:9" x14ac:dyDescent="0.3">
      <c r="F1664" s="26"/>
      <c r="G1664" s="26"/>
      <c r="H1664" s="26"/>
      <c r="I1664" s="26"/>
    </row>
    <row r="1665" spans="6:9" x14ac:dyDescent="0.3">
      <c r="F1665" s="26"/>
      <c r="G1665" s="26"/>
      <c r="H1665" s="26"/>
      <c r="I1665" s="26"/>
    </row>
    <row r="1666" spans="6:9" x14ac:dyDescent="0.3">
      <c r="F1666" s="26"/>
      <c r="G1666" s="26"/>
      <c r="H1666" s="26"/>
      <c r="I1666" s="26"/>
    </row>
    <row r="1667" spans="6:9" x14ac:dyDescent="0.3">
      <c r="F1667" s="26"/>
      <c r="G1667" s="26"/>
      <c r="H1667" s="26"/>
      <c r="I1667" s="26"/>
    </row>
    <row r="1668" spans="6:9" x14ac:dyDescent="0.3">
      <c r="F1668" s="26"/>
      <c r="G1668" s="26"/>
      <c r="H1668" s="26"/>
      <c r="I1668" s="26"/>
    </row>
    <row r="1669" spans="6:9" x14ac:dyDescent="0.3">
      <c r="F1669" s="26"/>
      <c r="G1669" s="26"/>
      <c r="H1669" s="26"/>
      <c r="I1669" s="26"/>
    </row>
    <row r="1670" spans="6:9" x14ac:dyDescent="0.3">
      <c r="F1670" s="26"/>
      <c r="G1670" s="26"/>
      <c r="H1670" s="26"/>
      <c r="I1670" s="26"/>
    </row>
    <row r="1671" spans="6:9" x14ac:dyDescent="0.3">
      <c r="F1671" s="26"/>
      <c r="G1671" s="26"/>
      <c r="H1671" s="26"/>
      <c r="I1671" s="26"/>
    </row>
    <row r="1672" spans="6:9" x14ac:dyDescent="0.3">
      <c r="F1672" s="26"/>
      <c r="G1672" s="26"/>
      <c r="H1672" s="26"/>
      <c r="I1672" s="26"/>
    </row>
    <row r="1673" spans="6:9" x14ac:dyDescent="0.3">
      <c r="F1673" s="26"/>
      <c r="G1673" s="26"/>
      <c r="H1673" s="26"/>
      <c r="I1673" s="26"/>
    </row>
    <row r="1674" spans="6:9" x14ac:dyDescent="0.3">
      <c r="F1674" s="26"/>
      <c r="G1674" s="26"/>
      <c r="H1674" s="26"/>
      <c r="I1674" s="26"/>
    </row>
    <row r="1675" spans="6:9" x14ac:dyDescent="0.3">
      <c r="F1675" s="26"/>
      <c r="G1675" s="26"/>
      <c r="H1675" s="26"/>
      <c r="I1675" s="26"/>
    </row>
    <row r="1676" spans="6:9" x14ac:dyDescent="0.3">
      <c r="F1676" s="26"/>
      <c r="G1676" s="26"/>
      <c r="H1676" s="26"/>
      <c r="I1676" s="26"/>
    </row>
    <row r="1677" spans="6:9" x14ac:dyDescent="0.3">
      <c r="F1677" s="26"/>
      <c r="G1677" s="26"/>
      <c r="H1677" s="26"/>
      <c r="I1677" s="26"/>
    </row>
    <row r="1678" spans="6:9" x14ac:dyDescent="0.3">
      <c r="F1678" s="26"/>
      <c r="G1678" s="26"/>
      <c r="H1678" s="26"/>
      <c r="I1678" s="26"/>
    </row>
    <row r="1679" spans="6:9" x14ac:dyDescent="0.3">
      <c r="F1679" s="26"/>
      <c r="G1679" s="26"/>
      <c r="H1679" s="26"/>
      <c r="I1679" s="26"/>
    </row>
    <row r="1680" spans="6:9" x14ac:dyDescent="0.3">
      <c r="F1680" s="26"/>
      <c r="G1680" s="26"/>
      <c r="H1680" s="26"/>
      <c r="I1680" s="26"/>
    </row>
    <row r="1681" spans="6:9" x14ac:dyDescent="0.3">
      <c r="F1681" s="26"/>
      <c r="G1681" s="26"/>
      <c r="H1681" s="26"/>
      <c r="I1681" s="26"/>
    </row>
    <row r="1682" spans="6:9" x14ac:dyDescent="0.3">
      <c r="F1682" s="26"/>
      <c r="G1682" s="26"/>
      <c r="H1682" s="26"/>
      <c r="I1682" s="26"/>
    </row>
    <row r="1683" spans="6:9" x14ac:dyDescent="0.3">
      <c r="F1683" s="26"/>
      <c r="G1683" s="26"/>
      <c r="H1683" s="26"/>
      <c r="I1683" s="26"/>
    </row>
    <row r="1684" spans="6:9" x14ac:dyDescent="0.3">
      <c r="F1684" s="26"/>
      <c r="G1684" s="26"/>
      <c r="H1684" s="26"/>
      <c r="I1684" s="26"/>
    </row>
    <row r="1685" spans="6:9" x14ac:dyDescent="0.3">
      <c r="F1685" s="26"/>
      <c r="G1685" s="26"/>
      <c r="H1685" s="26"/>
      <c r="I1685" s="26"/>
    </row>
    <row r="1686" spans="6:9" x14ac:dyDescent="0.3">
      <c r="F1686" s="26"/>
      <c r="G1686" s="26"/>
      <c r="H1686" s="26"/>
      <c r="I1686" s="26"/>
    </row>
    <row r="1687" spans="6:9" x14ac:dyDescent="0.3">
      <c r="F1687" s="26"/>
      <c r="G1687" s="26"/>
      <c r="H1687" s="26"/>
      <c r="I1687" s="26"/>
    </row>
    <row r="1688" spans="6:9" x14ac:dyDescent="0.3">
      <c r="F1688" s="26"/>
      <c r="G1688" s="26"/>
      <c r="H1688" s="26"/>
      <c r="I1688" s="26"/>
    </row>
    <row r="1689" spans="6:9" x14ac:dyDescent="0.3">
      <c r="F1689" s="26"/>
      <c r="G1689" s="26"/>
      <c r="H1689" s="26"/>
      <c r="I1689" s="26"/>
    </row>
    <row r="1690" spans="6:9" x14ac:dyDescent="0.3">
      <c r="F1690" s="26"/>
      <c r="G1690" s="26"/>
      <c r="H1690" s="26"/>
      <c r="I1690" s="26"/>
    </row>
    <row r="1691" spans="6:9" x14ac:dyDescent="0.3">
      <c r="F1691" s="26"/>
      <c r="G1691" s="26"/>
      <c r="H1691" s="26"/>
      <c r="I1691" s="26"/>
    </row>
    <row r="1692" spans="6:9" x14ac:dyDescent="0.3">
      <c r="F1692" s="26"/>
      <c r="G1692" s="26"/>
      <c r="H1692" s="26"/>
      <c r="I1692" s="26"/>
    </row>
    <row r="1693" spans="6:9" x14ac:dyDescent="0.3">
      <c r="F1693" s="26"/>
      <c r="G1693" s="26"/>
      <c r="H1693" s="26"/>
      <c r="I1693" s="26"/>
    </row>
    <row r="1694" spans="6:9" x14ac:dyDescent="0.3">
      <c r="F1694" s="26"/>
      <c r="G1694" s="26"/>
      <c r="H1694" s="26"/>
      <c r="I1694" s="26"/>
    </row>
    <row r="1695" spans="6:9" x14ac:dyDescent="0.3">
      <c r="F1695" s="26"/>
      <c r="G1695" s="26"/>
      <c r="H1695" s="26"/>
      <c r="I1695" s="26"/>
    </row>
    <row r="1696" spans="6:9" x14ac:dyDescent="0.3">
      <c r="F1696" s="26"/>
      <c r="G1696" s="26"/>
      <c r="H1696" s="26"/>
      <c r="I1696" s="26"/>
    </row>
    <row r="1697" spans="6:9" x14ac:dyDescent="0.3">
      <c r="F1697" s="26"/>
      <c r="G1697" s="26"/>
      <c r="H1697" s="26"/>
      <c r="I1697" s="26"/>
    </row>
    <row r="1698" spans="6:9" x14ac:dyDescent="0.3">
      <c r="F1698" s="26"/>
      <c r="G1698" s="26"/>
      <c r="H1698" s="26"/>
      <c r="I1698" s="26"/>
    </row>
    <row r="1699" spans="6:9" x14ac:dyDescent="0.3">
      <c r="F1699" s="26"/>
      <c r="G1699" s="26"/>
      <c r="H1699" s="26"/>
      <c r="I1699" s="26"/>
    </row>
    <row r="1700" spans="6:9" x14ac:dyDescent="0.3">
      <c r="F1700" s="26"/>
      <c r="G1700" s="26"/>
      <c r="H1700" s="26"/>
      <c r="I1700" s="26"/>
    </row>
    <row r="1701" spans="6:9" x14ac:dyDescent="0.3">
      <c r="F1701" s="26"/>
      <c r="G1701" s="26"/>
      <c r="H1701" s="26"/>
      <c r="I1701" s="26"/>
    </row>
    <row r="1702" spans="6:9" x14ac:dyDescent="0.3">
      <c r="F1702" s="26"/>
      <c r="G1702" s="26"/>
      <c r="H1702" s="26"/>
      <c r="I1702" s="26"/>
    </row>
    <row r="1703" spans="6:9" x14ac:dyDescent="0.3">
      <c r="F1703" s="26"/>
      <c r="G1703" s="26"/>
      <c r="H1703" s="26"/>
      <c r="I1703" s="26"/>
    </row>
    <row r="1704" spans="6:9" x14ac:dyDescent="0.3">
      <c r="F1704" s="26"/>
      <c r="G1704" s="26"/>
      <c r="H1704" s="26"/>
      <c r="I1704" s="26"/>
    </row>
    <row r="1705" spans="6:9" x14ac:dyDescent="0.3">
      <c r="F1705" s="26"/>
      <c r="G1705" s="26"/>
      <c r="H1705" s="26"/>
      <c r="I1705" s="26"/>
    </row>
    <row r="1706" spans="6:9" x14ac:dyDescent="0.3">
      <c r="F1706" s="26"/>
      <c r="G1706" s="26"/>
      <c r="H1706" s="26"/>
      <c r="I1706" s="26"/>
    </row>
    <row r="1707" spans="6:9" x14ac:dyDescent="0.3">
      <c r="F1707" s="26"/>
      <c r="G1707" s="26"/>
      <c r="H1707" s="26"/>
      <c r="I1707" s="26"/>
    </row>
    <row r="1708" spans="6:9" x14ac:dyDescent="0.3">
      <c r="F1708" s="26"/>
      <c r="G1708" s="26"/>
      <c r="H1708" s="26"/>
      <c r="I1708" s="26"/>
    </row>
    <row r="1709" spans="6:9" x14ac:dyDescent="0.3">
      <c r="F1709" s="26"/>
      <c r="G1709" s="26"/>
      <c r="H1709" s="26"/>
      <c r="I1709" s="26"/>
    </row>
    <row r="1710" spans="6:9" x14ac:dyDescent="0.3">
      <c r="F1710" s="26"/>
      <c r="G1710" s="26"/>
      <c r="H1710" s="26"/>
      <c r="I1710" s="26"/>
    </row>
    <row r="1711" spans="6:9" x14ac:dyDescent="0.3">
      <c r="F1711" s="26"/>
      <c r="G1711" s="26"/>
      <c r="H1711" s="26"/>
      <c r="I1711" s="26"/>
    </row>
    <row r="1712" spans="6:9" x14ac:dyDescent="0.3">
      <c r="F1712" s="26"/>
      <c r="G1712" s="26"/>
      <c r="H1712" s="26"/>
      <c r="I1712" s="26"/>
    </row>
    <row r="1713" spans="6:9" x14ac:dyDescent="0.3">
      <c r="F1713" s="26"/>
      <c r="G1713" s="26"/>
      <c r="H1713" s="26"/>
      <c r="I1713" s="26"/>
    </row>
    <row r="1714" spans="6:9" x14ac:dyDescent="0.3">
      <c r="F1714" s="26"/>
      <c r="G1714" s="26"/>
      <c r="H1714" s="26"/>
      <c r="I1714" s="26"/>
    </row>
    <row r="1715" spans="6:9" x14ac:dyDescent="0.3">
      <c r="F1715" s="26"/>
      <c r="G1715" s="26"/>
      <c r="H1715" s="26"/>
      <c r="I1715" s="26"/>
    </row>
    <row r="1716" spans="6:9" x14ac:dyDescent="0.3">
      <c r="F1716" s="26"/>
      <c r="G1716" s="26"/>
      <c r="H1716" s="26"/>
      <c r="I1716" s="26"/>
    </row>
    <row r="1717" spans="6:9" x14ac:dyDescent="0.3">
      <c r="F1717" s="26"/>
      <c r="G1717" s="26"/>
      <c r="H1717" s="26"/>
      <c r="I1717" s="26"/>
    </row>
    <row r="1718" spans="6:9" x14ac:dyDescent="0.3">
      <c r="F1718" s="26"/>
      <c r="G1718" s="26"/>
      <c r="H1718" s="26"/>
      <c r="I1718" s="26"/>
    </row>
    <row r="1719" spans="6:9" x14ac:dyDescent="0.3">
      <c r="F1719" s="26"/>
      <c r="G1719" s="26"/>
      <c r="H1719" s="26"/>
      <c r="I1719" s="26"/>
    </row>
    <row r="1720" spans="6:9" x14ac:dyDescent="0.3">
      <c r="F1720" s="26"/>
      <c r="G1720" s="26"/>
      <c r="H1720" s="26"/>
      <c r="I1720" s="26"/>
    </row>
    <row r="1721" spans="6:9" x14ac:dyDescent="0.3">
      <c r="F1721" s="26"/>
      <c r="G1721" s="26"/>
      <c r="H1721" s="26"/>
      <c r="I1721" s="26"/>
    </row>
    <row r="1722" spans="6:9" x14ac:dyDescent="0.3">
      <c r="F1722" s="26"/>
      <c r="G1722" s="26"/>
      <c r="H1722" s="26"/>
      <c r="I1722" s="26"/>
    </row>
    <row r="1723" spans="6:9" x14ac:dyDescent="0.3">
      <c r="F1723" s="26"/>
      <c r="G1723" s="26"/>
      <c r="H1723" s="26"/>
      <c r="I1723" s="26"/>
    </row>
    <row r="1724" spans="6:9" x14ac:dyDescent="0.3">
      <c r="F1724" s="26"/>
      <c r="G1724" s="26"/>
      <c r="H1724" s="26"/>
      <c r="I1724" s="26"/>
    </row>
    <row r="1725" spans="6:9" x14ac:dyDescent="0.3">
      <c r="F1725" s="26"/>
      <c r="G1725" s="26"/>
      <c r="H1725" s="26"/>
      <c r="I1725" s="26"/>
    </row>
    <row r="1726" spans="6:9" x14ac:dyDescent="0.3">
      <c r="F1726" s="26"/>
      <c r="G1726" s="26"/>
      <c r="H1726" s="26"/>
      <c r="I1726" s="26"/>
    </row>
    <row r="1727" spans="6:9" x14ac:dyDescent="0.3">
      <c r="F1727" s="26"/>
      <c r="G1727" s="26"/>
      <c r="H1727" s="26"/>
      <c r="I1727" s="26"/>
    </row>
    <row r="1728" spans="6:9" x14ac:dyDescent="0.3">
      <c r="F1728" s="26"/>
      <c r="G1728" s="26"/>
      <c r="H1728" s="26"/>
      <c r="I1728" s="26"/>
    </row>
    <row r="1729" spans="6:9" x14ac:dyDescent="0.3">
      <c r="F1729" s="26"/>
      <c r="G1729" s="26"/>
      <c r="H1729" s="26"/>
      <c r="I1729" s="26"/>
    </row>
    <row r="1730" spans="6:9" x14ac:dyDescent="0.3">
      <c r="F1730" s="26"/>
      <c r="G1730" s="26"/>
      <c r="H1730" s="26"/>
      <c r="I1730" s="26"/>
    </row>
    <row r="1731" spans="6:9" x14ac:dyDescent="0.3">
      <c r="F1731" s="26"/>
      <c r="G1731" s="26"/>
      <c r="H1731" s="26"/>
      <c r="I1731" s="26"/>
    </row>
    <row r="1732" spans="6:9" x14ac:dyDescent="0.3">
      <c r="F1732" s="26"/>
      <c r="G1732" s="26"/>
      <c r="H1732" s="26"/>
      <c r="I1732" s="26"/>
    </row>
    <row r="1733" spans="6:9" x14ac:dyDescent="0.3">
      <c r="F1733" s="26"/>
      <c r="G1733" s="26"/>
      <c r="H1733" s="26"/>
      <c r="I1733" s="26"/>
    </row>
    <row r="1734" spans="6:9" x14ac:dyDescent="0.3">
      <c r="F1734" s="26"/>
      <c r="G1734" s="26"/>
      <c r="H1734" s="26"/>
      <c r="I1734" s="26"/>
    </row>
    <row r="1735" spans="6:9" x14ac:dyDescent="0.3">
      <c r="F1735" s="26"/>
      <c r="G1735" s="26"/>
      <c r="H1735" s="26"/>
      <c r="I1735" s="26"/>
    </row>
    <row r="1736" spans="6:9" x14ac:dyDescent="0.3">
      <c r="F1736" s="26"/>
      <c r="G1736" s="26"/>
      <c r="H1736" s="26"/>
      <c r="I1736" s="26"/>
    </row>
    <row r="1737" spans="6:9" x14ac:dyDescent="0.3">
      <c r="F1737" s="26"/>
      <c r="G1737" s="26"/>
      <c r="H1737" s="26"/>
      <c r="I1737" s="26"/>
    </row>
    <row r="1738" spans="6:9" x14ac:dyDescent="0.3">
      <c r="F1738" s="26"/>
      <c r="G1738" s="26"/>
      <c r="H1738" s="26"/>
      <c r="I1738" s="26"/>
    </row>
    <row r="1739" spans="6:9" x14ac:dyDescent="0.3">
      <c r="F1739" s="26"/>
      <c r="G1739" s="26"/>
      <c r="H1739" s="26"/>
      <c r="I1739" s="26"/>
    </row>
    <row r="1740" spans="6:9" x14ac:dyDescent="0.3">
      <c r="F1740" s="26"/>
      <c r="G1740" s="26"/>
      <c r="H1740" s="26"/>
      <c r="I1740" s="26"/>
    </row>
    <row r="1741" spans="6:9" x14ac:dyDescent="0.3">
      <c r="F1741" s="26"/>
      <c r="G1741" s="26"/>
      <c r="H1741" s="26"/>
      <c r="I1741" s="26"/>
    </row>
    <row r="1742" spans="6:9" x14ac:dyDescent="0.3">
      <c r="F1742" s="26"/>
      <c r="G1742" s="26"/>
      <c r="H1742" s="26"/>
      <c r="I1742" s="26"/>
    </row>
    <row r="1743" spans="6:9" x14ac:dyDescent="0.3">
      <c r="F1743" s="26"/>
      <c r="G1743" s="26"/>
      <c r="H1743" s="26"/>
      <c r="I1743" s="26"/>
    </row>
    <row r="1744" spans="6:9" x14ac:dyDescent="0.3">
      <c r="F1744" s="26"/>
      <c r="G1744" s="26"/>
      <c r="H1744" s="26"/>
      <c r="I1744" s="26"/>
    </row>
    <row r="1745" spans="6:9" x14ac:dyDescent="0.3">
      <c r="F1745" s="26"/>
      <c r="G1745" s="26"/>
      <c r="H1745" s="26"/>
      <c r="I1745" s="26"/>
    </row>
    <row r="1746" spans="6:9" x14ac:dyDescent="0.3">
      <c r="F1746" s="26"/>
      <c r="G1746" s="26"/>
      <c r="H1746" s="26"/>
      <c r="I1746" s="26"/>
    </row>
    <row r="1747" spans="6:9" x14ac:dyDescent="0.3">
      <c r="F1747" s="26"/>
      <c r="G1747" s="26"/>
      <c r="H1747" s="26"/>
      <c r="I1747" s="26"/>
    </row>
    <row r="1748" spans="6:9" x14ac:dyDescent="0.3">
      <c r="F1748" s="26"/>
      <c r="G1748" s="26"/>
      <c r="H1748" s="26"/>
      <c r="I1748" s="26"/>
    </row>
    <row r="1749" spans="6:9" x14ac:dyDescent="0.3">
      <c r="F1749" s="26"/>
      <c r="G1749" s="26"/>
      <c r="H1749" s="26"/>
      <c r="I1749" s="26"/>
    </row>
    <row r="1750" spans="6:9" x14ac:dyDescent="0.3">
      <c r="F1750" s="26"/>
      <c r="G1750" s="26"/>
      <c r="H1750" s="26"/>
      <c r="I1750" s="26"/>
    </row>
    <row r="1751" spans="6:9" x14ac:dyDescent="0.3">
      <c r="F1751" s="26"/>
      <c r="G1751" s="26"/>
      <c r="H1751" s="26"/>
      <c r="I1751" s="26"/>
    </row>
    <row r="1752" spans="6:9" x14ac:dyDescent="0.3">
      <c r="F1752" s="26"/>
      <c r="G1752" s="26"/>
      <c r="H1752" s="26"/>
      <c r="I1752" s="26"/>
    </row>
    <row r="1753" spans="6:9" x14ac:dyDescent="0.3">
      <c r="F1753" s="26"/>
      <c r="G1753" s="26"/>
      <c r="H1753" s="26"/>
      <c r="I1753" s="26"/>
    </row>
    <row r="1754" spans="6:9" x14ac:dyDescent="0.3">
      <c r="F1754" s="26"/>
      <c r="G1754" s="26"/>
      <c r="H1754" s="26"/>
      <c r="I1754" s="26"/>
    </row>
    <row r="1755" spans="6:9" x14ac:dyDescent="0.3">
      <c r="F1755" s="26"/>
      <c r="G1755" s="26"/>
      <c r="H1755" s="26"/>
      <c r="I1755" s="26"/>
    </row>
    <row r="1756" spans="6:9" x14ac:dyDescent="0.3">
      <c r="F1756" s="26"/>
      <c r="G1756" s="26"/>
      <c r="H1756" s="26"/>
      <c r="I1756" s="26"/>
    </row>
    <row r="1757" spans="6:9" x14ac:dyDescent="0.3">
      <c r="F1757" s="26"/>
      <c r="G1757" s="26"/>
      <c r="H1757" s="26"/>
      <c r="I1757" s="26"/>
    </row>
    <row r="1758" spans="6:9" x14ac:dyDescent="0.3">
      <c r="F1758" s="26"/>
      <c r="G1758" s="26"/>
      <c r="H1758" s="26"/>
      <c r="I1758" s="26"/>
    </row>
    <row r="1759" spans="6:9" x14ac:dyDescent="0.3">
      <c r="F1759" s="26"/>
      <c r="G1759" s="26"/>
      <c r="H1759" s="26"/>
      <c r="I1759" s="26"/>
    </row>
    <row r="1760" spans="6:9" x14ac:dyDescent="0.3">
      <c r="F1760" s="26"/>
      <c r="G1760" s="26"/>
      <c r="H1760" s="26"/>
      <c r="I1760" s="26"/>
    </row>
    <row r="1761" spans="6:9" x14ac:dyDescent="0.3">
      <c r="F1761" s="26"/>
      <c r="G1761" s="26"/>
      <c r="H1761" s="26"/>
      <c r="I1761" s="26"/>
    </row>
    <row r="1762" spans="6:9" x14ac:dyDescent="0.3">
      <c r="F1762" s="26"/>
      <c r="G1762" s="26"/>
      <c r="H1762" s="26"/>
      <c r="I1762" s="26"/>
    </row>
    <row r="1763" spans="6:9" x14ac:dyDescent="0.3">
      <c r="F1763" s="26"/>
      <c r="G1763" s="26"/>
      <c r="H1763" s="26"/>
      <c r="I1763" s="26"/>
    </row>
    <row r="1764" spans="6:9" x14ac:dyDescent="0.3">
      <c r="F1764" s="26"/>
      <c r="G1764" s="26"/>
      <c r="H1764" s="26"/>
      <c r="I1764" s="26"/>
    </row>
    <row r="1765" spans="6:9" x14ac:dyDescent="0.3">
      <c r="F1765" s="26"/>
      <c r="G1765" s="26"/>
      <c r="H1765" s="26"/>
      <c r="I1765" s="26"/>
    </row>
    <row r="1766" spans="6:9" x14ac:dyDescent="0.3">
      <c r="F1766" s="26"/>
      <c r="G1766" s="26"/>
      <c r="H1766" s="26"/>
      <c r="I1766" s="26"/>
    </row>
    <row r="1767" spans="6:9" x14ac:dyDescent="0.3">
      <c r="F1767" s="26"/>
      <c r="G1767" s="26"/>
      <c r="H1767" s="26"/>
      <c r="I1767" s="26"/>
    </row>
    <row r="1768" spans="6:9" x14ac:dyDescent="0.3">
      <c r="F1768" s="26"/>
      <c r="G1768" s="26"/>
      <c r="H1768" s="26"/>
      <c r="I1768" s="26"/>
    </row>
    <row r="1769" spans="6:9" x14ac:dyDescent="0.3">
      <c r="F1769" s="26"/>
      <c r="G1769" s="26"/>
      <c r="H1769" s="26"/>
      <c r="I1769" s="26"/>
    </row>
    <row r="1770" spans="6:9" x14ac:dyDescent="0.3">
      <c r="F1770" s="26"/>
      <c r="G1770" s="26"/>
      <c r="H1770" s="26"/>
      <c r="I1770" s="26"/>
    </row>
    <row r="1771" spans="6:9" x14ac:dyDescent="0.3">
      <c r="F1771" s="26"/>
      <c r="G1771" s="26"/>
      <c r="H1771" s="26"/>
      <c r="I1771" s="26"/>
    </row>
    <row r="1772" spans="6:9" x14ac:dyDescent="0.3">
      <c r="F1772" s="26"/>
      <c r="G1772" s="26"/>
      <c r="H1772" s="26"/>
      <c r="I1772" s="26"/>
    </row>
    <row r="1773" spans="6:9" x14ac:dyDescent="0.3">
      <c r="F1773" s="26"/>
      <c r="G1773" s="26"/>
      <c r="H1773" s="26"/>
      <c r="I1773" s="26"/>
    </row>
    <row r="1774" spans="6:9" x14ac:dyDescent="0.3">
      <c r="F1774" s="26"/>
      <c r="G1774" s="26"/>
      <c r="H1774" s="26"/>
      <c r="I1774" s="26"/>
    </row>
    <row r="1775" spans="6:9" x14ac:dyDescent="0.3">
      <c r="F1775" s="26"/>
      <c r="G1775" s="26"/>
      <c r="H1775" s="26"/>
      <c r="I1775" s="26"/>
    </row>
    <row r="1776" spans="6:9" x14ac:dyDescent="0.3">
      <c r="F1776" s="26"/>
      <c r="G1776" s="26"/>
      <c r="H1776" s="26"/>
      <c r="I1776" s="26"/>
    </row>
    <row r="1777" spans="6:9" x14ac:dyDescent="0.3">
      <c r="F1777" s="26"/>
      <c r="G1777" s="26"/>
      <c r="H1777" s="26"/>
      <c r="I1777" s="26"/>
    </row>
    <row r="1778" spans="6:9" x14ac:dyDescent="0.3">
      <c r="F1778" s="26"/>
      <c r="G1778" s="26"/>
      <c r="H1778" s="26"/>
      <c r="I1778" s="26"/>
    </row>
    <row r="1779" spans="6:9" x14ac:dyDescent="0.3">
      <c r="F1779" s="26"/>
      <c r="G1779" s="26"/>
      <c r="H1779" s="26"/>
      <c r="I1779" s="26"/>
    </row>
    <row r="1780" spans="6:9" x14ac:dyDescent="0.3">
      <c r="F1780" s="26"/>
      <c r="G1780" s="26"/>
      <c r="H1780" s="26"/>
      <c r="I1780" s="26"/>
    </row>
    <row r="1781" spans="6:9" x14ac:dyDescent="0.3">
      <c r="F1781" s="26"/>
      <c r="G1781" s="26"/>
      <c r="H1781" s="26"/>
      <c r="I1781" s="26"/>
    </row>
    <row r="1782" spans="6:9" x14ac:dyDescent="0.3">
      <c r="F1782" s="26"/>
      <c r="G1782" s="26"/>
      <c r="H1782" s="26"/>
      <c r="I1782" s="26"/>
    </row>
    <row r="1783" spans="6:9" x14ac:dyDescent="0.3">
      <c r="F1783" s="26"/>
      <c r="G1783" s="26"/>
      <c r="H1783" s="26"/>
      <c r="I1783" s="26"/>
    </row>
    <row r="1784" spans="6:9" x14ac:dyDescent="0.3">
      <c r="F1784" s="26"/>
      <c r="G1784" s="26"/>
      <c r="H1784" s="26"/>
      <c r="I1784" s="26"/>
    </row>
    <row r="1785" spans="6:9" x14ac:dyDescent="0.3">
      <c r="F1785" s="26"/>
      <c r="G1785" s="26"/>
      <c r="H1785" s="26"/>
      <c r="I1785" s="26"/>
    </row>
    <row r="1786" spans="6:9" x14ac:dyDescent="0.3">
      <c r="F1786" s="26"/>
      <c r="G1786" s="26"/>
      <c r="H1786" s="26"/>
      <c r="I1786" s="26"/>
    </row>
    <row r="1787" spans="6:9" x14ac:dyDescent="0.3">
      <c r="F1787" s="26"/>
      <c r="G1787" s="26"/>
      <c r="H1787" s="26"/>
      <c r="I1787" s="26"/>
    </row>
    <row r="1788" spans="6:9" x14ac:dyDescent="0.3">
      <c r="F1788" s="26"/>
      <c r="G1788" s="26"/>
      <c r="H1788" s="26"/>
      <c r="I1788" s="26"/>
    </row>
    <row r="1789" spans="6:9" x14ac:dyDescent="0.3">
      <c r="F1789" s="26"/>
      <c r="G1789" s="26"/>
      <c r="H1789" s="26"/>
      <c r="I1789" s="26"/>
    </row>
    <row r="1790" spans="6:9" x14ac:dyDescent="0.3">
      <c r="F1790" s="26"/>
      <c r="G1790" s="26"/>
      <c r="H1790" s="26"/>
      <c r="I1790" s="26"/>
    </row>
    <row r="1791" spans="6:9" x14ac:dyDescent="0.3">
      <c r="F1791" s="26"/>
      <c r="G1791" s="26"/>
      <c r="H1791" s="26"/>
      <c r="I1791" s="26"/>
    </row>
    <row r="1792" spans="6:9" x14ac:dyDescent="0.3">
      <c r="F1792" s="26"/>
      <c r="G1792" s="26"/>
      <c r="H1792" s="26"/>
      <c r="I1792" s="26"/>
    </row>
    <row r="1793" spans="6:9" x14ac:dyDescent="0.3">
      <c r="F1793" s="26"/>
      <c r="G1793" s="26"/>
      <c r="H1793" s="26"/>
      <c r="I1793" s="26"/>
    </row>
    <row r="1794" spans="6:9" x14ac:dyDescent="0.3">
      <c r="F1794" s="26"/>
      <c r="G1794" s="26"/>
      <c r="H1794" s="26"/>
      <c r="I1794" s="26"/>
    </row>
    <row r="1795" spans="6:9" x14ac:dyDescent="0.3">
      <c r="F1795" s="26"/>
      <c r="G1795" s="26"/>
      <c r="H1795" s="26"/>
      <c r="I1795" s="26"/>
    </row>
    <row r="1796" spans="6:9" x14ac:dyDescent="0.3">
      <c r="F1796" s="26"/>
      <c r="G1796" s="26"/>
      <c r="H1796" s="26"/>
      <c r="I1796" s="26"/>
    </row>
    <row r="1797" spans="6:9" x14ac:dyDescent="0.3">
      <c r="F1797" s="26"/>
      <c r="G1797" s="26"/>
      <c r="H1797" s="26"/>
      <c r="I1797" s="26"/>
    </row>
    <row r="1798" spans="6:9" x14ac:dyDescent="0.3">
      <c r="F1798" s="26"/>
      <c r="G1798" s="26"/>
      <c r="H1798" s="26"/>
      <c r="I1798" s="26"/>
    </row>
    <row r="1799" spans="6:9" x14ac:dyDescent="0.3">
      <c r="F1799" s="26"/>
      <c r="G1799" s="26"/>
      <c r="H1799" s="26"/>
      <c r="I1799" s="26"/>
    </row>
    <row r="1800" spans="6:9" x14ac:dyDescent="0.3">
      <c r="F1800" s="26"/>
      <c r="G1800" s="26"/>
      <c r="H1800" s="26"/>
      <c r="I1800" s="26"/>
    </row>
    <row r="1801" spans="6:9" x14ac:dyDescent="0.3">
      <c r="F1801" s="26"/>
      <c r="G1801" s="26"/>
      <c r="H1801" s="26"/>
      <c r="I1801" s="26"/>
    </row>
    <row r="1802" spans="6:9" x14ac:dyDescent="0.3">
      <c r="F1802" s="26"/>
      <c r="G1802" s="26"/>
      <c r="H1802" s="26"/>
      <c r="I1802" s="26"/>
    </row>
    <row r="1803" spans="6:9" x14ac:dyDescent="0.3">
      <c r="F1803" s="26"/>
      <c r="G1803" s="26"/>
      <c r="H1803" s="26"/>
      <c r="I1803" s="26"/>
    </row>
    <row r="1804" spans="6:9" x14ac:dyDescent="0.3">
      <c r="F1804" s="26"/>
      <c r="G1804" s="26"/>
      <c r="H1804" s="26"/>
      <c r="I1804" s="26"/>
    </row>
    <row r="1805" spans="6:9" x14ac:dyDescent="0.3">
      <c r="F1805" s="26"/>
      <c r="G1805" s="26"/>
      <c r="H1805" s="26"/>
      <c r="I1805" s="26"/>
    </row>
    <row r="1806" spans="6:9" x14ac:dyDescent="0.3">
      <c r="F1806" s="26"/>
      <c r="G1806" s="26"/>
      <c r="H1806" s="26"/>
      <c r="I1806" s="26"/>
    </row>
    <row r="1807" spans="6:9" x14ac:dyDescent="0.3">
      <c r="F1807" s="26"/>
      <c r="G1807" s="26"/>
      <c r="H1807" s="26"/>
      <c r="I1807" s="26"/>
    </row>
    <row r="1808" spans="6:9" x14ac:dyDescent="0.3">
      <c r="F1808" s="26"/>
      <c r="G1808" s="26"/>
      <c r="H1808" s="26"/>
      <c r="I1808" s="26"/>
    </row>
    <row r="1809" spans="6:9" x14ac:dyDescent="0.3">
      <c r="F1809" s="26"/>
      <c r="G1809" s="26"/>
      <c r="H1809" s="26"/>
      <c r="I1809" s="26"/>
    </row>
    <row r="1810" spans="6:9" x14ac:dyDescent="0.3">
      <c r="F1810" s="26"/>
      <c r="G1810" s="26"/>
      <c r="H1810" s="26"/>
      <c r="I1810" s="26"/>
    </row>
    <row r="1811" spans="6:9" x14ac:dyDescent="0.3">
      <c r="F1811" s="26"/>
      <c r="G1811" s="26"/>
      <c r="H1811" s="26"/>
      <c r="I1811" s="26"/>
    </row>
    <row r="1812" spans="6:9" x14ac:dyDescent="0.3">
      <c r="F1812" s="26"/>
      <c r="G1812" s="26"/>
      <c r="H1812" s="26"/>
      <c r="I1812" s="26"/>
    </row>
    <row r="1813" spans="6:9" x14ac:dyDescent="0.3">
      <c r="F1813" s="26"/>
      <c r="G1813" s="26"/>
      <c r="H1813" s="26"/>
      <c r="I1813" s="26"/>
    </row>
    <row r="1814" spans="6:9" x14ac:dyDescent="0.3">
      <c r="F1814" s="26"/>
      <c r="G1814" s="26"/>
      <c r="H1814" s="26"/>
      <c r="I1814" s="26"/>
    </row>
    <row r="1815" spans="6:9" x14ac:dyDescent="0.3">
      <c r="F1815" s="26"/>
      <c r="G1815" s="26"/>
      <c r="H1815" s="26"/>
      <c r="I1815" s="26"/>
    </row>
    <row r="1816" spans="6:9" x14ac:dyDescent="0.3">
      <c r="F1816" s="26"/>
      <c r="G1816" s="26"/>
      <c r="H1816" s="26"/>
      <c r="I1816" s="26"/>
    </row>
    <row r="1817" spans="6:9" x14ac:dyDescent="0.3">
      <c r="F1817" s="26"/>
      <c r="G1817" s="26"/>
      <c r="H1817" s="26"/>
      <c r="I1817" s="26"/>
    </row>
    <row r="1818" spans="6:9" x14ac:dyDescent="0.3">
      <c r="F1818" s="26"/>
      <c r="G1818" s="26"/>
      <c r="H1818" s="26"/>
      <c r="I1818" s="26"/>
    </row>
    <row r="1819" spans="6:9" x14ac:dyDescent="0.3">
      <c r="F1819" s="26"/>
      <c r="G1819" s="26"/>
      <c r="H1819" s="26"/>
      <c r="I1819" s="26"/>
    </row>
    <row r="1820" spans="6:9" x14ac:dyDescent="0.3">
      <c r="F1820" s="26"/>
      <c r="G1820" s="26"/>
      <c r="H1820" s="26"/>
      <c r="I1820" s="26"/>
    </row>
    <row r="1821" spans="6:9" x14ac:dyDescent="0.3">
      <c r="F1821" s="26"/>
      <c r="G1821" s="26"/>
      <c r="H1821" s="26"/>
      <c r="I1821" s="26"/>
    </row>
    <row r="1822" spans="6:9" x14ac:dyDescent="0.3">
      <c r="F1822" s="26"/>
      <c r="G1822" s="26"/>
      <c r="H1822" s="26"/>
      <c r="I1822" s="26"/>
    </row>
    <row r="1823" spans="6:9" x14ac:dyDescent="0.3">
      <c r="F1823" s="26"/>
      <c r="G1823" s="26"/>
      <c r="H1823" s="26"/>
      <c r="I1823" s="26"/>
    </row>
    <row r="1824" spans="6:9" x14ac:dyDescent="0.3">
      <c r="F1824" s="26"/>
      <c r="G1824" s="26"/>
      <c r="H1824" s="26"/>
      <c r="I1824" s="26"/>
    </row>
    <row r="1825" spans="6:9" x14ac:dyDescent="0.3">
      <c r="F1825" s="26"/>
      <c r="G1825" s="26"/>
      <c r="H1825" s="26"/>
      <c r="I1825" s="26"/>
    </row>
    <row r="1826" spans="6:9" x14ac:dyDescent="0.3">
      <c r="F1826" s="26"/>
      <c r="G1826" s="26"/>
      <c r="H1826" s="26"/>
      <c r="I1826" s="26"/>
    </row>
    <row r="1827" spans="6:9" x14ac:dyDescent="0.3">
      <c r="F1827" s="26"/>
      <c r="G1827" s="26"/>
      <c r="H1827" s="26"/>
      <c r="I1827" s="26"/>
    </row>
    <row r="1828" spans="6:9" x14ac:dyDescent="0.3">
      <c r="F1828" s="26"/>
      <c r="G1828" s="26"/>
      <c r="H1828" s="26"/>
      <c r="I1828" s="26"/>
    </row>
    <row r="1829" spans="6:9" x14ac:dyDescent="0.3">
      <c r="F1829" s="26"/>
      <c r="G1829" s="26"/>
      <c r="H1829" s="26"/>
      <c r="I1829" s="26"/>
    </row>
    <row r="1830" spans="6:9" x14ac:dyDescent="0.3">
      <c r="F1830" s="26"/>
      <c r="G1830" s="26"/>
      <c r="H1830" s="26"/>
      <c r="I1830" s="26"/>
    </row>
    <row r="1831" spans="6:9" x14ac:dyDescent="0.3">
      <c r="F1831" s="26"/>
      <c r="G1831" s="26"/>
      <c r="H1831" s="26"/>
      <c r="I1831" s="26"/>
    </row>
    <row r="1832" spans="6:9" x14ac:dyDescent="0.3">
      <c r="F1832" s="26"/>
      <c r="G1832" s="26"/>
      <c r="H1832" s="26"/>
      <c r="I1832" s="26"/>
    </row>
    <row r="1833" spans="6:9" x14ac:dyDescent="0.3">
      <c r="F1833" s="26"/>
      <c r="G1833" s="26"/>
      <c r="H1833" s="26"/>
      <c r="I1833" s="26"/>
    </row>
    <row r="1834" spans="6:9" x14ac:dyDescent="0.3">
      <c r="F1834" s="26"/>
      <c r="G1834" s="26"/>
      <c r="H1834" s="26"/>
      <c r="I1834" s="26"/>
    </row>
    <row r="1835" spans="6:9" x14ac:dyDescent="0.3">
      <c r="F1835" s="26"/>
      <c r="G1835" s="26"/>
      <c r="H1835" s="26"/>
      <c r="I1835" s="26"/>
    </row>
    <row r="1836" spans="6:9" x14ac:dyDescent="0.3">
      <c r="F1836" s="26"/>
      <c r="G1836" s="26"/>
      <c r="H1836" s="26"/>
      <c r="I1836" s="26"/>
    </row>
    <row r="1837" spans="6:9" x14ac:dyDescent="0.3">
      <c r="F1837" s="26"/>
      <c r="G1837" s="26"/>
      <c r="H1837" s="26"/>
      <c r="I1837" s="26"/>
    </row>
    <row r="1838" spans="6:9" x14ac:dyDescent="0.3">
      <c r="F1838" s="26"/>
      <c r="G1838" s="26"/>
      <c r="H1838" s="26"/>
      <c r="I1838" s="26"/>
    </row>
    <row r="1839" spans="6:9" x14ac:dyDescent="0.3">
      <c r="F1839" s="26"/>
      <c r="G1839" s="26"/>
      <c r="H1839" s="26"/>
      <c r="I1839" s="26"/>
    </row>
    <row r="1840" spans="6:9" x14ac:dyDescent="0.3">
      <c r="F1840" s="26"/>
      <c r="G1840" s="26"/>
      <c r="H1840" s="26"/>
      <c r="I1840" s="26"/>
    </row>
    <row r="1841" spans="6:9" x14ac:dyDescent="0.3">
      <c r="F1841" s="26"/>
      <c r="G1841" s="26"/>
      <c r="H1841" s="26"/>
      <c r="I1841" s="26"/>
    </row>
    <row r="1842" spans="6:9" x14ac:dyDescent="0.3">
      <c r="F1842" s="26"/>
      <c r="G1842" s="26"/>
      <c r="H1842" s="26"/>
      <c r="I1842" s="26"/>
    </row>
    <row r="1843" spans="6:9" x14ac:dyDescent="0.3">
      <c r="F1843" s="26"/>
      <c r="G1843" s="26"/>
      <c r="H1843" s="26"/>
      <c r="I1843" s="26"/>
    </row>
    <row r="1844" spans="6:9" x14ac:dyDescent="0.3">
      <c r="F1844" s="26"/>
      <c r="G1844" s="26"/>
      <c r="H1844" s="26"/>
      <c r="I1844" s="26"/>
    </row>
    <row r="1845" spans="6:9" x14ac:dyDescent="0.3">
      <c r="F1845" s="26"/>
      <c r="G1845" s="26"/>
      <c r="H1845" s="26"/>
      <c r="I1845" s="26"/>
    </row>
    <row r="1846" spans="6:9" x14ac:dyDescent="0.3">
      <c r="F1846" s="26"/>
      <c r="G1846" s="26"/>
      <c r="H1846" s="26"/>
      <c r="I1846" s="26"/>
    </row>
    <row r="1847" spans="6:9" x14ac:dyDescent="0.3">
      <c r="F1847" s="26"/>
      <c r="G1847" s="26"/>
      <c r="H1847" s="26"/>
      <c r="I1847" s="26"/>
    </row>
    <row r="1848" spans="6:9" x14ac:dyDescent="0.3">
      <c r="F1848" s="26"/>
      <c r="G1848" s="26"/>
      <c r="H1848" s="26"/>
      <c r="I1848" s="26"/>
    </row>
    <row r="1849" spans="6:9" x14ac:dyDescent="0.3">
      <c r="F1849" s="26"/>
      <c r="G1849" s="26"/>
      <c r="H1849" s="26"/>
      <c r="I1849" s="26"/>
    </row>
    <row r="1850" spans="6:9" x14ac:dyDescent="0.3">
      <c r="F1850" s="26"/>
      <c r="G1850" s="26"/>
      <c r="H1850" s="26"/>
      <c r="I1850" s="26"/>
    </row>
    <row r="1851" spans="6:9" x14ac:dyDescent="0.3">
      <c r="F1851" s="26"/>
      <c r="G1851" s="26"/>
      <c r="H1851" s="26"/>
      <c r="I1851" s="26"/>
    </row>
    <row r="1852" spans="6:9" x14ac:dyDescent="0.3">
      <c r="F1852" s="26"/>
      <c r="G1852" s="26"/>
      <c r="H1852" s="26"/>
      <c r="I1852" s="26"/>
    </row>
    <row r="1853" spans="6:9" x14ac:dyDescent="0.3">
      <c r="F1853" s="26"/>
      <c r="G1853" s="26"/>
      <c r="H1853" s="26"/>
      <c r="I1853" s="26"/>
    </row>
    <row r="1854" spans="6:9" x14ac:dyDescent="0.3">
      <c r="F1854" s="26"/>
      <c r="G1854" s="26"/>
      <c r="H1854" s="26"/>
      <c r="I1854" s="26"/>
    </row>
    <row r="1855" spans="6:9" x14ac:dyDescent="0.3">
      <c r="F1855" s="26"/>
      <c r="G1855" s="26"/>
      <c r="H1855" s="26"/>
      <c r="I1855" s="26"/>
    </row>
    <row r="1856" spans="6:9" x14ac:dyDescent="0.3">
      <c r="F1856" s="26"/>
      <c r="G1856" s="26"/>
      <c r="H1856" s="26"/>
      <c r="I1856" s="26"/>
    </row>
    <row r="1857" spans="6:9" x14ac:dyDescent="0.3">
      <c r="F1857" s="26"/>
      <c r="G1857" s="26"/>
      <c r="H1857" s="26"/>
      <c r="I1857" s="26"/>
    </row>
    <row r="1858" spans="6:9" x14ac:dyDescent="0.3">
      <c r="F1858" s="26"/>
      <c r="G1858" s="26"/>
      <c r="H1858" s="26"/>
      <c r="I1858" s="26"/>
    </row>
    <row r="1859" spans="6:9" x14ac:dyDescent="0.3">
      <c r="F1859" s="26"/>
      <c r="G1859" s="26"/>
      <c r="H1859" s="26"/>
      <c r="I1859" s="26"/>
    </row>
    <row r="1860" spans="6:9" x14ac:dyDescent="0.3">
      <c r="F1860" s="26"/>
      <c r="G1860" s="26"/>
      <c r="H1860" s="26"/>
      <c r="I1860" s="26"/>
    </row>
    <row r="1861" spans="6:9" x14ac:dyDescent="0.3">
      <c r="F1861" s="26"/>
      <c r="G1861" s="26"/>
      <c r="H1861" s="26"/>
      <c r="I1861" s="26"/>
    </row>
    <row r="1862" spans="6:9" x14ac:dyDescent="0.3">
      <c r="F1862" s="26"/>
      <c r="G1862" s="26"/>
      <c r="H1862" s="26"/>
      <c r="I1862" s="26"/>
    </row>
    <row r="1863" spans="6:9" x14ac:dyDescent="0.3">
      <c r="F1863" s="26"/>
      <c r="G1863" s="26"/>
      <c r="H1863" s="26"/>
      <c r="I1863" s="26"/>
    </row>
    <row r="1864" spans="6:9" x14ac:dyDescent="0.3">
      <c r="F1864" s="26"/>
      <c r="G1864" s="26"/>
      <c r="H1864" s="26"/>
      <c r="I1864" s="26"/>
    </row>
    <row r="1865" spans="6:9" x14ac:dyDescent="0.3">
      <c r="F1865" s="26"/>
      <c r="G1865" s="26"/>
      <c r="H1865" s="26"/>
      <c r="I1865" s="26"/>
    </row>
    <row r="1866" spans="6:9" x14ac:dyDescent="0.3">
      <c r="F1866" s="26"/>
      <c r="G1866" s="26"/>
      <c r="H1866" s="26"/>
      <c r="I1866" s="26"/>
    </row>
    <row r="1867" spans="6:9" x14ac:dyDescent="0.3">
      <c r="F1867" s="26"/>
      <c r="G1867" s="26"/>
      <c r="H1867" s="26"/>
      <c r="I1867" s="26"/>
    </row>
    <row r="1868" spans="6:9" x14ac:dyDescent="0.3">
      <c r="F1868" s="26"/>
      <c r="G1868" s="26"/>
      <c r="H1868" s="26"/>
      <c r="I1868" s="26"/>
    </row>
    <row r="1869" spans="6:9" x14ac:dyDescent="0.3">
      <c r="F1869" s="26"/>
      <c r="G1869" s="26"/>
      <c r="H1869" s="26"/>
      <c r="I1869" s="26"/>
    </row>
    <row r="1870" spans="6:9" x14ac:dyDescent="0.3">
      <c r="F1870" s="26"/>
      <c r="G1870" s="26"/>
      <c r="H1870" s="26"/>
      <c r="I1870" s="26"/>
    </row>
    <row r="1871" spans="6:9" x14ac:dyDescent="0.3">
      <c r="F1871" s="26"/>
      <c r="G1871" s="26"/>
      <c r="H1871" s="26"/>
      <c r="I1871" s="26"/>
    </row>
    <row r="1872" spans="6:9" x14ac:dyDescent="0.3">
      <c r="F1872" s="26"/>
      <c r="G1872" s="26"/>
      <c r="H1872" s="26"/>
      <c r="I1872" s="26"/>
    </row>
    <row r="1873" spans="6:9" x14ac:dyDescent="0.3">
      <c r="F1873" s="26"/>
      <c r="G1873" s="26"/>
      <c r="H1873" s="26"/>
      <c r="I1873" s="26"/>
    </row>
    <row r="1874" spans="6:9" x14ac:dyDescent="0.3">
      <c r="F1874" s="26"/>
      <c r="G1874" s="26"/>
      <c r="H1874" s="26"/>
      <c r="I1874" s="26"/>
    </row>
    <row r="1875" spans="6:9" x14ac:dyDescent="0.3">
      <c r="F1875" s="26"/>
      <c r="G1875" s="26"/>
      <c r="H1875" s="26"/>
      <c r="I1875" s="26"/>
    </row>
    <row r="1876" spans="6:9" x14ac:dyDescent="0.3">
      <c r="F1876" s="26"/>
      <c r="G1876" s="26"/>
      <c r="H1876" s="26"/>
      <c r="I1876" s="26"/>
    </row>
    <row r="1877" spans="6:9" x14ac:dyDescent="0.3">
      <c r="F1877" s="26"/>
      <c r="G1877" s="26"/>
      <c r="H1877" s="26"/>
      <c r="I1877" s="26"/>
    </row>
    <row r="1878" spans="6:9" x14ac:dyDescent="0.3">
      <c r="F1878" s="26"/>
      <c r="G1878" s="26"/>
      <c r="H1878" s="26"/>
      <c r="I1878" s="26"/>
    </row>
    <row r="1879" spans="6:9" x14ac:dyDescent="0.3">
      <c r="F1879" s="26"/>
      <c r="G1879" s="26"/>
      <c r="H1879" s="26"/>
      <c r="I1879" s="26"/>
    </row>
    <row r="1880" spans="6:9" x14ac:dyDescent="0.3">
      <c r="F1880" s="26"/>
      <c r="G1880" s="26"/>
      <c r="H1880" s="26"/>
      <c r="I1880" s="26"/>
    </row>
    <row r="1881" spans="6:9" x14ac:dyDescent="0.3">
      <c r="F1881" s="26"/>
      <c r="G1881" s="26"/>
      <c r="H1881" s="26"/>
      <c r="I1881" s="26"/>
    </row>
    <row r="1882" spans="6:9" x14ac:dyDescent="0.3">
      <c r="F1882" s="26"/>
      <c r="G1882" s="26"/>
      <c r="H1882" s="26"/>
      <c r="I1882" s="26"/>
    </row>
    <row r="1883" spans="6:9" x14ac:dyDescent="0.3">
      <c r="F1883" s="26"/>
      <c r="G1883" s="26"/>
      <c r="H1883" s="26"/>
      <c r="I1883" s="26"/>
    </row>
    <row r="1884" spans="6:9" x14ac:dyDescent="0.3">
      <c r="F1884" s="26"/>
      <c r="G1884" s="26"/>
      <c r="H1884" s="26"/>
      <c r="I1884" s="26"/>
    </row>
    <row r="1885" spans="6:9" x14ac:dyDescent="0.3">
      <c r="F1885" s="26"/>
      <c r="G1885" s="26"/>
      <c r="H1885" s="26"/>
      <c r="I1885" s="26"/>
    </row>
    <row r="1886" spans="6:9" x14ac:dyDescent="0.3">
      <c r="F1886" s="26"/>
      <c r="G1886" s="26"/>
      <c r="H1886" s="26"/>
      <c r="I1886" s="26"/>
    </row>
    <row r="1887" spans="6:9" x14ac:dyDescent="0.3">
      <c r="F1887" s="26"/>
      <c r="G1887" s="26"/>
      <c r="H1887" s="26"/>
      <c r="I1887" s="26"/>
    </row>
    <row r="1888" spans="6:9" x14ac:dyDescent="0.3">
      <c r="F1888" s="26"/>
      <c r="G1888" s="26"/>
      <c r="H1888" s="26"/>
      <c r="I1888" s="26"/>
    </row>
    <row r="1889" spans="6:9" x14ac:dyDescent="0.3">
      <c r="F1889" s="26"/>
      <c r="G1889" s="26"/>
      <c r="H1889" s="26"/>
      <c r="I1889" s="26"/>
    </row>
    <row r="1890" spans="6:9" x14ac:dyDescent="0.3">
      <c r="F1890" s="26"/>
      <c r="G1890" s="26"/>
      <c r="H1890" s="26"/>
      <c r="I1890" s="26"/>
    </row>
    <row r="1891" spans="6:9" x14ac:dyDescent="0.3">
      <c r="F1891" s="26"/>
      <c r="G1891" s="26"/>
      <c r="H1891" s="26"/>
      <c r="I1891" s="26"/>
    </row>
    <row r="1892" spans="6:9" x14ac:dyDescent="0.3">
      <c r="F1892" s="26"/>
      <c r="G1892" s="26"/>
      <c r="H1892" s="26"/>
      <c r="I1892" s="26"/>
    </row>
    <row r="1893" spans="6:9" x14ac:dyDescent="0.3">
      <c r="F1893" s="26"/>
      <c r="G1893" s="26"/>
      <c r="H1893" s="26"/>
      <c r="I1893" s="26"/>
    </row>
    <row r="1894" spans="6:9" x14ac:dyDescent="0.3">
      <c r="F1894" s="26"/>
      <c r="G1894" s="26"/>
      <c r="H1894" s="26"/>
      <c r="I1894" s="26"/>
    </row>
    <row r="1895" spans="6:9" x14ac:dyDescent="0.3">
      <c r="F1895" s="26"/>
      <c r="G1895" s="26"/>
      <c r="H1895" s="26"/>
      <c r="I1895" s="26"/>
    </row>
    <row r="1896" spans="6:9" x14ac:dyDescent="0.3">
      <c r="F1896" s="26"/>
      <c r="G1896" s="26"/>
      <c r="H1896" s="26"/>
      <c r="I1896" s="26"/>
    </row>
    <row r="1897" spans="6:9" x14ac:dyDescent="0.3">
      <c r="F1897" s="26"/>
      <c r="G1897" s="26"/>
      <c r="H1897" s="26"/>
      <c r="I1897" s="26"/>
    </row>
    <row r="1898" spans="6:9" x14ac:dyDescent="0.3">
      <c r="F1898" s="26"/>
      <c r="G1898" s="26"/>
      <c r="H1898" s="26"/>
      <c r="I1898" s="26"/>
    </row>
    <row r="1899" spans="6:9" x14ac:dyDescent="0.3">
      <c r="F1899" s="26"/>
      <c r="G1899" s="26"/>
      <c r="H1899" s="26"/>
      <c r="I1899" s="26"/>
    </row>
    <row r="1900" spans="6:9" x14ac:dyDescent="0.3">
      <c r="F1900" s="26"/>
      <c r="G1900" s="26"/>
      <c r="H1900" s="26"/>
      <c r="I1900" s="26"/>
    </row>
    <row r="1901" spans="6:9" x14ac:dyDescent="0.3">
      <c r="F1901" s="26"/>
      <c r="G1901" s="26"/>
      <c r="H1901" s="26"/>
      <c r="I1901" s="26"/>
    </row>
    <row r="1902" spans="6:9" x14ac:dyDescent="0.3">
      <c r="F1902" s="26"/>
      <c r="G1902" s="26"/>
      <c r="H1902" s="26"/>
      <c r="I1902" s="26"/>
    </row>
    <row r="1903" spans="6:9" x14ac:dyDescent="0.3">
      <c r="F1903" s="26"/>
      <c r="G1903" s="26"/>
      <c r="H1903" s="26"/>
      <c r="I1903" s="26"/>
    </row>
    <row r="1904" spans="6:9" x14ac:dyDescent="0.3">
      <c r="F1904" s="26"/>
      <c r="G1904" s="26"/>
      <c r="H1904" s="26"/>
      <c r="I1904" s="26"/>
    </row>
    <row r="1905" spans="6:9" x14ac:dyDescent="0.3">
      <c r="F1905" s="26"/>
      <c r="G1905" s="26"/>
      <c r="H1905" s="26"/>
      <c r="I1905" s="26"/>
    </row>
    <row r="1906" spans="6:9" x14ac:dyDescent="0.3">
      <c r="F1906" s="26"/>
      <c r="G1906" s="26"/>
      <c r="H1906" s="26"/>
      <c r="I1906" s="26"/>
    </row>
    <row r="1907" spans="6:9" x14ac:dyDescent="0.3">
      <c r="F1907" s="26"/>
      <c r="G1907" s="26"/>
      <c r="H1907" s="26"/>
      <c r="I1907" s="26"/>
    </row>
    <row r="1908" spans="6:9" x14ac:dyDescent="0.3">
      <c r="F1908" s="26"/>
      <c r="G1908" s="26"/>
      <c r="H1908" s="26"/>
      <c r="I1908" s="26"/>
    </row>
    <row r="1909" spans="6:9" x14ac:dyDescent="0.3">
      <c r="F1909" s="26"/>
      <c r="G1909" s="26"/>
      <c r="H1909" s="26"/>
      <c r="I1909" s="26"/>
    </row>
    <row r="1910" spans="6:9" x14ac:dyDescent="0.3">
      <c r="F1910" s="26"/>
      <c r="G1910" s="26"/>
      <c r="H1910" s="26"/>
      <c r="I1910" s="26"/>
    </row>
    <row r="1911" spans="6:9" x14ac:dyDescent="0.3">
      <c r="F1911" s="26"/>
      <c r="G1911" s="26"/>
      <c r="H1911" s="26"/>
      <c r="I1911" s="26"/>
    </row>
    <row r="1912" spans="6:9" x14ac:dyDescent="0.3">
      <c r="F1912" s="26"/>
      <c r="G1912" s="26"/>
      <c r="H1912" s="26"/>
      <c r="I1912" s="26"/>
    </row>
    <row r="1913" spans="6:9" x14ac:dyDescent="0.3">
      <c r="F1913" s="26"/>
      <c r="G1913" s="26"/>
      <c r="H1913" s="26"/>
      <c r="I1913" s="26"/>
    </row>
    <row r="1914" spans="6:9" x14ac:dyDescent="0.3">
      <c r="F1914" s="26"/>
      <c r="G1914" s="26"/>
      <c r="H1914" s="26"/>
      <c r="I1914" s="26"/>
    </row>
    <row r="1915" spans="6:9" x14ac:dyDescent="0.3">
      <c r="F1915" s="26"/>
      <c r="G1915" s="26"/>
      <c r="H1915" s="26"/>
      <c r="I1915" s="26"/>
    </row>
    <row r="1916" spans="6:9" x14ac:dyDescent="0.3">
      <c r="F1916" s="26"/>
      <c r="G1916" s="26"/>
      <c r="H1916" s="26"/>
      <c r="I1916" s="26"/>
    </row>
    <row r="1917" spans="6:9" x14ac:dyDescent="0.3">
      <c r="F1917" s="26"/>
      <c r="G1917" s="26"/>
      <c r="H1917" s="26"/>
      <c r="I1917" s="26"/>
    </row>
    <row r="1918" spans="6:9" x14ac:dyDescent="0.3">
      <c r="F1918" s="26"/>
      <c r="G1918" s="26"/>
      <c r="H1918" s="26"/>
      <c r="I1918" s="26"/>
    </row>
    <row r="1919" spans="6:9" x14ac:dyDescent="0.3">
      <c r="F1919" s="26"/>
      <c r="G1919" s="26"/>
      <c r="H1919" s="26"/>
      <c r="I1919" s="26"/>
    </row>
    <row r="1920" spans="6:9" x14ac:dyDescent="0.3">
      <c r="F1920" s="26"/>
      <c r="G1920" s="26"/>
      <c r="H1920" s="26"/>
      <c r="I1920" s="26"/>
    </row>
    <row r="1921" spans="6:9" x14ac:dyDescent="0.3">
      <c r="F1921" s="26"/>
      <c r="G1921" s="26"/>
      <c r="H1921" s="26"/>
      <c r="I1921" s="26"/>
    </row>
    <row r="1922" spans="6:9" x14ac:dyDescent="0.3">
      <c r="F1922" s="26"/>
      <c r="G1922" s="26"/>
      <c r="H1922" s="26"/>
      <c r="I1922" s="26"/>
    </row>
    <row r="1923" spans="6:9" x14ac:dyDescent="0.3">
      <c r="F1923" s="26"/>
      <c r="G1923" s="26"/>
      <c r="H1923" s="26"/>
      <c r="I1923" s="26"/>
    </row>
    <row r="1924" spans="6:9" x14ac:dyDescent="0.3">
      <c r="F1924" s="26"/>
      <c r="G1924" s="26"/>
      <c r="H1924" s="26"/>
      <c r="I1924" s="26"/>
    </row>
    <row r="1925" spans="6:9" x14ac:dyDescent="0.3">
      <c r="F1925" s="26"/>
      <c r="G1925" s="26"/>
      <c r="H1925" s="26"/>
      <c r="I1925" s="26"/>
    </row>
    <row r="1926" spans="6:9" x14ac:dyDescent="0.3">
      <c r="F1926" s="26"/>
      <c r="G1926" s="26"/>
      <c r="H1926" s="26"/>
      <c r="I1926" s="26"/>
    </row>
    <row r="1927" spans="6:9" x14ac:dyDescent="0.3">
      <c r="F1927" s="26"/>
      <c r="G1927" s="26"/>
      <c r="H1927" s="26"/>
      <c r="I1927" s="26"/>
    </row>
    <row r="1928" spans="6:9" x14ac:dyDescent="0.3">
      <c r="F1928" s="26"/>
      <c r="G1928" s="26"/>
      <c r="H1928" s="26"/>
      <c r="I1928" s="26"/>
    </row>
    <row r="1929" spans="6:9" x14ac:dyDescent="0.3">
      <c r="F1929" s="26"/>
      <c r="G1929" s="26"/>
      <c r="H1929" s="26"/>
      <c r="I1929" s="26"/>
    </row>
    <row r="1930" spans="6:9" x14ac:dyDescent="0.3">
      <c r="F1930" s="26"/>
      <c r="G1930" s="26"/>
      <c r="H1930" s="26"/>
      <c r="I1930" s="26"/>
    </row>
    <row r="1931" spans="6:9" x14ac:dyDescent="0.3">
      <c r="F1931" s="26"/>
      <c r="G1931" s="26"/>
      <c r="H1931" s="26"/>
      <c r="I1931" s="26"/>
    </row>
    <row r="1932" spans="6:9" x14ac:dyDescent="0.3">
      <c r="F1932" s="26"/>
      <c r="G1932" s="26"/>
      <c r="H1932" s="26"/>
      <c r="I1932" s="26"/>
    </row>
    <row r="1933" spans="6:9" x14ac:dyDescent="0.3">
      <c r="F1933" s="26"/>
      <c r="G1933" s="26"/>
      <c r="H1933" s="26"/>
      <c r="I1933" s="26"/>
    </row>
    <row r="1934" spans="6:9" x14ac:dyDescent="0.3">
      <c r="F1934" s="26"/>
      <c r="G1934" s="26"/>
      <c r="H1934" s="26"/>
      <c r="I1934" s="26"/>
    </row>
    <row r="1935" spans="6:9" x14ac:dyDescent="0.3">
      <c r="F1935" s="26"/>
      <c r="G1935" s="26"/>
      <c r="H1935" s="26"/>
      <c r="I1935" s="26"/>
    </row>
    <row r="1936" spans="6:9" x14ac:dyDescent="0.3">
      <c r="F1936" s="26"/>
      <c r="G1936" s="26"/>
      <c r="H1936" s="26"/>
      <c r="I1936" s="26"/>
    </row>
    <row r="1937" spans="6:9" x14ac:dyDescent="0.3">
      <c r="F1937" s="26"/>
      <c r="G1937" s="26"/>
      <c r="H1937" s="26"/>
      <c r="I1937" s="26"/>
    </row>
    <row r="1938" spans="6:9" x14ac:dyDescent="0.3">
      <c r="F1938" s="26"/>
      <c r="G1938" s="26"/>
      <c r="H1938" s="26"/>
      <c r="I1938" s="26"/>
    </row>
    <row r="1939" spans="6:9" x14ac:dyDescent="0.3">
      <c r="F1939" s="26"/>
      <c r="G1939" s="26"/>
      <c r="H1939" s="26"/>
      <c r="I1939" s="26"/>
    </row>
    <row r="1940" spans="6:9" x14ac:dyDescent="0.3">
      <c r="F1940" s="26"/>
      <c r="G1940" s="26"/>
      <c r="H1940" s="26"/>
      <c r="I1940" s="26"/>
    </row>
    <row r="1941" spans="6:9" x14ac:dyDescent="0.3">
      <c r="F1941" s="26"/>
      <c r="G1941" s="26"/>
      <c r="H1941" s="26"/>
      <c r="I1941" s="26"/>
    </row>
    <row r="1942" spans="6:9" x14ac:dyDescent="0.3">
      <c r="F1942" s="26"/>
      <c r="G1942" s="26"/>
      <c r="H1942" s="26"/>
      <c r="I1942" s="26"/>
    </row>
    <row r="1943" spans="6:9" x14ac:dyDescent="0.3">
      <c r="F1943" s="26"/>
      <c r="G1943" s="26"/>
      <c r="H1943" s="26"/>
      <c r="I1943" s="26"/>
    </row>
    <row r="1944" spans="6:9" x14ac:dyDescent="0.3">
      <c r="F1944" s="26"/>
      <c r="G1944" s="26"/>
      <c r="H1944" s="26"/>
      <c r="I1944" s="26"/>
    </row>
    <row r="1945" spans="6:9" x14ac:dyDescent="0.3">
      <c r="F1945" s="26"/>
      <c r="G1945" s="26"/>
      <c r="H1945" s="26"/>
      <c r="I1945" s="26"/>
    </row>
    <row r="1946" spans="6:9" x14ac:dyDescent="0.3">
      <c r="F1946" s="26"/>
      <c r="G1946" s="26"/>
      <c r="H1946" s="26"/>
      <c r="I1946" s="26"/>
    </row>
    <row r="1947" spans="6:9" x14ac:dyDescent="0.3">
      <c r="F1947" s="26"/>
      <c r="G1947" s="26"/>
      <c r="H1947" s="26"/>
      <c r="I1947" s="26"/>
    </row>
    <row r="1948" spans="6:9" x14ac:dyDescent="0.3">
      <c r="F1948" s="26"/>
      <c r="G1948" s="26"/>
      <c r="H1948" s="26"/>
      <c r="I1948" s="26"/>
    </row>
    <row r="1949" spans="6:9" x14ac:dyDescent="0.3">
      <c r="F1949" s="26"/>
      <c r="G1949" s="26"/>
      <c r="H1949" s="26"/>
      <c r="I1949" s="26"/>
    </row>
    <row r="1950" spans="6:9" x14ac:dyDescent="0.3">
      <c r="F1950" s="26"/>
      <c r="G1950" s="26"/>
      <c r="H1950" s="26"/>
      <c r="I1950" s="26"/>
    </row>
    <row r="1951" spans="6:9" x14ac:dyDescent="0.3">
      <c r="F1951" s="26"/>
      <c r="G1951" s="26"/>
      <c r="H1951" s="26"/>
      <c r="I1951" s="26"/>
    </row>
    <row r="1952" spans="6:9" x14ac:dyDescent="0.3">
      <c r="F1952" s="26"/>
      <c r="G1952" s="26"/>
      <c r="H1952" s="26"/>
      <c r="I1952" s="26"/>
    </row>
    <row r="1953" spans="6:9" x14ac:dyDescent="0.3">
      <c r="F1953" s="26"/>
      <c r="G1953" s="26"/>
      <c r="H1953" s="26"/>
      <c r="I1953" s="26"/>
    </row>
    <row r="1954" spans="6:9" x14ac:dyDescent="0.3">
      <c r="F1954" s="26"/>
      <c r="G1954" s="26"/>
      <c r="H1954" s="26"/>
      <c r="I1954" s="26"/>
    </row>
    <row r="1955" spans="6:9" x14ac:dyDescent="0.3">
      <c r="F1955" s="26"/>
      <c r="G1955" s="26"/>
      <c r="H1955" s="26"/>
      <c r="I1955" s="26"/>
    </row>
    <row r="1956" spans="6:9" x14ac:dyDescent="0.3">
      <c r="F1956" s="26"/>
      <c r="G1956" s="26"/>
      <c r="H1956" s="26"/>
      <c r="I1956" s="26"/>
    </row>
    <row r="1957" spans="6:9" x14ac:dyDescent="0.3">
      <c r="F1957" s="26"/>
      <c r="G1957" s="26"/>
      <c r="H1957" s="26"/>
      <c r="I1957" s="26"/>
    </row>
    <row r="1958" spans="6:9" x14ac:dyDescent="0.3">
      <c r="F1958" s="26"/>
      <c r="G1958" s="26"/>
      <c r="H1958" s="26"/>
      <c r="I1958" s="26"/>
    </row>
    <row r="1959" spans="6:9" x14ac:dyDescent="0.3">
      <c r="F1959" s="26"/>
      <c r="G1959" s="26"/>
      <c r="H1959" s="26"/>
      <c r="I1959" s="26"/>
    </row>
    <row r="1960" spans="6:9" x14ac:dyDescent="0.3">
      <c r="F1960" s="26"/>
      <c r="G1960" s="26"/>
      <c r="H1960" s="26"/>
      <c r="I1960" s="26"/>
    </row>
    <row r="1961" spans="6:9" x14ac:dyDescent="0.3">
      <c r="F1961" s="26"/>
      <c r="G1961" s="26"/>
      <c r="H1961" s="26"/>
      <c r="I1961" s="26"/>
    </row>
    <row r="1962" spans="6:9" x14ac:dyDescent="0.3">
      <c r="F1962" s="26"/>
      <c r="G1962" s="26"/>
      <c r="H1962" s="26"/>
      <c r="I1962" s="26"/>
    </row>
    <row r="1963" spans="6:9" x14ac:dyDescent="0.3">
      <c r="F1963" s="26"/>
      <c r="G1963" s="26"/>
      <c r="H1963" s="26"/>
      <c r="I1963" s="26"/>
    </row>
    <row r="1964" spans="6:9" x14ac:dyDescent="0.3">
      <c r="F1964" s="26"/>
      <c r="G1964" s="26"/>
      <c r="H1964" s="26"/>
      <c r="I1964" s="26"/>
    </row>
    <row r="1965" spans="6:9" x14ac:dyDescent="0.3">
      <c r="F1965" s="26"/>
      <c r="G1965" s="26"/>
      <c r="H1965" s="26"/>
      <c r="I1965" s="26"/>
    </row>
    <row r="1966" spans="6:9" x14ac:dyDescent="0.3">
      <c r="F1966" s="26"/>
      <c r="G1966" s="26"/>
      <c r="H1966" s="26"/>
      <c r="I1966" s="26"/>
    </row>
    <row r="1967" spans="6:9" x14ac:dyDescent="0.3">
      <c r="F1967" s="26"/>
      <c r="G1967" s="26"/>
      <c r="H1967" s="26"/>
      <c r="I1967" s="26"/>
    </row>
    <row r="1968" spans="6:9" x14ac:dyDescent="0.3">
      <c r="F1968" s="26"/>
      <c r="G1968" s="26"/>
      <c r="H1968" s="26"/>
      <c r="I1968" s="26"/>
    </row>
    <row r="1969" spans="6:9" x14ac:dyDescent="0.3">
      <c r="F1969" s="26"/>
      <c r="G1969" s="26"/>
      <c r="H1969" s="26"/>
      <c r="I1969" s="26"/>
    </row>
    <row r="1970" spans="6:9" x14ac:dyDescent="0.3">
      <c r="F1970" s="26"/>
      <c r="G1970" s="26"/>
      <c r="H1970" s="26"/>
      <c r="I1970" s="26"/>
    </row>
    <row r="1971" spans="6:9" x14ac:dyDescent="0.3">
      <c r="F1971" s="26"/>
      <c r="G1971" s="26"/>
      <c r="H1971" s="26"/>
      <c r="I1971" s="26"/>
    </row>
    <row r="1972" spans="6:9" x14ac:dyDescent="0.3">
      <c r="F1972" s="26"/>
      <c r="G1972" s="26"/>
      <c r="H1972" s="26"/>
      <c r="I1972" s="26"/>
    </row>
    <row r="1973" spans="6:9" x14ac:dyDescent="0.3">
      <c r="F1973" s="26"/>
      <c r="G1973" s="26"/>
      <c r="H1973" s="26"/>
      <c r="I1973" s="26"/>
    </row>
    <row r="1974" spans="6:9" x14ac:dyDescent="0.3">
      <c r="F1974" s="26"/>
      <c r="G1974" s="26"/>
      <c r="H1974" s="26"/>
      <c r="I1974" s="26"/>
    </row>
    <row r="1975" spans="6:9" x14ac:dyDescent="0.3">
      <c r="F1975" s="26"/>
      <c r="G1975" s="26"/>
      <c r="H1975" s="26"/>
      <c r="I1975" s="26"/>
    </row>
    <row r="1976" spans="6:9" x14ac:dyDescent="0.3">
      <c r="F1976" s="26"/>
      <c r="G1976" s="26"/>
      <c r="H1976" s="26"/>
      <c r="I1976" s="26"/>
    </row>
    <row r="1977" spans="6:9" x14ac:dyDescent="0.3">
      <c r="F1977" s="26"/>
      <c r="G1977" s="26"/>
      <c r="H1977" s="26"/>
      <c r="I1977" s="26"/>
    </row>
    <row r="1978" spans="6:9" x14ac:dyDescent="0.3">
      <c r="F1978" s="26"/>
      <c r="G1978" s="26"/>
      <c r="H1978" s="26"/>
      <c r="I1978" s="26"/>
    </row>
    <row r="1979" spans="6:9" x14ac:dyDescent="0.3">
      <c r="F1979" s="26"/>
      <c r="G1979" s="26"/>
      <c r="H1979" s="26"/>
      <c r="I1979" s="26"/>
    </row>
    <row r="1980" spans="6:9" x14ac:dyDescent="0.3">
      <c r="F1980" s="26"/>
      <c r="G1980" s="26"/>
      <c r="H1980" s="26"/>
      <c r="I1980" s="26"/>
    </row>
    <row r="1981" spans="6:9" x14ac:dyDescent="0.3">
      <c r="F1981" s="26"/>
      <c r="G1981" s="26"/>
      <c r="H1981" s="26"/>
      <c r="I1981" s="26"/>
    </row>
    <row r="1982" spans="6:9" x14ac:dyDescent="0.3">
      <c r="F1982" s="26"/>
      <c r="G1982" s="26"/>
      <c r="H1982" s="26"/>
      <c r="I1982" s="26"/>
    </row>
    <row r="1983" spans="6:9" x14ac:dyDescent="0.3">
      <c r="F1983" s="26"/>
      <c r="G1983" s="26"/>
      <c r="H1983" s="26"/>
      <c r="I1983" s="26"/>
    </row>
    <row r="1984" spans="6:9" x14ac:dyDescent="0.3">
      <c r="F1984" s="26"/>
      <c r="G1984" s="26"/>
      <c r="H1984" s="26"/>
      <c r="I1984" s="26"/>
    </row>
    <row r="1985" spans="6:9" x14ac:dyDescent="0.3">
      <c r="F1985" s="26"/>
      <c r="G1985" s="26"/>
      <c r="H1985" s="26"/>
      <c r="I1985" s="26"/>
    </row>
    <row r="1986" spans="6:9" x14ac:dyDescent="0.3">
      <c r="F1986" s="26"/>
      <c r="G1986" s="26"/>
      <c r="H1986" s="26"/>
      <c r="I1986" s="26"/>
    </row>
    <row r="1987" spans="6:9" x14ac:dyDescent="0.3">
      <c r="F1987" s="26"/>
      <c r="G1987" s="26"/>
      <c r="H1987" s="26"/>
      <c r="I1987" s="26"/>
    </row>
    <row r="1988" spans="6:9" x14ac:dyDescent="0.3">
      <c r="F1988" s="26"/>
      <c r="G1988" s="26"/>
      <c r="H1988" s="26"/>
      <c r="I1988" s="26"/>
    </row>
    <row r="1989" spans="6:9" x14ac:dyDescent="0.3">
      <c r="F1989" s="26"/>
      <c r="G1989" s="26"/>
      <c r="H1989" s="26"/>
      <c r="I1989" s="26"/>
    </row>
    <row r="1990" spans="6:9" x14ac:dyDescent="0.3">
      <c r="F1990" s="26"/>
      <c r="G1990" s="26"/>
      <c r="H1990" s="26"/>
      <c r="I1990" s="26"/>
    </row>
    <row r="1991" spans="6:9" x14ac:dyDescent="0.3">
      <c r="F1991" s="26"/>
      <c r="G1991" s="26"/>
      <c r="H1991" s="26"/>
      <c r="I1991" s="26"/>
    </row>
    <row r="1992" spans="6:9" x14ac:dyDescent="0.3">
      <c r="F1992" s="26"/>
      <c r="G1992" s="26"/>
      <c r="H1992" s="26"/>
      <c r="I1992" s="26"/>
    </row>
    <row r="1993" spans="6:9" x14ac:dyDescent="0.3">
      <c r="F1993" s="26"/>
      <c r="G1993" s="26"/>
      <c r="H1993" s="26"/>
      <c r="I1993" s="26"/>
    </row>
    <row r="1994" spans="6:9" x14ac:dyDescent="0.3">
      <c r="F1994" s="26"/>
      <c r="G1994" s="26"/>
      <c r="H1994" s="26"/>
      <c r="I1994" s="26"/>
    </row>
    <row r="1995" spans="6:9" x14ac:dyDescent="0.3">
      <c r="F1995" s="26"/>
      <c r="G1995" s="26"/>
      <c r="H1995" s="26"/>
      <c r="I1995" s="26"/>
    </row>
    <row r="1996" spans="6:9" x14ac:dyDescent="0.3">
      <c r="F1996" s="26"/>
      <c r="G1996" s="26"/>
      <c r="H1996" s="26"/>
      <c r="I1996" s="26"/>
    </row>
    <row r="1997" spans="6:9" x14ac:dyDescent="0.3">
      <c r="F1997" s="26"/>
      <c r="G1997" s="26"/>
      <c r="H1997" s="26"/>
      <c r="I1997" s="26"/>
    </row>
    <row r="1998" spans="6:9" x14ac:dyDescent="0.3">
      <c r="F1998" s="26"/>
      <c r="G1998" s="26"/>
      <c r="H1998" s="26"/>
      <c r="I1998" s="26"/>
    </row>
    <row r="1999" spans="6:9" x14ac:dyDescent="0.3">
      <c r="F1999" s="26"/>
      <c r="G1999" s="26"/>
      <c r="H1999" s="26"/>
      <c r="I1999" s="26"/>
    </row>
    <row r="2000" spans="6:9" x14ac:dyDescent="0.3">
      <c r="F2000" s="26"/>
      <c r="G2000" s="26"/>
      <c r="H2000" s="26"/>
      <c r="I2000" s="26"/>
    </row>
    <row r="2001" spans="6:9" x14ac:dyDescent="0.3">
      <c r="F2001" s="26"/>
      <c r="G2001" s="26"/>
      <c r="H2001" s="26"/>
      <c r="I2001" s="26"/>
    </row>
    <row r="2002" spans="6:9" x14ac:dyDescent="0.3">
      <c r="F2002" s="26"/>
      <c r="G2002" s="26"/>
      <c r="H2002" s="26"/>
      <c r="I2002" s="26"/>
    </row>
    <row r="2003" spans="6:9" x14ac:dyDescent="0.3">
      <c r="F2003" s="26"/>
      <c r="G2003" s="26"/>
      <c r="H2003" s="26"/>
      <c r="I2003" s="26"/>
    </row>
    <row r="2004" spans="6:9" x14ac:dyDescent="0.3">
      <c r="F2004" s="26"/>
      <c r="G2004" s="26"/>
      <c r="H2004" s="26"/>
      <c r="I2004" s="26"/>
    </row>
    <row r="2005" spans="6:9" x14ac:dyDescent="0.3">
      <c r="F2005" s="26"/>
      <c r="G2005" s="26"/>
      <c r="H2005" s="26"/>
      <c r="I2005" s="26"/>
    </row>
    <row r="2006" spans="6:9" x14ac:dyDescent="0.3">
      <c r="F2006" s="26"/>
      <c r="G2006" s="26"/>
      <c r="H2006" s="26"/>
      <c r="I2006" s="26"/>
    </row>
    <row r="2007" spans="6:9" x14ac:dyDescent="0.3">
      <c r="F2007" s="26"/>
      <c r="G2007" s="26"/>
      <c r="H2007" s="26"/>
      <c r="I2007" s="26"/>
    </row>
    <row r="2008" spans="6:9" x14ac:dyDescent="0.3">
      <c r="F2008" s="26"/>
      <c r="G2008" s="26"/>
      <c r="H2008" s="26"/>
      <c r="I2008" s="26"/>
    </row>
    <row r="2009" spans="6:9" x14ac:dyDescent="0.3">
      <c r="F2009" s="26"/>
      <c r="G2009" s="26"/>
      <c r="H2009" s="26"/>
      <c r="I2009" s="26"/>
    </row>
    <row r="2010" spans="6:9" x14ac:dyDescent="0.3">
      <c r="F2010" s="26"/>
      <c r="G2010" s="26"/>
      <c r="H2010" s="26"/>
      <c r="I2010" s="26"/>
    </row>
    <row r="2011" spans="6:9" x14ac:dyDescent="0.3">
      <c r="F2011" s="26"/>
      <c r="G2011" s="26"/>
      <c r="H2011" s="26"/>
      <c r="I2011" s="26"/>
    </row>
    <row r="2012" spans="6:9" x14ac:dyDescent="0.3">
      <c r="F2012" s="26"/>
      <c r="G2012" s="26"/>
      <c r="H2012" s="26"/>
      <c r="I2012" s="26"/>
    </row>
    <row r="2013" spans="6:9" x14ac:dyDescent="0.3">
      <c r="F2013" s="26"/>
      <c r="G2013" s="26"/>
      <c r="H2013" s="26"/>
      <c r="I2013" s="26"/>
    </row>
    <row r="2014" spans="6:9" x14ac:dyDescent="0.3">
      <c r="F2014" s="26"/>
      <c r="G2014" s="26"/>
      <c r="H2014" s="26"/>
      <c r="I2014" s="26"/>
    </row>
    <row r="2015" spans="6:9" x14ac:dyDescent="0.3">
      <c r="F2015" s="26"/>
      <c r="G2015" s="26"/>
      <c r="H2015" s="26"/>
      <c r="I2015" s="26"/>
    </row>
    <row r="2016" spans="6:9" x14ac:dyDescent="0.3">
      <c r="F2016" s="26"/>
      <c r="G2016" s="26"/>
      <c r="H2016" s="26"/>
      <c r="I2016" s="26"/>
    </row>
    <row r="2017" spans="6:9" x14ac:dyDescent="0.3">
      <c r="F2017" s="26"/>
      <c r="G2017" s="26"/>
      <c r="H2017" s="26"/>
      <c r="I2017" s="26"/>
    </row>
    <row r="2018" spans="6:9" x14ac:dyDescent="0.3">
      <c r="F2018" s="26"/>
      <c r="G2018" s="26"/>
      <c r="H2018" s="26"/>
      <c r="I2018" s="26"/>
    </row>
    <row r="2019" spans="6:9" x14ac:dyDescent="0.3">
      <c r="F2019" s="26"/>
      <c r="G2019" s="26"/>
      <c r="H2019" s="26"/>
      <c r="I2019" s="26"/>
    </row>
    <row r="2020" spans="6:9" x14ac:dyDescent="0.3">
      <c r="F2020" s="26"/>
      <c r="G2020" s="26"/>
      <c r="H2020" s="26"/>
      <c r="I2020" s="26"/>
    </row>
    <row r="2021" spans="6:9" x14ac:dyDescent="0.3">
      <c r="F2021" s="26"/>
      <c r="G2021" s="26"/>
      <c r="H2021" s="26"/>
      <c r="I2021" s="26"/>
    </row>
    <row r="2022" spans="6:9" x14ac:dyDescent="0.3">
      <c r="F2022" s="26"/>
      <c r="G2022" s="26"/>
      <c r="H2022" s="26"/>
      <c r="I2022" s="26"/>
    </row>
    <row r="2023" spans="6:9" x14ac:dyDescent="0.3">
      <c r="F2023" s="26"/>
      <c r="G2023" s="26"/>
      <c r="H2023" s="26"/>
      <c r="I2023" s="26"/>
    </row>
    <row r="2024" spans="6:9" x14ac:dyDescent="0.3">
      <c r="F2024" s="26"/>
      <c r="G2024" s="26"/>
      <c r="H2024" s="26"/>
      <c r="I2024" s="26"/>
    </row>
    <row r="2025" spans="6:9" x14ac:dyDescent="0.3">
      <c r="F2025" s="26"/>
      <c r="G2025" s="26"/>
      <c r="H2025" s="26"/>
      <c r="I2025" s="26"/>
    </row>
    <row r="2026" spans="6:9" x14ac:dyDescent="0.3">
      <c r="F2026" s="26"/>
      <c r="G2026" s="26"/>
      <c r="H2026" s="26"/>
      <c r="I2026" s="26"/>
    </row>
    <row r="2027" spans="6:9" x14ac:dyDescent="0.3">
      <c r="F2027" s="26"/>
      <c r="G2027" s="26"/>
      <c r="H2027" s="26"/>
      <c r="I2027" s="26"/>
    </row>
    <row r="2028" spans="6:9" x14ac:dyDescent="0.3">
      <c r="F2028" s="26"/>
      <c r="G2028" s="26"/>
      <c r="H2028" s="26"/>
      <c r="I2028" s="26"/>
    </row>
    <row r="2029" spans="6:9" x14ac:dyDescent="0.3">
      <c r="F2029" s="26"/>
      <c r="G2029" s="26"/>
      <c r="H2029" s="26"/>
      <c r="I2029" s="26"/>
    </row>
    <row r="2030" spans="6:9" x14ac:dyDescent="0.3">
      <c r="F2030" s="26"/>
      <c r="G2030" s="26"/>
      <c r="H2030" s="26"/>
      <c r="I2030" s="26"/>
    </row>
    <row r="2031" spans="6:9" x14ac:dyDescent="0.3">
      <c r="F2031" s="26"/>
      <c r="G2031" s="26"/>
      <c r="H2031" s="26"/>
      <c r="I2031" s="26"/>
    </row>
    <row r="2032" spans="6:9" x14ac:dyDescent="0.3">
      <c r="F2032" s="26"/>
      <c r="G2032" s="26"/>
      <c r="H2032" s="26"/>
      <c r="I2032" s="26"/>
    </row>
    <row r="2033" spans="6:9" x14ac:dyDescent="0.3">
      <c r="F2033" s="26"/>
      <c r="G2033" s="26"/>
      <c r="H2033" s="26"/>
      <c r="I2033" s="26"/>
    </row>
    <row r="2034" spans="6:9" x14ac:dyDescent="0.3">
      <c r="F2034" s="26"/>
      <c r="G2034" s="26"/>
      <c r="H2034" s="26"/>
      <c r="I2034" s="26"/>
    </row>
    <row r="2035" spans="6:9" x14ac:dyDescent="0.3">
      <c r="F2035" s="26"/>
      <c r="G2035" s="26"/>
      <c r="H2035" s="26"/>
      <c r="I2035" s="26"/>
    </row>
    <row r="2036" spans="6:9" x14ac:dyDescent="0.3">
      <c r="F2036" s="26"/>
      <c r="G2036" s="26"/>
      <c r="H2036" s="26"/>
      <c r="I2036" s="26"/>
    </row>
    <row r="2037" spans="6:9" x14ac:dyDescent="0.3">
      <c r="F2037" s="26"/>
      <c r="G2037" s="26"/>
      <c r="H2037" s="26"/>
      <c r="I2037" s="26"/>
    </row>
    <row r="2038" spans="6:9" x14ac:dyDescent="0.3">
      <c r="F2038" s="26"/>
      <c r="G2038" s="26"/>
      <c r="H2038" s="26"/>
      <c r="I2038" s="26"/>
    </row>
    <row r="2039" spans="6:9" x14ac:dyDescent="0.3">
      <c r="F2039" s="26"/>
      <c r="G2039" s="26"/>
      <c r="H2039" s="26"/>
      <c r="I2039" s="26"/>
    </row>
    <row r="2040" spans="6:9" x14ac:dyDescent="0.3">
      <c r="F2040" s="26"/>
      <c r="G2040" s="26"/>
      <c r="H2040" s="26"/>
      <c r="I2040" s="26"/>
    </row>
    <row r="2041" spans="6:9" x14ac:dyDescent="0.3">
      <c r="F2041" s="26"/>
      <c r="G2041" s="26"/>
      <c r="H2041" s="26"/>
      <c r="I2041" s="26"/>
    </row>
    <row r="2042" spans="6:9" x14ac:dyDescent="0.3">
      <c r="F2042" s="26"/>
      <c r="G2042" s="26"/>
      <c r="H2042" s="26"/>
      <c r="I2042" s="26"/>
    </row>
    <row r="2043" spans="6:9" x14ac:dyDescent="0.3">
      <c r="F2043" s="26"/>
      <c r="G2043" s="26"/>
      <c r="H2043" s="26"/>
      <c r="I2043" s="26"/>
    </row>
    <row r="2044" spans="6:9" x14ac:dyDescent="0.3">
      <c r="F2044" s="26"/>
      <c r="G2044" s="26"/>
      <c r="H2044" s="26"/>
      <c r="I2044" s="26"/>
    </row>
    <row r="2045" spans="6:9" x14ac:dyDescent="0.3">
      <c r="F2045" s="26"/>
      <c r="G2045" s="26"/>
      <c r="H2045" s="26"/>
      <c r="I2045" s="26"/>
    </row>
    <row r="2046" spans="6:9" x14ac:dyDescent="0.3">
      <c r="F2046" s="26"/>
      <c r="G2046" s="26"/>
      <c r="H2046" s="26"/>
      <c r="I2046" s="26"/>
    </row>
    <row r="2047" spans="6:9" x14ac:dyDescent="0.3">
      <c r="F2047" s="26"/>
      <c r="G2047" s="26"/>
      <c r="H2047" s="26"/>
      <c r="I2047" s="26"/>
    </row>
    <row r="2048" spans="6:9" x14ac:dyDescent="0.3">
      <c r="F2048" s="26"/>
      <c r="G2048" s="26"/>
      <c r="H2048" s="26"/>
      <c r="I2048" s="26"/>
    </row>
    <row r="2049" spans="6:9" x14ac:dyDescent="0.3">
      <c r="F2049" s="26"/>
      <c r="G2049" s="26"/>
      <c r="H2049" s="26"/>
      <c r="I2049" s="26"/>
    </row>
    <row r="2050" spans="6:9" x14ac:dyDescent="0.3">
      <c r="F2050" s="26"/>
      <c r="G2050" s="26"/>
      <c r="H2050" s="26"/>
      <c r="I2050" s="26"/>
    </row>
    <row r="2051" spans="6:9" x14ac:dyDescent="0.3">
      <c r="F2051" s="26"/>
      <c r="G2051" s="26"/>
      <c r="H2051" s="26"/>
      <c r="I2051" s="26"/>
    </row>
    <row r="2052" spans="6:9" x14ac:dyDescent="0.3">
      <c r="F2052" s="26"/>
      <c r="G2052" s="26"/>
      <c r="H2052" s="26"/>
      <c r="I2052" s="26"/>
    </row>
    <row r="2053" spans="6:9" x14ac:dyDescent="0.3">
      <c r="F2053" s="26"/>
      <c r="G2053" s="26"/>
      <c r="H2053" s="26"/>
      <c r="I2053" s="26"/>
    </row>
    <row r="2054" spans="6:9" x14ac:dyDescent="0.3">
      <c r="F2054" s="26"/>
      <c r="G2054" s="26"/>
      <c r="H2054" s="26"/>
      <c r="I2054" s="26"/>
    </row>
    <row r="2055" spans="6:9" x14ac:dyDescent="0.3">
      <c r="F2055" s="26"/>
      <c r="G2055" s="26"/>
      <c r="H2055" s="26"/>
      <c r="I2055" s="26"/>
    </row>
    <row r="2056" spans="6:9" x14ac:dyDescent="0.3">
      <c r="F2056" s="26"/>
      <c r="G2056" s="26"/>
      <c r="H2056" s="26"/>
      <c r="I2056" s="26"/>
    </row>
    <row r="2057" spans="6:9" x14ac:dyDescent="0.3">
      <c r="F2057" s="26"/>
      <c r="G2057" s="26"/>
      <c r="H2057" s="26"/>
      <c r="I2057" s="26"/>
    </row>
    <row r="2058" spans="6:9" x14ac:dyDescent="0.3">
      <c r="F2058" s="26"/>
      <c r="G2058" s="26"/>
      <c r="H2058" s="26"/>
      <c r="I2058" s="26"/>
    </row>
    <row r="2059" spans="6:9" x14ac:dyDescent="0.3">
      <c r="F2059" s="26"/>
      <c r="G2059" s="26"/>
      <c r="H2059" s="26"/>
      <c r="I2059" s="26"/>
    </row>
    <row r="2060" spans="6:9" x14ac:dyDescent="0.3">
      <c r="F2060" s="26"/>
      <c r="G2060" s="26"/>
      <c r="H2060" s="26"/>
      <c r="I2060" s="26"/>
    </row>
    <row r="2061" spans="6:9" x14ac:dyDescent="0.3">
      <c r="F2061" s="26"/>
      <c r="G2061" s="26"/>
      <c r="H2061" s="26"/>
      <c r="I2061" s="26"/>
    </row>
    <row r="2062" spans="6:9" x14ac:dyDescent="0.3">
      <c r="F2062" s="26"/>
      <c r="G2062" s="26"/>
      <c r="H2062" s="26"/>
      <c r="I2062" s="26"/>
    </row>
    <row r="2063" spans="6:9" x14ac:dyDescent="0.3">
      <c r="F2063" s="26"/>
      <c r="G2063" s="26"/>
      <c r="H2063" s="26"/>
      <c r="I2063" s="26"/>
    </row>
    <row r="2064" spans="6:9" x14ac:dyDescent="0.3">
      <c r="F2064" s="26"/>
      <c r="G2064" s="26"/>
      <c r="H2064" s="26"/>
      <c r="I2064" s="26"/>
    </row>
    <row r="2065" spans="6:9" x14ac:dyDescent="0.3">
      <c r="F2065" s="26"/>
      <c r="G2065" s="26"/>
      <c r="H2065" s="26"/>
      <c r="I2065" s="26"/>
    </row>
    <row r="2066" spans="6:9" x14ac:dyDescent="0.3">
      <c r="F2066" s="26"/>
      <c r="G2066" s="26"/>
      <c r="H2066" s="26"/>
      <c r="I2066" s="26"/>
    </row>
    <row r="2067" spans="6:9" x14ac:dyDescent="0.3">
      <c r="F2067" s="26"/>
      <c r="G2067" s="26"/>
      <c r="H2067" s="26"/>
      <c r="I2067" s="26"/>
    </row>
    <row r="2068" spans="6:9" x14ac:dyDescent="0.3">
      <c r="F2068" s="26"/>
      <c r="G2068" s="26"/>
      <c r="H2068" s="26"/>
      <c r="I2068" s="26"/>
    </row>
    <row r="2069" spans="6:9" x14ac:dyDescent="0.3">
      <c r="F2069" s="26"/>
      <c r="G2069" s="26"/>
      <c r="H2069" s="26"/>
      <c r="I2069" s="26"/>
    </row>
    <row r="2070" spans="6:9" x14ac:dyDescent="0.3">
      <c r="F2070" s="26"/>
      <c r="G2070" s="26"/>
      <c r="H2070" s="26"/>
      <c r="I2070" s="26"/>
    </row>
    <row r="2071" spans="6:9" x14ac:dyDescent="0.3">
      <c r="F2071" s="26"/>
      <c r="G2071" s="26"/>
      <c r="H2071" s="26"/>
      <c r="I2071" s="26"/>
    </row>
    <row r="2072" spans="6:9" x14ac:dyDescent="0.3">
      <c r="F2072" s="26"/>
      <c r="G2072" s="26"/>
      <c r="H2072" s="26"/>
      <c r="I2072" s="26"/>
    </row>
    <row r="2073" spans="6:9" x14ac:dyDescent="0.3">
      <c r="F2073" s="26"/>
      <c r="G2073" s="26"/>
      <c r="H2073" s="26"/>
      <c r="I2073" s="26"/>
    </row>
    <row r="2074" spans="6:9" x14ac:dyDescent="0.3">
      <c r="F2074" s="26"/>
      <c r="G2074" s="26"/>
      <c r="H2074" s="26"/>
      <c r="I2074" s="26"/>
    </row>
    <row r="2075" spans="6:9" x14ac:dyDescent="0.3">
      <c r="F2075" s="26"/>
      <c r="G2075" s="26"/>
      <c r="H2075" s="26"/>
      <c r="I2075" s="26"/>
    </row>
    <row r="2076" spans="6:9" x14ac:dyDescent="0.3">
      <c r="F2076" s="26"/>
      <c r="G2076" s="26"/>
      <c r="H2076" s="26"/>
      <c r="I2076" s="26"/>
    </row>
    <row r="2077" spans="6:9" x14ac:dyDescent="0.3">
      <c r="F2077" s="26"/>
      <c r="G2077" s="26"/>
      <c r="H2077" s="26"/>
      <c r="I2077" s="26"/>
    </row>
    <row r="2078" spans="6:9" x14ac:dyDescent="0.3">
      <c r="F2078" s="26"/>
      <c r="G2078" s="26"/>
      <c r="H2078" s="26"/>
      <c r="I2078" s="26"/>
    </row>
    <row r="2079" spans="6:9" x14ac:dyDescent="0.3">
      <c r="F2079" s="26"/>
      <c r="G2079" s="26"/>
      <c r="H2079" s="26"/>
      <c r="I2079" s="26"/>
    </row>
    <row r="2080" spans="6:9" x14ac:dyDescent="0.3">
      <c r="F2080" s="26"/>
      <c r="G2080" s="26"/>
      <c r="H2080" s="26"/>
      <c r="I2080" s="26"/>
    </row>
    <row r="2081" spans="6:9" x14ac:dyDescent="0.3">
      <c r="F2081" s="26"/>
      <c r="G2081" s="26"/>
      <c r="H2081" s="26"/>
      <c r="I2081" s="26"/>
    </row>
    <row r="2082" spans="6:9" x14ac:dyDescent="0.3">
      <c r="F2082" s="26"/>
      <c r="G2082" s="26"/>
      <c r="H2082" s="26"/>
      <c r="I2082" s="26"/>
    </row>
    <row r="2083" spans="6:9" x14ac:dyDescent="0.3">
      <c r="F2083" s="26"/>
      <c r="G2083" s="26"/>
      <c r="H2083" s="26"/>
      <c r="I2083" s="26"/>
    </row>
    <row r="2084" spans="6:9" x14ac:dyDescent="0.3">
      <c r="F2084" s="26"/>
      <c r="G2084" s="26"/>
      <c r="H2084" s="26"/>
      <c r="I2084" s="26"/>
    </row>
    <row r="2085" spans="6:9" x14ac:dyDescent="0.3">
      <c r="F2085" s="26"/>
      <c r="G2085" s="26"/>
      <c r="H2085" s="26"/>
      <c r="I2085" s="26"/>
    </row>
    <row r="2086" spans="6:9" x14ac:dyDescent="0.3">
      <c r="F2086" s="26"/>
      <c r="G2086" s="26"/>
      <c r="H2086" s="26"/>
      <c r="I2086" s="26"/>
    </row>
    <row r="2087" spans="6:9" x14ac:dyDescent="0.3">
      <c r="F2087" s="26"/>
      <c r="G2087" s="26"/>
      <c r="H2087" s="26"/>
      <c r="I2087" s="26"/>
    </row>
    <row r="2088" spans="6:9" x14ac:dyDescent="0.3">
      <c r="F2088" s="26"/>
      <c r="G2088" s="26"/>
      <c r="H2088" s="26"/>
      <c r="I2088" s="26"/>
    </row>
    <row r="2089" spans="6:9" x14ac:dyDescent="0.3">
      <c r="F2089" s="26"/>
      <c r="G2089" s="26"/>
      <c r="H2089" s="26"/>
      <c r="I2089" s="26"/>
    </row>
    <row r="2090" spans="6:9" x14ac:dyDescent="0.3">
      <c r="F2090" s="26"/>
      <c r="G2090" s="26"/>
      <c r="H2090" s="26"/>
      <c r="I2090" s="26"/>
    </row>
    <row r="2091" spans="6:9" x14ac:dyDescent="0.3">
      <c r="F2091" s="26"/>
      <c r="G2091" s="26"/>
      <c r="H2091" s="26"/>
      <c r="I2091" s="26"/>
    </row>
    <row r="2092" spans="6:9" x14ac:dyDescent="0.3">
      <c r="F2092" s="26"/>
      <c r="G2092" s="26"/>
      <c r="H2092" s="26"/>
      <c r="I2092" s="26"/>
    </row>
    <row r="2093" spans="6:9" x14ac:dyDescent="0.3">
      <c r="F2093" s="26"/>
      <c r="G2093" s="26"/>
      <c r="H2093" s="26"/>
      <c r="I2093" s="26"/>
    </row>
    <row r="2094" spans="6:9" x14ac:dyDescent="0.3">
      <c r="F2094" s="26"/>
      <c r="G2094" s="26"/>
      <c r="H2094" s="26"/>
      <c r="I2094" s="26"/>
    </row>
    <row r="2095" spans="6:9" x14ac:dyDescent="0.3">
      <c r="F2095" s="26"/>
      <c r="G2095" s="26"/>
      <c r="H2095" s="26"/>
      <c r="I2095" s="26"/>
    </row>
    <row r="2096" spans="6:9" x14ac:dyDescent="0.3">
      <c r="F2096" s="26"/>
      <c r="G2096" s="26"/>
      <c r="H2096" s="26"/>
      <c r="I2096" s="26"/>
    </row>
    <row r="2097" spans="6:9" x14ac:dyDescent="0.3">
      <c r="F2097" s="26"/>
      <c r="G2097" s="26"/>
      <c r="H2097" s="26"/>
      <c r="I2097" s="26"/>
    </row>
    <row r="2098" spans="6:9" x14ac:dyDescent="0.3">
      <c r="F2098" s="26"/>
      <c r="G2098" s="26"/>
      <c r="H2098" s="26"/>
      <c r="I2098" s="26"/>
    </row>
    <row r="2099" spans="6:9" x14ac:dyDescent="0.3">
      <c r="F2099" s="26"/>
      <c r="G2099" s="26"/>
      <c r="H2099" s="26"/>
      <c r="I2099" s="26"/>
    </row>
    <row r="2100" spans="6:9" x14ac:dyDescent="0.3">
      <c r="F2100" s="26"/>
      <c r="G2100" s="26"/>
      <c r="H2100" s="26"/>
      <c r="I2100" s="26"/>
    </row>
    <row r="2101" spans="6:9" x14ac:dyDescent="0.3">
      <c r="F2101" s="26"/>
      <c r="G2101" s="26"/>
      <c r="H2101" s="26"/>
      <c r="I2101" s="26"/>
    </row>
    <row r="2102" spans="6:9" x14ac:dyDescent="0.3">
      <c r="F2102" s="26"/>
      <c r="G2102" s="26"/>
      <c r="H2102" s="26"/>
      <c r="I2102" s="26"/>
    </row>
    <row r="2103" spans="6:9" x14ac:dyDescent="0.3">
      <c r="F2103" s="26"/>
      <c r="G2103" s="26"/>
      <c r="H2103" s="26"/>
      <c r="I2103" s="26"/>
    </row>
    <row r="2104" spans="6:9" x14ac:dyDescent="0.3">
      <c r="F2104" s="26"/>
      <c r="G2104" s="26"/>
      <c r="H2104" s="26"/>
      <c r="I2104" s="26"/>
    </row>
    <row r="2105" spans="6:9" x14ac:dyDescent="0.3">
      <c r="F2105" s="26"/>
      <c r="G2105" s="26"/>
      <c r="H2105" s="26"/>
      <c r="I2105" s="26"/>
    </row>
    <row r="2106" spans="6:9" x14ac:dyDescent="0.3">
      <c r="F2106" s="26"/>
      <c r="G2106" s="26"/>
      <c r="H2106" s="26"/>
      <c r="I2106" s="26"/>
    </row>
    <row r="2107" spans="6:9" x14ac:dyDescent="0.3">
      <c r="F2107" s="26"/>
      <c r="G2107" s="26"/>
      <c r="H2107" s="26"/>
      <c r="I2107" s="26"/>
    </row>
    <row r="2108" spans="6:9" x14ac:dyDescent="0.3">
      <c r="F2108" s="26"/>
      <c r="G2108" s="26"/>
      <c r="H2108" s="26"/>
      <c r="I2108" s="26"/>
    </row>
    <row r="2109" spans="6:9" x14ac:dyDescent="0.3">
      <c r="F2109" s="26"/>
      <c r="G2109" s="26"/>
      <c r="H2109" s="26"/>
      <c r="I2109" s="26"/>
    </row>
    <row r="2110" spans="6:9" x14ac:dyDescent="0.3">
      <c r="F2110" s="26"/>
      <c r="G2110" s="26"/>
      <c r="H2110" s="26"/>
      <c r="I2110" s="26"/>
    </row>
    <row r="2111" spans="6:9" x14ac:dyDescent="0.3">
      <c r="F2111" s="26"/>
      <c r="G2111" s="26"/>
      <c r="H2111" s="26"/>
      <c r="I2111" s="26"/>
    </row>
    <row r="2112" spans="6:9" x14ac:dyDescent="0.3">
      <c r="F2112" s="26"/>
      <c r="G2112" s="26"/>
      <c r="H2112" s="26"/>
      <c r="I2112" s="26"/>
    </row>
    <row r="2113" spans="6:9" x14ac:dyDescent="0.3">
      <c r="F2113" s="26"/>
      <c r="G2113" s="26"/>
      <c r="H2113" s="26"/>
      <c r="I2113" s="26"/>
    </row>
    <row r="2114" spans="6:9" x14ac:dyDescent="0.3">
      <c r="F2114" s="26"/>
      <c r="G2114" s="26"/>
      <c r="H2114" s="26"/>
      <c r="I2114" s="26"/>
    </row>
    <row r="2115" spans="6:9" x14ac:dyDescent="0.3">
      <c r="F2115" s="26"/>
      <c r="G2115" s="26"/>
      <c r="H2115" s="26"/>
      <c r="I2115" s="26"/>
    </row>
    <row r="2116" spans="6:9" x14ac:dyDescent="0.3">
      <c r="F2116" s="26"/>
      <c r="G2116" s="26"/>
      <c r="H2116" s="26"/>
      <c r="I2116" s="26"/>
    </row>
    <row r="2117" spans="6:9" x14ac:dyDescent="0.3">
      <c r="F2117" s="26"/>
      <c r="G2117" s="26"/>
      <c r="H2117" s="26"/>
      <c r="I2117" s="26"/>
    </row>
    <row r="2118" spans="6:9" x14ac:dyDescent="0.3">
      <c r="F2118" s="26"/>
      <c r="G2118" s="26"/>
      <c r="H2118" s="26"/>
      <c r="I2118" s="26"/>
    </row>
    <row r="2119" spans="6:9" x14ac:dyDescent="0.3">
      <c r="F2119" s="26"/>
      <c r="G2119" s="26"/>
      <c r="H2119" s="26"/>
      <c r="I2119" s="26"/>
    </row>
    <row r="2120" spans="6:9" x14ac:dyDescent="0.3">
      <c r="F2120" s="26"/>
      <c r="G2120" s="26"/>
      <c r="H2120" s="26"/>
      <c r="I2120" s="26"/>
    </row>
    <row r="2121" spans="6:9" x14ac:dyDescent="0.3">
      <c r="F2121" s="26"/>
      <c r="G2121" s="26"/>
      <c r="H2121" s="26"/>
      <c r="I2121" s="26"/>
    </row>
    <row r="2122" spans="6:9" x14ac:dyDescent="0.3">
      <c r="F2122" s="26"/>
      <c r="G2122" s="26"/>
      <c r="H2122" s="26"/>
      <c r="I2122" s="26"/>
    </row>
    <row r="2123" spans="6:9" x14ac:dyDescent="0.3">
      <c r="F2123" s="26"/>
      <c r="G2123" s="26"/>
      <c r="H2123" s="26"/>
      <c r="I2123" s="26"/>
    </row>
    <row r="2124" spans="6:9" x14ac:dyDescent="0.3">
      <c r="F2124" s="26"/>
      <c r="G2124" s="26"/>
      <c r="H2124" s="26"/>
      <c r="I2124" s="26"/>
    </row>
    <row r="2125" spans="6:9" x14ac:dyDescent="0.3">
      <c r="F2125" s="26"/>
      <c r="G2125" s="26"/>
      <c r="H2125" s="26"/>
      <c r="I2125" s="26"/>
    </row>
    <row r="2126" spans="6:9" x14ac:dyDescent="0.3">
      <c r="F2126" s="26"/>
      <c r="G2126" s="26"/>
      <c r="H2126" s="26"/>
      <c r="I2126" s="26"/>
    </row>
    <row r="2127" spans="6:9" x14ac:dyDescent="0.3">
      <c r="F2127" s="26"/>
      <c r="G2127" s="26"/>
      <c r="H2127" s="26"/>
      <c r="I2127" s="26"/>
    </row>
    <row r="2128" spans="6:9" x14ac:dyDescent="0.3">
      <c r="F2128" s="26"/>
      <c r="G2128" s="26"/>
      <c r="H2128" s="26"/>
      <c r="I2128" s="26"/>
    </row>
    <row r="2129" spans="6:9" x14ac:dyDescent="0.3">
      <c r="F2129" s="26"/>
      <c r="G2129" s="26"/>
      <c r="H2129" s="26"/>
      <c r="I2129" s="26"/>
    </row>
    <row r="2130" spans="6:9" x14ac:dyDescent="0.3">
      <c r="F2130" s="26"/>
      <c r="G2130" s="26"/>
      <c r="H2130" s="26"/>
      <c r="I2130" s="26"/>
    </row>
    <row r="2131" spans="6:9" x14ac:dyDescent="0.3">
      <c r="F2131" s="26"/>
      <c r="G2131" s="26"/>
      <c r="H2131" s="26"/>
      <c r="I2131" s="26"/>
    </row>
    <row r="2132" spans="6:9" x14ac:dyDescent="0.3">
      <c r="F2132" s="26"/>
      <c r="G2132" s="26"/>
      <c r="H2132" s="26"/>
      <c r="I2132" s="26"/>
    </row>
    <row r="2133" spans="6:9" x14ac:dyDescent="0.3">
      <c r="F2133" s="26"/>
      <c r="G2133" s="26"/>
      <c r="H2133" s="26"/>
      <c r="I2133" s="26"/>
    </row>
    <row r="2134" spans="6:9" x14ac:dyDescent="0.3">
      <c r="F2134" s="26"/>
      <c r="G2134" s="26"/>
      <c r="H2134" s="26"/>
      <c r="I2134" s="26"/>
    </row>
    <row r="2135" spans="6:9" x14ac:dyDescent="0.3">
      <c r="F2135" s="26"/>
      <c r="G2135" s="26"/>
      <c r="H2135" s="26"/>
      <c r="I2135" s="26"/>
    </row>
    <row r="2136" spans="6:9" x14ac:dyDescent="0.3">
      <c r="F2136" s="26"/>
      <c r="G2136" s="26"/>
      <c r="H2136" s="26"/>
      <c r="I2136" s="26"/>
    </row>
    <row r="2137" spans="6:9" x14ac:dyDescent="0.3">
      <c r="F2137" s="26"/>
      <c r="G2137" s="26"/>
      <c r="H2137" s="26"/>
      <c r="I2137" s="26"/>
    </row>
    <row r="2138" spans="6:9" x14ac:dyDescent="0.3">
      <c r="F2138" s="26"/>
      <c r="G2138" s="26"/>
      <c r="H2138" s="26"/>
      <c r="I2138" s="26"/>
    </row>
    <row r="2139" spans="6:9" x14ac:dyDescent="0.3">
      <c r="F2139" s="26"/>
      <c r="G2139" s="26"/>
      <c r="H2139" s="26"/>
      <c r="I2139" s="26"/>
    </row>
    <row r="2140" spans="6:9" x14ac:dyDescent="0.3">
      <c r="F2140" s="26"/>
      <c r="G2140" s="26"/>
      <c r="H2140" s="26"/>
      <c r="I2140" s="26"/>
    </row>
    <row r="2141" spans="6:9" x14ac:dyDescent="0.3">
      <c r="F2141" s="26"/>
      <c r="G2141" s="26"/>
      <c r="H2141" s="26"/>
      <c r="I2141" s="26"/>
    </row>
    <row r="2142" spans="6:9" x14ac:dyDescent="0.3">
      <c r="F2142" s="26"/>
      <c r="G2142" s="26"/>
      <c r="H2142" s="26"/>
      <c r="I2142" s="26"/>
    </row>
    <row r="2143" spans="6:9" x14ac:dyDescent="0.3">
      <c r="F2143" s="26"/>
      <c r="G2143" s="26"/>
      <c r="H2143" s="26"/>
      <c r="I2143" s="26"/>
    </row>
    <row r="2144" spans="6:9" x14ac:dyDescent="0.3">
      <c r="F2144" s="26"/>
      <c r="G2144" s="26"/>
      <c r="H2144" s="26"/>
      <c r="I2144" s="26"/>
    </row>
    <row r="2145" spans="6:9" x14ac:dyDescent="0.3">
      <c r="F2145" s="26"/>
      <c r="G2145" s="26"/>
      <c r="H2145" s="26"/>
      <c r="I2145" s="26"/>
    </row>
    <row r="2146" spans="6:9" x14ac:dyDescent="0.3">
      <c r="F2146" s="26"/>
      <c r="G2146" s="26"/>
      <c r="H2146" s="26"/>
      <c r="I2146" s="26"/>
    </row>
    <row r="2147" spans="6:9" x14ac:dyDescent="0.3">
      <c r="F2147" s="26"/>
      <c r="G2147" s="26"/>
      <c r="H2147" s="26"/>
      <c r="I2147" s="26"/>
    </row>
    <row r="2148" spans="6:9" x14ac:dyDescent="0.3">
      <c r="F2148" s="26"/>
      <c r="G2148" s="26"/>
      <c r="H2148" s="26"/>
      <c r="I2148" s="26"/>
    </row>
    <row r="2149" spans="6:9" x14ac:dyDescent="0.3">
      <c r="F2149" s="26"/>
      <c r="G2149" s="26"/>
      <c r="H2149" s="26"/>
      <c r="I2149" s="26"/>
    </row>
    <row r="2150" spans="6:9" x14ac:dyDescent="0.3">
      <c r="F2150" s="26"/>
      <c r="G2150" s="26"/>
      <c r="H2150" s="26"/>
      <c r="I2150" s="26"/>
    </row>
    <row r="2151" spans="6:9" x14ac:dyDescent="0.3">
      <c r="F2151" s="26"/>
      <c r="G2151" s="26"/>
      <c r="H2151" s="26"/>
      <c r="I2151" s="26"/>
    </row>
    <row r="2152" spans="6:9" x14ac:dyDescent="0.3">
      <c r="F2152" s="26"/>
      <c r="G2152" s="26"/>
      <c r="H2152" s="26"/>
      <c r="I2152" s="26"/>
    </row>
    <row r="2153" spans="6:9" x14ac:dyDescent="0.3">
      <c r="F2153" s="26"/>
      <c r="G2153" s="26"/>
      <c r="H2153" s="26"/>
      <c r="I2153" s="26"/>
    </row>
    <row r="2154" spans="6:9" x14ac:dyDescent="0.3">
      <c r="F2154" s="26"/>
      <c r="G2154" s="26"/>
      <c r="H2154" s="26"/>
      <c r="I2154" s="26"/>
    </row>
    <row r="2155" spans="6:9" x14ac:dyDescent="0.3">
      <c r="F2155" s="26"/>
      <c r="G2155" s="26"/>
      <c r="H2155" s="26"/>
      <c r="I2155" s="26"/>
    </row>
    <row r="2156" spans="6:9" x14ac:dyDescent="0.3">
      <c r="F2156" s="26"/>
      <c r="G2156" s="26"/>
      <c r="H2156" s="26"/>
      <c r="I2156" s="26"/>
    </row>
    <row r="2157" spans="6:9" x14ac:dyDescent="0.3">
      <c r="F2157" s="26"/>
      <c r="G2157" s="26"/>
      <c r="H2157" s="26"/>
      <c r="I2157" s="26"/>
    </row>
    <row r="2158" spans="6:9" x14ac:dyDescent="0.3">
      <c r="F2158" s="26"/>
      <c r="G2158" s="26"/>
      <c r="H2158" s="26"/>
      <c r="I2158" s="26"/>
    </row>
    <row r="2159" spans="6:9" x14ac:dyDescent="0.3">
      <c r="F2159" s="26"/>
      <c r="G2159" s="26"/>
      <c r="H2159" s="26"/>
      <c r="I2159" s="26"/>
    </row>
    <row r="2160" spans="6:9" x14ac:dyDescent="0.3">
      <c r="F2160" s="26"/>
      <c r="G2160" s="26"/>
      <c r="H2160" s="26"/>
      <c r="I2160" s="26"/>
    </row>
    <row r="2161" spans="6:9" x14ac:dyDescent="0.3">
      <c r="F2161" s="26"/>
      <c r="G2161" s="26"/>
      <c r="H2161" s="26"/>
      <c r="I2161" s="26"/>
    </row>
    <row r="2162" spans="6:9" x14ac:dyDescent="0.3">
      <c r="F2162" s="26"/>
      <c r="G2162" s="26"/>
      <c r="H2162" s="26"/>
      <c r="I2162" s="26"/>
    </row>
    <row r="2163" spans="6:9" x14ac:dyDescent="0.3">
      <c r="F2163" s="26"/>
      <c r="G2163" s="26"/>
      <c r="H2163" s="26"/>
      <c r="I2163" s="26"/>
    </row>
    <row r="2164" spans="6:9" x14ac:dyDescent="0.3">
      <c r="F2164" s="26"/>
      <c r="G2164" s="26"/>
      <c r="H2164" s="26"/>
      <c r="I2164" s="26"/>
    </row>
    <row r="2165" spans="6:9" x14ac:dyDescent="0.3">
      <c r="F2165" s="26"/>
      <c r="G2165" s="26"/>
      <c r="H2165" s="26"/>
      <c r="I2165" s="26"/>
    </row>
    <row r="2166" spans="6:9" x14ac:dyDescent="0.3">
      <c r="F2166" s="26"/>
      <c r="G2166" s="26"/>
      <c r="H2166" s="26"/>
      <c r="I2166" s="26"/>
    </row>
    <row r="2167" spans="6:9" x14ac:dyDescent="0.3">
      <c r="F2167" s="26"/>
      <c r="G2167" s="26"/>
      <c r="H2167" s="26"/>
      <c r="I2167" s="26"/>
    </row>
    <row r="2168" spans="6:9" x14ac:dyDescent="0.3">
      <c r="F2168" s="26"/>
      <c r="G2168" s="26"/>
      <c r="H2168" s="26"/>
      <c r="I2168" s="26"/>
    </row>
    <row r="2169" spans="6:9" x14ac:dyDescent="0.3">
      <c r="F2169" s="26"/>
      <c r="G2169" s="26"/>
      <c r="H2169" s="26"/>
      <c r="I2169" s="26"/>
    </row>
    <row r="2170" spans="6:9" x14ac:dyDescent="0.3">
      <c r="F2170" s="26"/>
      <c r="G2170" s="26"/>
      <c r="H2170" s="26"/>
      <c r="I2170" s="26"/>
    </row>
    <row r="2171" spans="6:9" x14ac:dyDescent="0.3">
      <c r="F2171" s="26"/>
      <c r="G2171" s="26"/>
      <c r="H2171" s="26"/>
      <c r="I2171" s="26"/>
    </row>
    <row r="2172" spans="6:9" x14ac:dyDescent="0.3">
      <c r="F2172" s="26"/>
      <c r="G2172" s="26"/>
      <c r="H2172" s="26"/>
      <c r="I2172" s="26"/>
    </row>
    <row r="2173" spans="6:9" x14ac:dyDescent="0.3">
      <c r="F2173" s="26"/>
      <c r="G2173" s="26"/>
      <c r="H2173" s="26"/>
      <c r="I2173" s="26"/>
    </row>
    <row r="2174" spans="6:9" x14ac:dyDescent="0.3">
      <c r="F2174" s="26"/>
      <c r="G2174" s="26"/>
      <c r="H2174" s="26"/>
      <c r="I2174" s="26"/>
    </row>
    <row r="2175" spans="6:9" x14ac:dyDescent="0.3">
      <c r="F2175" s="26"/>
      <c r="G2175" s="26"/>
      <c r="H2175" s="26"/>
      <c r="I2175" s="26"/>
    </row>
    <row r="2176" spans="6:9" x14ac:dyDescent="0.3">
      <c r="F2176" s="26"/>
      <c r="G2176" s="26"/>
      <c r="H2176" s="26"/>
      <c r="I2176" s="26"/>
    </row>
    <row r="2177" spans="6:9" x14ac:dyDescent="0.3">
      <c r="F2177" s="26"/>
      <c r="G2177" s="26"/>
      <c r="H2177" s="26"/>
      <c r="I2177" s="26"/>
    </row>
    <row r="2178" spans="6:9" x14ac:dyDescent="0.3">
      <c r="F2178" s="26"/>
      <c r="G2178" s="26"/>
      <c r="H2178" s="26"/>
      <c r="I2178" s="26"/>
    </row>
    <row r="2179" spans="6:9" x14ac:dyDescent="0.3">
      <c r="F2179" s="26"/>
      <c r="G2179" s="26"/>
      <c r="H2179" s="26"/>
      <c r="I2179" s="26"/>
    </row>
    <row r="2180" spans="6:9" x14ac:dyDescent="0.3">
      <c r="F2180" s="26"/>
      <c r="G2180" s="26"/>
      <c r="H2180" s="26"/>
      <c r="I2180" s="26"/>
    </row>
    <row r="2181" spans="6:9" x14ac:dyDescent="0.3">
      <c r="F2181" s="26"/>
      <c r="G2181" s="26"/>
      <c r="H2181" s="26"/>
      <c r="I2181" s="26"/>
    </row>
    <row r="2182" spans="6:9" x14ac:dyDescent="0.3">
      <c r="F2182" s="26"/>
      <c r="G2182" s="26"/>
      <c r="H2182" s="26"/>
      <c r="I2182" s="26"/>
    </row>
    <row r="2183" spans="6:9" x14ac:dyDescent="0.3">
      <c r="F2183" s="26"/>
      <c r="G2183" s="26"/>
      <c r="H2183" s="26"/>
      <c r="I2183" s="26"/>
    </row>
    <row r="2184" spans="6:9" x14ac:dyDescent="0.3">
      <c r="F2184" s="26"/>
      <c r="G2184" s="26"/>
      <c r="H2184" s="26"/>
      <c r="I2184" s="26"/>
    </row>
    <row r="2185" spans="6:9" x14ac:dyDescent="0.3">
      <c r="F2185" s="26"/>
      <c r="G2185" s="26"/>
      <c r="H2185" s="26"/>
      <c r="I2185" s="26"/>
    </row>
    <row r="2186" spans="6:9" x14ac:dyDescent="0.3">
      <c r="F2186" s="26"/>
      <c r="G2186" s="26"/>
      <c r="H2186" s="26"/>
      <c r="I2186" s="26"/>
    </row>
    <row r="2187" spans="6:9" x14ac:dyDescent="0.3">
      <c r="F2187" s="26"/>
      <c r="G2187" s="26"/>
      <c r="H2187" s="26"/>
      <c r="I2187" s="26"/>
    </row>
    <row r="2188" spans="6:9" x14ac:dyDescent="0.3">
      <c r="F2188" s="26"/>
      <c r="G2188" s="26"/>
      <c r="H2188" s="26"/>
      <c r="I2188" s="26"/>
    </row>
    <row r="2189" spans="6:9" x14ac:dyDescent="0.3">
      <c r="F2189" s="26"/>
      <c r="G2189" s="26"/>
      <c r="H2189" s="26"/>
      <c r="I2189" s="26"/>
    </row>
    <row r="2190" spans="6:9" x14ac:dyDescent="0.3">
      <c r="F2190" s="26"/>
      <c r="G2190" s="26"/>
      <c r="H2190" s="26"/>
      <c r="I2190" s="26"/>
    </row>
    <row r="2191" spans="6:9" x14ac:dyDescent="0.3">
      <c r="F2191" s="26"/>
      <c r="G2191" s="26"/>
      <c r="H2191" s="26"/>
      <c r="I2191" s="26"/>
    </row>
    <row r="2192" spans="6:9" x14ac:dyDescent="0.3">
      <c r="F2192" s="26"/>
      <c r="G2192" s="26"/>
      <c r="H2192" s="26"/>
      <c r="I2192" s="26"/>
    </row>
    <row r="2193" spans="6:9" x14ac:dyDescent="0.3">
      <c r="F2193" s="26"/>
      <c r="G2193" s="26"/>
      <c r="H2193" s="26"/>
      <c r="I2193" s="26"/>
    </row>
    <row r="2194" spans="6:9" x14ac:dyDescent="0.3">
      <c r="F2194" s="26"/>
      <c r="G2194" s="26"/>
      <c r="H2194" s="26"/>
      <c r="I2194" s="26"/>
    </row>
    <row r="2195" spans="6:9" x14ac:dyDescent="0.3">
      <c r="F2195" s="26"/>
      <c r="G2195" s="26"/>
      <c r="H2195" s="26"/>
      <c r="I2195" s="26"/>
    </row>
    <row r="2196" spans="6:9" x14ac:dyDescent="0.3">
      <c r="F2196" s="26"/>
      <c r="G2196" s="26"/>
      <c r="H2196" s="26"/>
      <c r="I2196" s="26"/>
    </row>
    <row r="2197" spans="6:9" x14ac:dyDescent="0.3">
      <c r="F2197" s="26"/>
      <c r="G2197" s="26"/>
      <c r="H2197" s="26"/>
      <c r="I2197" s="26"/>
    </row>
    <row r="2198" spans="6:9" x14ac:dyDescent="0.3">
      <c r="F2198" s="26"/>
      <c r="G2198" s="26"/>
      <c r="H2198" s="26"/>
      <c r="I2198" s="26"/>
    </row>
    <row r="2199" spans="6:9" x14ac:dyDescent="0.3">
      <c r="F2199" s="26"/>
      <c r="G2199" s="26"/>
      <c r="H2199" s="26"/>
      <c r="I2199" s="26"/>
    </row>
    <row r="2200" spans="6:9" x14ac:dyDescent="0.3">
      <c r="F2200" s="26"/>
      <c r="G2200" s="26"/>
      <c r="H2200" s="26"/>
      <c r="I2200" s="26"/>
    </row>
    <row r="2201" spans="6:9" x14ac:dyDescent="0.3">
      <c r="F2201" s="26"/>
      <c r="G2201" s="26"/>
      <c r="H2201" s="26"/>
      <c r="I2201" s="26"/>
    </row>
    <row r="2202" spans="6:9" x14ac:dyDescent="0.3">
      <c r="F2202" s="26"/>
      <c r="G2202" s="26"/>
      <c r="H2202" s="26"/>
      <c r="I2202" s="26"/>
    </row>
    <row r="2203" spans="6:9" x14ac:dyDescent="0.3">
      <c r="F2203" s="26"/>
      <c r="G2203" s="26"/>
      <c r="H2203" s="26"/>
      <c r="I2203" s="26"/>
    </row>
    <row r="2204" spans="6:9" x14ac:dyDescent="0.3">
      <c r="F2204" s="26"/>
      <c r="G2204" s="26"/>
      <c r="H2204" s="26"/>
      <c r="I2204" s="26"/>
    </row>
    <row r="2205" spans="6:9" x14ac:dyDescent="0.3">
      <c r="F2205" s="26"/>
      <c r="G2205" s="26"/>
      <c r="H2205" s="26"/>
      <c r="I2205" s="26"/>
    </row>
    <row r="2206" spans="6:9" x14ac:dyDescent="0.3">
      <c r="F2206" s="26"/>
      <c r="G2206" s="26"/>
      <c r="H2206" s="26"/>
      <c r="I2206" s="26"/>
    </row>
    <row r="2207" spans="6:9" x14ac:dyDescent="0.3">
      <c r="F2207" s="26"/>
      <c r="G2207" s="26"/>
      <c r="H2207" s="26"/>
      <c r="I2207" s="26"/>
    </row>
    <row r="2208" spans="6:9" x14ac:dyDescent="0.3">
      <c r="F2208" s="26"/>
      <c r="G2208" s="26"/>
      <c r="H2208" s="26"/>
      <c r="I2208" s="26"/>
    </row>
    <row r="2209" spans="6:9" x14ac:dyDescent="0.3">
      <c r="F2209" s="26"/>
      <c r="G2209" s="26"/>
      <c r="H2209" s="26"/>
      <c r="I2209" s="26"/>
    </row>
    <row r="2210" spans="6:9" x14ac:dyDescent="0.3">
      <c r="F2210" s="26"/>
      <c r="G2210" s="26"/>
      <c r="H2210" s="26"/>
      <c r="I2210" s="26"/>
    </row>
    <row r="2211" spans="6:9" x14ac:dyDescent="0.3">
      <c r="F2211" s="26"/>
      <c r="G2211" s="26"/>
      <c r="H2211" s="26"/>
      <c r="I2211" s="26"/>
    </row>
    <row r="2212" spans="6:9" x14ac:dyDescent="0.3">
      <c r="F2212" s="26"/>
      <c r="G2212" s="26"/>
      <c r="H2212" s="26"/>
      <c r="I2212" s="26"/>
    </row>
    <row r="2213" spans="6:9" x14ac:dyDescent="0.3">
      <c r="F2213" s="26"/>
      <c r="G2213" s="26"/>
      <c r="H2213" s="26"/>
      <c r="I2213" s="26"/>
    </row>
    <row r="2214" spans="6:9" x14ac:dyDescent="0.3">
      <c r="F2214" s="26"/>
      <c r="G2214" s="26"/>
      <c r="H2214" s="26"/>
      <c r="I2214" s="26"/>
    </row>
    <row r="2215" spans="6:9" x14ac:dyDescent="0.3">
      <c r="F2215" s="26"/>
      <c r="G2215" s="26"/>
      <c r="H2215" s="26"/>
      <c r="I2215" s="26"/>
    </row>
    <row r="2216" spans="6:9" x14ac:dyDescent="0.3">
      <c r="F2216" s="26"/>
      <c r="G2216" s="26"/>
      <c r="H2216" s="26"/>
      <c r="I2216" s="26"/>
    </row>
    <row r="2217" spans="6:9" x14ac:dyDescent="0.3">
      <c r="F2217" s="26"/>
      <c r="G2217" s="26"/>
      <c r="H2217" s="26"/>
      <c r="I2217" s="26"/>
    </row>
    <row r="2218" spans="6:9" x14ac:dyDescent="0.3">
      <c r="F2218" s="26"/>
      <c r="G2218" s="26"/>
      <c r="H2218" s="26"/>
      <c r="I2218" s="26"/>
    </row>
    <row r="2219" spans="6:9" x14ac:dyDescent="0.3">
      <c r="F2219" s="26"/>
      <c r="G2219" s="26"/>
      <c r="H2219" s="26"/>
      <c r="I2219" s="26"/>
    </row>
    <row r="2220" spans="6:9" x14ac:dyDescent="0.3">
      <c r="F2220" s="26"/>
      <c r="G2220" s="26"/>
      <c r="H2220" s="26"/>
      <c r="I2220" s="26"/>
    </row>
    <row r="2221" spans="6:9" x14ac:dyDescent="0.3">
      <c r="F2221" s="26"/>
      <c r="G2221" s="26"/>
      <c r="H2221" s="26"/>
      <c r="I2221" s="26"/>
    </row>
    <row r="2222" spans="6:9" x14ac:dyDescent="0.3">
      <c r="F2222" s="26"/>
      <c r="G2222" s="26"/>
      <c r="H2222" s="26"/>
      <c r="I2222" s="26"/>
    </row>
    <row r="2223" spans="6:9" x14ac:dyDescent="0.3">
      <c r="F2223" s="26"/>
      <c r="G2223" s="26"/>
      <c r="H2223" s="26"/>
      <c r="I2223" s="26"/>
    </row>
    <row r="2224" spans="6:9" x14ac:dyDescent="0.3">
      <c r="F2224" s="26"/>
      <c r="G2224" s="26"/>
      <c r="H2224" s="26"/>
      <c r="I2224" s="26"/>
    </row>
    <row r="2225" spans="6:9" x14ac:dyDescent="0.3">
      <c r="F2225" s="26"/>
      <c r="G2225" s="26"/>
      <c r="H2225" s="26"/>
      <c r="I2225" s="26"/>
    </row>
    <row r="2226" spans="6:9" x14ac:dyDescent="0.3">
      <c r="F2226" s="26"/>
      <c r="G2226" s="26"/>
      <c r="H2226" s="26"/>
      <c r="I2226" s="26"/>
    </row>
    <row r="2227" spans="6:9" x14ac:dyDescent="0.3">
      <c r="F2227" s="26"/>
      <c r="G2227" s="26"/>
      <c r="H2227" s="26"/>
      <c r="I2227" s="26"/>
    </row>
    <row r="2228" spans="6:9" x14ac:dyDescent="0.3">
      <c r="F2228" s="26"/>
      <c r="G2228" s="26"/>
      <c r="H2228" s="26"/>
      <c r="I2228" s="26"/>
    </row>
    <row r="2229" spans="6:9" x14ac:dyDescent="0.3">
      <c r="F2229" s="26"/>
      <c r="G2229" s="26"/>
      <c r="H2229" s="26"/>
      <c r="I2229" s="26"/>
    </row>
    <row r="2230" spans="6:9" x14ac:dyDescent="0.3">
      <c r="F2230" s="26"/>
      <c r="G2230" s="26"/>
      <c r="H2230" s="26"/>
      <c r="I2230" s="26"/>
    </row>
    <row r="2231" spans="6:9" x14ac:dyDescent="0.3">
      <c r="F2231" s="26"/>
      <c r="G2231" s="26"/>
      <c r="H2231" s="26"/>
      <c r="I2231" s="26"/>
    </row>
    <row r="2232" spans="6:9" x14ac:dyDescent="0.3">
      <c r="F2232" s="26"/>
      <c r="G2232" s="26"/>
      <c r="H2232" s="26"/>
      <c r="I2232" s="26"/>
    </row>
    <row r="2233" spans="6:9" x14ac:dyDescent="0.3">
      <c r="F2233" s="26"/>
      <c r="G2233" s="26"/>
      <c r="H2233" s="26"/>
      <c r="I2233" s="26"/>
    </row>
    <row r="2234" spans="6:9" x14ac:dyDescent="0.3">
      <c r="F2234" s="26"/>
      <c r="G2234" s="26"/>
      <c r="H2234" s="26"/>
      <c r="I2234" s="26"/>
    </row>
    <row r="2235" spans="6:9" x14ac:dyDescent="0.3">
      <c r="F2235" s="26"/>
      <c r="G2235" s="26"/>
      <c r="H2235" s="26"/>
      <c r="I2235" s="26"/>
    </row>
    <row r="2236" spans="6:9" x14ac:dyDescent="0.3">
      <c r="F2236" s="26"/>
      <c r="G2236" s="26"/>
      <c r="H2236" s="26"/>
      <c r="I2236" s="26"/>
    </row>
    <row r="2237" spans="6:9" x14ac:dyDescent="0.3">
      <c r="F2237" s="26"/>
      <c r="G2237" s="26"/>
      <c r="H2237" s="26"/>
      <c r="I2237" s="26"/>
    </row>
    <row r="2238" spans="6:9" x14ac:dyDescent="0.3">
      <c r="F2238" s="26"/>
      <c r="G2238" s="26"/>
      <c r="H2238" s="26"/>
      <c r="I2238" s="26"/>
    </row>
    <row r="2239" spans="6:9" x14ac:dyDescent="0.3">
      <c r="F2239" s="26"/>
      <c r="G2239" s="26"/>
      <c r="H2239" s="26"/>
      <c r="I2239" s="26"/>
    </row>
    <row r="2240" spans="6:9" x14ac:dyDescent="0.3">
      <c r="F2240" s="26"/>
      <c r="G2240" s="26"/>
      <c r="H2240" s="26"/>
      <c r="I2240" s="26"/>
    </row>
    <row r="2241" spans="6:9" x14ac:dyDescent="0.3">
      <c r="F2241" s="26"/>
      <c r="G2241" s="26"/>
      <c r="H2241" s="26"/>
      <c r="I2241" s="26"/>
    </row>
    <row r="2242" spans="6:9" x14ac:dyDescent="0.3">
      <c r="F2242" s="26"/>
      <c r="G2242" s="26"/>
      <c r="H2242" s="26"/>
      <c r="I2242" s="26"/>
    </row>
    <row r="2243" spans="6:9" x14ac:dyDescent="0.3">
      <c r="F2243" s="26"/>
      <c r="G2243" s="26"/>
      <c r="H2243" s="26"/>
      <c r="I2243" s="26"/>
    </row>
    <row r="2244" spans="6:9" x14ac:dyDescent="0.3">
      <c r="F2244" s="26"/>
      <c r="G2244" s="26"/>
      <c r="H2244" s="26"/>
      <c r="I2244" s="26"/>
    </row>
    <row r="2245" spans="6:9" x14ac:dyDescent="0.3">
      <c r="F2245" s="26"/>
      <c r="G2245" s="26"/>
      <c r="H2245" s="26"/>
      <c r="I2245" s="26"/>
    </row>
    <row r="2246" spans="6:9" x14ac:dyDescent="0.3">
      <c r="F2246" s="26"/>
      <c r="G2246" s="26"/>
      <c r="H2246" s="26"/>
      <c r="I2246" s="26"/>
    </row>
    <row r="2247" spans="6:9" x14ac:dyDescent="0.3">
      <c r="F2247" s="26"/>
      <c r="G2247" s="26"/>
      <c r="H2247" s="26"/>
      <c r="I2247" s="26"/>
    </row>
    <row r="2248" spans="6:9" x14ac:dyDescent="0.3">
      <c r="F2248" s="26"/>
      <c r="G2248" s="26"/>
      <c r="H2248" s="26"/>
      <c r="I2248" s="26"/>
    </row>
    <row r="2249" spans="6:9" x14ac:dyDescent="0.3">
      <c r="F2249" s="26"/>
      <c r="G2249" s="26"/>
      <c r="H2249" s="26"/>
      <c r="I2249" s="26"/>
    </row>
    <row r="2250" spans="6:9" x14ac:dyDescent="0.3">
      <c r="F2250" s="26"/>
      <c r="G2250" s="26"/>
      <c r="H2250" s="26"/>
      <c r="I2250" s="26"/>
    </row>
    <row r="2251" spans="6:9" x14ac:dyDescent="0.3">
      <c r="F2251" s="26"/>
      <c r="G2251" s="26"/>
      <c r="H2251" s="26"/>
      <c r="I2251" s="26"/>
    </row>
    <row r="2252" spans="6:9" x14ac:dyDescent="0.3">
      <c r="F2252" s="26"/>
      <c r="G2252" s="26"/>
      <c r="H2252" s="26"/>
      <c r="I2252" s="26"/>
    </row>
    <row r="2253" spans="6:9" x14ac:dyDescent="0.3">
      <c r="F2253" s="26"/>
      <c r="G2253" s="26"/>
      <c r="H2253" s="26"/>
      <c r="I2253" s="26"/>
    </row>
    <row r="2254" spans="6:9" x14ac:dyDescent="0.3">
      <c r="F2254" s="26"/>
      <c r="G2254" s="26"/>
      <c r="H2254" s="26"/>
      <c r="I2254" s="26"/>
    </row>
    <row r="2255" spans="6:9" x14ac:dyDescent="0.3">
      <c r="F2255" s="26"/>
      <c r="G2255" s="26"/>
      <c r="H2255" s="26"/>
      <c r="I2255" s="26"/>
    </row>
    <row r="2256" spans="6:9" x14ac:dyDescent="0.3">
      <c r="F2256" s="26"/>
      <c r="G2256" s="26"/>
      <c r="H2256" s="26"/>
      <c r="I2256" s="26"/>
    </row>
    <row r="2257" spans="6:9" x14ac:dyDescent="0.3">
      <c r="F2257" s="26"/>
      <c r="G2257" s="26"/>
      <c r="H2257" s="26"/>
      <c r="I2257" s="26"/>
    </row>
    <row r="2258" spans="6:9" x14ac:dyDescent="0.3">
      <c r="F2258" s="26"/>
      <c r="G2258" s="26"/>
      <c r="H2258" s="26"/>
      <c r="I2258" s="26"/>
    </row>
    <row r="2259" spans="6:9" x14ac:dyDescent="0.3">
      <c r="F2259" s="26"/>
      <c r="G2259" s="26"/>
      <c r="H2259" s="26"/>
      <c r="I2259" s="26"/>
    </row>
    <row r="2260" spans="6:9" x14ac:dyDescent="0.3">
      <c r="F2260" s="26"/>
      <c r="G2260" s="26"/>
      <c r="H2260" s="26"/>
      <c r="I2260" s="26"/>
    </row>
    <row r="2261" spans="6:9" x14ac:dyDescent="0.3">
      <c r="F2261" s="26"/>
      <c r="G2261" s="26"/>
      <c r="H2261" s="26"/>
      <c r="I2261" s="26"/>
    </row>
    <row r="2262" spans="6:9" x14ac:dyDescent="0.3">
      <c r="F2262" s="26"/>
      <c r="G2262" s="26"/>
      <c r="H2262" s="26"/>
      <c r="I2262" s="26"/>
    </row>
    <row r="2263" spans="6:9" x14ac:dyDescent="0.3">
      <c r="F2263" s="26"/>
      <c r="G2263" s="26"/>
      <c r="H2263" s="26"/>
      <c r="I2263" s="26"/>
    </row>
    <row r="2264" spans="6:9" x14ac:dyDescent="0.3">
      <c r="F2264" s="26"/>
      <c r="G2264" s="26"/>
      <c r="H2264" s="26"/>
      <c r="I2264" s="26"/>
    </row>
    <row r="2265" spans="6:9" x14ac:dyDescent="0.3">
      <c r="F2265" s="26"/>
      <c r="G2265" s="26"/>
      <c r="H2265" s="26"/>
      <c r="I2265" s="26"/>
    </row>
    <row r="2266" spans="6:9" x14ac:dyDescent="0.3">
      <c r="F2266" s="26"/>
      <c r="G2266" s="26"/>
      <c r="H2266" s="26"/>
      <c r="I2266" s="26"/>
    </row>
    <row r="2267" spans="6:9" x14ac:dyDescent="0.3">
      <c r="F2267" s="26"/>
      <c r="G2267" s="26"/>
      <c r="H2267" s="26"/>
      <c r="I2267" s="26"/>
    </row>
    <row r="2268" spans="6:9" x14ac:dyDescent="0.3">
      <c r="F2268" s="26"/>
      <c r="G2268" s="26"/>
      <c r="H2268" s="26"/>
      <c r="I2268" s="26"/>
    </row>
    <row r="2269" spans="6:9" x14ac:dyDescent="0.3">
      <c r="F2269" s="26"/>
      <c r="G2269" s="26"/>
      <c r="H2269" s="26"/>
      <c r="I2269" s="26"/>
    </row>
    <row r="2270" spans="6:9" x14ac:dyDescent="0.3">
      <c r="F2270" s="26"/>
      <c r="G2270" s="26"/>
      <c r="H2270" s="26"/>
      <c r="I2270" s="26"/>
    </row>
    <row r="2271" spans="6:9" x14ac:dyDescent="0.3">
      <c r="F2271" s="26"/>
      <c r="G2271" s="26"/>
      <c r="H2271" s="26"/>
      <c r="I2271" s="26"/>
    </row>
    <row r="2272" spans="6:9" x14ac:dyDescent="0.3">
      <c r="F2272" s="26"/>
      <c r="G2272" s="26"/>
      <c r="H2272" s="26"/>
      <c r="I2272" s="26"/>
    </row>
    <row r="2273" spans="6:9" x14ac:dyDescent="0.3">
      <c r="F2273" s="26"/>
      <c r="G2273" s="26"/>
      <c r="H2273" s="26"/>
      <c r="I2273" s="26"/>
    </row>
    <row r="2274" spans="6:9" x14ac:dyDescent="0.3">
      <c r="F2274" s="26"/>
      <c r="G2274" s="26"/>
      <c r="H2274" s="26"/>
      <c r="I2274" s="26"/>
    </row>
    <row r="2275" spans="6:9" x14ac:dyDescent="0.3">
      <c r="F2275" s="26"/>
      <c r="G2275" s="26"/>
      <c r="H2275" s="26"/>
      <c r="I2275" s="26"/>
    </row>
    <row r="2276" spans="6:9" x14ac:dyDescent="0.3">
      <c r="F2276" s="26"/>
      <c r="G2276" s="26"/>
      <c r="H2276" s="26"/>
      <c r="I2276" s="26"/>
    </row>
    <row r="2277" spans="6:9" x14ac:dyDescent="0.3">
      <c r="F2277" s="26"/>
      <c r="G2277" s="26"/>
      <c r="H2277" s="26"/>
      <c r="I2277" s="26"/>
    </row>
    <row r="2278" spans="6:9" x14ac:dyDescent="0.3">
      <c r="F2278" s="26"/>
      <c r="G2278" s="26"/>
      <c r="H2278" s="26"/>
      <c r="I2278" s="26"/>
    </row>
    <row r="2279" spans="6:9" x14ac:dyDescent="0.3">
      <c r="F2279" s="26"/>
      <c r="G2279" s="26"/>
      <c r="H2279" s="26"/>
      <c r="I2279" s="26"/>
    </row>
    <row r="2280" spans="6:9" x14ac:dyDescent="0.3">
      <c r="F2280" s="26"/>
      <c r="G2280" s="26"/>
      <c r="H2280" s="26"/>
      <c r="I2280" s="26"/>
    </row>
    <row r="2281" spans="6:9" x14ac:dyDescent="0.3">
      <c r="F2281" s="26"/>
      <c r="G2281" s="26"/>
      <c r="H2281" s="26"/>
      <c r="I2281" s="26"/>
    </row>
    <row r="2282" spans="6:9" x14ac:dyDescent="0.3">
      <c r="F2282" s="26"/>
      <c r="G2282" s="26"/>
      <c r="H2282" s="26"/>
      <c r="I2282" s="26"/>
    </row>
    <row r="2283" spans="6:9" x14ac:dyDescent="0.3">
      <c r="F2283" s="26"/>
      <c r="G2283" s="26"/>
      <c r="H2283" s="26"/>
      <c r="I2283" s="26"/>
    </row>
    <row r="2284" spans="6:9" x14ac:dyDescent="0.3">
      <c r="F2284" s="26"/>
      <c r="G2284" s="26"/>
      <c r="H2284" s="26"/>
      <c r="I2284" s="26"/>
    </row>
    <row r="2285" spans="6:9" x14ac:dyDescent="0.3">
      <c r="F2285" s="26"/>
      <c r="G2285" s="26"/>
      <c r="H2285" s="26"/>
      <c r="I2285" s="26"/>
    </row>
    <row r="2286" spans="6:9" x14ac:dyDescent="0.3">
      <c r="F2286" s="26"/>
      <c r="G2286" s="26"/>
      <c r="H2286" s="26"/>
      <c r="I2286" s="26"/>
    </row>
    <row r="2287" spans="6:9" x14ac:dyDescent="0.3">
      <c r="F2287" s="26"/>
      <c r="G2287" s="26"/>
      <c r="H2287" s="26"/>
      <c r="I2287" s="26"/>
    </row>
    <row r="2288" spans="6:9" x14ac:dyDescent="0.3">
      <c r="F2288" s="26"/>
      <c r="G2288" s="26"/>
      <c r="H2288" s="26"/>
      <c r="I2288" s="26"/>
    </row>
    <row r="2289" spans="6:9" x14ac:dyDescent="0.3">
      <c r="F2289" s="26"/>
      <c r="G2289" s="26"/>
      <c r="H2289" s="26"/>
      <c r="I2289" s="26"/>
    </row>
    <row r="2290" spans="6:9" x14ac:dyDescent="0.3">
      <c r="F2290" s="26"/>
      <c r="G2290" s="26"/>
      <c r="H2290" s="26"/>
      <c r="I2290" s="26"/>
    </row>
    <row r="2291" spans="6:9" x14ac:dyDescent="0.3">
      <c r="F2291" s="26"/>
      <c r="G2291" s="26"/>
      <c r="H2291" s="26"/>
      <c r="I2291" s="26"/>
    </row>
    <row r="2292" spans="6:9" x14ac:dyDescent="0.3">
      <c r="F2292" s="26"/>
      <c r="G2292" s="26"/>
      <c r="H2292" s="26"/>
      <c r="I2292" s="26"/>
    </row>
    <row r="2293" spans="6:9" x14ac:dyDescent="0.3">
      <c r="F2293" s="26"/>
      <c r="G2293" s="26"/>
      <c r="H2293" s="26"/>
      <c r="I2293" s="26"/>
    </row>
    <row r="2294" spans="6:9" x14ac:dyDescent="0.3">
      <c r="F2294" s="26"/>
      <c r="G2294" s="26"/>
      <c r="H2294" s="26"/>
      <c r="I2294" s="26"/>
    </row>
    <row r="2295" spans="6:9" x14ac:dyDescent="0.3">
      <c r="F2295" s="26"/>
      <c r="G2295" s="26"/>
      <c r="H2295" s="26"/>
      <c r="I2295" s="26"/>
    </row>
    <row r="2296" spans="6:9" x14ac:dyDescent="0.3">
      <c r="F2296" s="26"/>
      <c r="G2296" s="26"/>
      <c r="H2296" s="26"/>
      <c r="I2296" s="26"/>
    </row>
    <row r="2297" spans="6:9" x14ac:dyDescent="0.3">
      <c r="F2297" s="26"/>
      <c r="G2297" s="26"/>
      <c r="H2297" s="26"/>
      <c r="I2297" s="26"/>
    </row>
    <row r="2298" spans="6:9" x14ac:dyDescent="0.3">
      <c r="F2298" s="26"/>
      <c r="G2298" s="26"/>
      <c r="H2298" s="26"/>
      <c r="I2298" s="26"/>
    </row>
    <row r="2299" spans="6:9" x14ac:dyDescent="0.3">
      <c r="F2299" s="26"/>
      <c r="G2299" s="26"/>
      <c r="H2299" s="26"/>
      <c r="I2299" s="26"/>
    </row>
    <row r="2300" spans="6:9" x14ac:dyDescent="0.3">
      <c r="F2300" s="26"/>
      <c r="G2300" s="26"/>
      <c r="H2300" s="26"/>
      <c r="I2300" s="26"/>
    </row>
    <row r="2301" spans="6:9" x14ac:dyDescent="0.3">
      <c r="F2301" s="26"/>
      <c r="G2301" s="26"/>
      <c r="H2301" s="26"/>
      <c r="I2301" s="26"/>
    </row>
    <row r="2302" spans="6:9" x14ac:dyDescent="0.3">
      <c r="F2302" s="26"/>
      <c r="G2302" s="26"/>
      <c r="H2302" s="26"/>
      <c r="I2302" s="26"/>
    </row>
    <row r="2303" spans="6:9" x14ac:dyDescent="0.3">
      <c r="F2303" s="26"/>
      <c r="G2303" s="26"/>
      <c r="H2303" s="26"/>
      <c r="I2303" s="26"/>
    </row>
    <row r="2304" spans="6:9" x14ac:dyDescent="0.3">
      <c r="F2304" s="26"/>
      <c r="G2304" s="26"/>
      <c r="H2304" s="26"/>
      <c r="I2304" s="26"/>
    </row>
    <row r="2305" spans="6:9" x14ac:dyDescent="0.3">
      <c r="F2305" s="26"/>
      <c r="G2305" s="26"/>
      <c r="H2305" s="26"/>
      <c r="I2305" s="26"/>
    </row>
    <row r="2306" spans="6:9" x14ac:dyDescent="0.3">
      <c r="F2306" s="26"/>
      <c r="G2306" s="26"/>
      <c r="H2306" s="26"/>
      <c r="I2306" s="26"/>
    </row>
    <row r="2307" spans="6:9" x14ac:dyDescent="0.3">
      <c r="F2307" s="26"/>
      <c r="G2307" s="26"/>
      <c r="H2307" s="26"/>
      <c r="I2307" s="26"/>
    </row>
    <row r="2308" spans="6:9" x14ac:dyDescent="0.3">
      <c r="F2308" s="26"/>
      <c r="G2308" s="26"/>
      <c r="H2308" s="26"/>
      <c r="I2308" s="26"/>
    </row>
    <row r="2309" spans="6:9" x14ac:dyDescent="0.3">
      <c r="F2309" s="26"/>
      <c r="G2309" s="26"/>
      <c r="H2309" s="26"/>
      <c r="I2309" s="26"/>
    </row>
    <row r="2310" spans="6:9" x14ac:dyDescent="0.3">
      <c r="F2310" s="26"/>
      <c r="G2310" s="26"/>
      <c r="H2310" s="26"/>
      <c r="I2310" s="26"/>
    </row>
    <row r="2311" spans="6:9" x14ac:dyDescent="0.3">
      <c r="F2311" s="26"/>
      <c r="G2311" s="26"/>
      <c r="H2311" s="26"/>
      <c r="I2311" s="26"/>
    </row>
    <row r="2312" spans="6:9" x14ac:dyDescent="0.3">
      <c r="F2312" s="26"/>
      <c r="G2312" s="26"/>
      <c r="H2312" s="26"/>
      <c r="I2312" s="26"/>
    </row>
    <row r="2313" spans="6:9" x14ac:dyDescent="0.3">
      <c r="F2313" s="26"/>
      <c r="G2313" s="26"/>
      <c r="H2313" s="26"/>
      <c r="I2313" s="26"/>
    </row>
    <row r="2314" spans="6:9" x14ac:dyDescent="0.3">
      <c r="F2314" s="26"/>
      <c r="G2314" s="26"/>
      <c r="H2314" s="26"/>
      <c r="I2314" s="26"/>
    </row>
    <row r="2315" spans="6:9" x14ac:dyDescent="0.3">
      <c r="F2315" s="26"/>
      <c r="G2315" s="26"/>
      <c r="H2315" s="26"/>
      <c r="I2315" s="26"/>
    </row>
    <row r="2316" spans="6:9" x14ac:dyDescent="0.3">
      <c r="F2316" s="26"/>
      <c r="G2316" s="26"/>
      <c r="H2316" s="26"/>
      <c r="I2316" s="26"/>
    </row>
    <row r="2317" spans="6:9" x14ac:dyDescent="0.3">
      <c r="F2317" s="26"/>
      <c r="G2317" s="26"/>
      <c r="H2317" s="26"/>
      <c r="I2317" s="26"/>
    </row>
    <row r="2318" spans="6:9" x14ac:dyDescent="0.3">
      <c r="F2318" s="26"/>
      <c r="G2318" s="26"/>
      <c r="H2318" s="26"/>
      <c r="I2318" s="26"/>
    </row>
    <row r="2319" spans="6:9" x14ac:dyDescent="0.3">
      <c r="F2319" s="26"/>
      <c r="G2319" s="26"/>
      <c r="H2319" s="26"/>
      <c r="I2319" s="26"/>
    </row>
    <row r="2320" spans="6:9" x14ac:dyDescent="0.3">
      <c r="F2320" s="26"/>
      <c r="G2320" s="26"/>
      <c r="H2320" s="26"/>
      <c r="I2320" s="26"/>
    </row>
    <row r="2321" spans="6:9" x14ac:dyDescent="0.3">
      <c r="F2321" s="26"/>
      <c r="G2321" s="26"/>
      <c r="H2321" s="26"/>
      <c r="I2321" s="26"/>
    </row>
    <row r="2322" spans="6:9" x14ac:dyDescent="0.3">
      <c r="F2322" s="26"/>
      <c r="G2322" s="26"/>
      <c r="H2322" s="26"/>
      <c r="I2322" s="26"/>
    </row>
    <row r="2323" spans="6:9" x14ac:dyDescent="0.3">
      <c r="F2323" s="26"/>
      <c r="G2323" s="26"/>
      <c r="H2323" s="26"/>
      <c r="I2323" s="26"/>
    </row>
    <row r="2324" spans="6:9" x14ac:dyDescent="0.3">
      <c r="F2324" s="26"/>
      <c r="G2324" s="26"/>
      <c r="H2324" s="26"/>
      <c r="I2324" s="26"/>
    </row>
    <row r="2325" spans="6:9" x14ac:dyDescent="0.3">
      <c r="F2325" s="26"/>
      <c r="G2325" s="26"/>
      <c r="H2325" s="26"/>
      <c r="I2325" s="26"/>
    </row>
    <row r="2326" spans="6:9" x14ac:dyDescent="0.3">
      <c r="F2326" s="26"/>
      <c r="G2326" s="26"/>
      <c r="H2326" s="26"/>
      <c r="I2326" s="26"/>
    </row>
    <row r="2327" spans="6:9" x14ac:dyDescent="0.3">
      <c r="F2327" s="26"/>
      <c r="G2327" s="26"/>
      <c r="H2327" s="26"/>
      <c r="I2327" s="26"/>
    </row>
    <row r="2328" spans="6:9" x14ac:dyDescent="0.3">
      <c r="F2328" s="26"/>
      <c r="G2328" s="26"/>
      <c r="H2328" s="26"/>
      <c r="I2328" s="26"/>
    </row>
    <row r="2329" spans="6:9" x14ac:dyDescent="0.3">
      <c r="F2329" s="26"/>
      <c r="G2329" s="26"/>
      <c r="H2329" s="26"/>
      <c r="I2329" s="26"/>
    </row>
    <row r="2330" spans="6:9" x14ac:dyDescent="0.3">
      <c r="F2330" s="26"/>
      <c r="G2330" s="26"/>
      <c r="H2330" s="26"/>
      <c r="I2330" s="26"/>
    </row>
    <row r="2331" spans="6:9" x14ac:dyDescent="0.3">
      <c r="F2331" s="26"/>
      <c r="G2331" s="26"/>
      <c r="H2331" s="26"/>
      <c r="I2331" s="26"/>
    </row>
    <row r="2332" spans="6:9" x14ac:dyDescent="0.3">
      <c r="F2332" s="26"/>
      <c r="G2332" s="26"/>
      <c r="H2332" s="26"/>
      <c r="I2332" s="26"/>
    </row>
    <row r="2333" spans="6:9" x14ac:dyDescent="0.3">
      <c r="F2333" s="26"/>
      <c r="G2333" s="26"/>
      <c r="H2333" s="26"/>
      <c r="I2333" s="26"/>
    </row>
    <row r="2334" spans="6:9" x14ac:dyDescent="0.3">
      <c r="F2334" s="26"/>
      <c r="G2334" s="26"/>
      <c r="H2334" s="26"/>
      <c r="I2334" s="26"/>
    </row>
    <row r="2335" spans="6:9" x14ac:dyDescent="0.3">
      <c r="F2335" s="26"/>
      <c r="G2335" s="26"/>
      <c r="H2335" s="26"/>
      <c r="I2335" s="26"/>
    </row>
    <row r="2336" spans="6:9" x14ac:dyDescent="0.3">
      <c r="F2336" s="26"/>
      <c r="G2336" s="26"/>
      <c r="H2336" s="26"/>
      <c r="I2336" s="26"/>
    </row>
    <row r="2337" spans="6:9" x14ac:dyDescent="0.3">
      <c r="F2337" s="26"/>
      <c r="G2337" s="26"/>
      <c r="H2337" s="26"/>
      <c r="I2337" s="26"/>
    </row>
    <row r="2338" spans="6:9" x14ac:dyDescent="0.3">
      <c r="F2338" s="26"/>
      <c r="G2338" s="26"/>
      <c r="H2338" s="26"/>
      <c r="I2338" s="26"/>
    </row>
    <row r="2339" spans="6:9" x14ac:dyDescent="0.3">
      <c r="F2339" s="26"/>
      <c r="G2339" s="26"/>
      <c r="H2339" s="26"/>
      <c r="I2339" s="26"/>
    </row>
    <row r="2340" spans="6:9" x14ac:dyDescent="0.3">
      <c r="F2340" s="26"/>
      <c r="G2340" s="26"/>
      <c r="H2340" s="26"/>
      <c r="I2340" s="26"/>
    </row>
    <row r="2341" spans="6:9" x14ac:dyDescent="0.3">
      <c r="F2341" s="26"/>
      <c r="G2341" s="26"/>
      <c r="H2341" s="26"/>
      <c r="I2341" s="26"/>
    </row>
    <row r="2342" spans="6:9" x14ac:dyDescent="0.3">
      <c r="F2342" s="26"/>
      <c r="G2342" s="26"/>
      <c r="H2342" s="26"/>
      <c r="I2342" s="26"/>
    </row>
    <row r="2343" spans="6:9" x14ac:dyDescent="0.3">
      <c r="F2343" s="26"/>
      <c r="G2343" s="26"/>
      <c r="H2343" s="26"/>
      <c r="I2343" s="26"/>
    </row>
    <row r="2344" spans="6:9" x14ac:dyDescent="0.3">
      <c r="F2344" s="26"/>
      <c r="G2344" s="26"/>
      <c r="H2344" s="26"/>
      <c r="I2344" s="26"/>
    </row>
    <row r="2345" spans="6:9" x14ac:dyDescent="0.3">
      <c r="F2345" s="26"/>
      <c r="G2345" s="26"/>
      <c r="H2345" s="26"/>
      <c r="I2345" s="26"/>
    </row>
    <row r="2346" spans="6:9" x14ac:dyDescent="0.3">
      <c r="F2346" s="26"/>
      <c r="G2346" s="26"/>
      <c r="H2346" s="26"/>
      <c r="I2346" s="26"/>
    </row>
    <row r="2347" spans="6:9" x14ac:dyDescent="0.3">
      <c r="F2347" s="26"/>
      <c r="G2347" s="26"/>
      <c r="H2347" s="26"/>
      <c r="I2347" s="26"/>
    </row>
    <row r="2348" spans="6:9" x14ac:dyDescent="0.3">
      <c r="F2348" s="26"/>
      <c r="G2348" s="26"/>
      <c r="H2348" s="26"/>
      <c r="I2348" s="26"/>
    </row>
    <row r="2349" spans="6:9" x14ac:dyDescent="0.3">
      <c r="F2349" s="26"/>
      <c r="G2349" s="26"/>
      <c r="H2349" s="26"/>
      <c r="I2349" s="26"/>
    </row>
    <row r="2350" spans="6:9" x14ac:dyDescent="0.3">
      <c r="F2350" s="26"/>
      <c r="G2350" s="26"/>
      <c r="H2350" s="26"/>
      <c r="I2350" s="26"/>
    </row>
    <row r="2351" spans="6:9" x14ac:dyDescent="0.3">
      <c r="F2351" s="26"/>
      <c r="G2351" s="26"/>
      <c r="H2351" s="26"/>
      <c r="I2351" s="26"/>
    </row>
    <row r="2352" spans="6:9" x14ac:dyDescent="0.3">
      <c r="F2352" s="26"/>
      <c r="G2352" s="26"/>
      <c r="H2352" s="26"/>
      <c r="I2352" s="26"/>
    </row>
    <row r="2353" spans="6:9" x14ac:dyDescent="0.3">
      <c r="F2353" s="26"/>
      <c r="G2353" s="26"/>
      <c r="H2353" s="26"/>
      <c r="I2353" s="26"/>
    </row>
    <row r="2354" spans="6:9" x14ac:dyDescent="0.3">
      <c r="F2354" s="26"/>
      <c r="G2354" s="26"/>
      <c r="H2354" s="26"/>
      <c r="I2354" s="26"/>
    </row>
    <row r="2355" spans="6:9" x14ac:dyDescent="0.3">
      <c r="F2355" s="26"/>
      <c r="G2355" s="26"/>
      <c r="H2355" s="26"/>
      <c r="I2355" s="26"/>
    </row>
    <row r="2356" spans="6:9" x14ac:dyDescent="0.3">
      <c r="F2356" s="26"/>
      <c r="G2356" s="26"/>
      <c r="H2356" s="26"/>
      <c r="I2356" s="26"/>
    </row>
    <row r="2357" spans="6:9" x14ac:dyDescent="0.3">
      <c r="F2357" s="26"/>
      <c r="G2357" s="26"/>
      <c r="H2357" s="26"/>
      <c r="I2357" s="26"/>
    </row>
    <row r="2358" spans="6:9" x14ac:dyDescent="0.3">
      <c r="F2358" s="26"/>
      <c r="G2358" s="26"/>
      <c r="H2358" s="26"/>
      <c r="I2358" s="26"/>
    </row>
    <row r="2359" spans="6:9" x14ac:dyDescent="0.3">
      <c r="F2359" s="26"/>
      <c r="G2359" s="26"/>
      <c r="H2359" s="26"/>
      <c r="I2359" s="26"/>
    </row>
    <row r="2360" spans="6:9" x14ac:dyDescent="0.3">
      <c r="F2360" s="26"/>
      <c r="G2360" s="26"/>
      <c r="H2360" s="26"/>
      <c r="I2360" s="26"/>
    </row>
    <row r="2361" spans="6:9" x14ac:dyDescent="0.3">
      <c r="F2361" s="26"/>
      <c r="G2361" s="26"/>
      <c r="H2361" s="26"/>
      <c r="I2361" s="26"/>
    </row>
    <row r="2362" spans="6:9" x14ac:dyDescent="0.3">
      <c r="F2362" s="26"/>
      <c r="G2362" s="26"/>
      <c r="H2362" s="26"/>
      <c r="I2362" s="26"/>
    </row>
    <row r="2363" spans="6:9" x14ac:dyDescent="0.3">
      <c r="F2363" s="26"/>
      <c r="G2363" s="26"/>
      <c r="H2363" s="26"/>
      <c r="I2363" s="26"/>
    </row>
    <row r="2364" spans="6:9" x14ac:dyDescent="0.3">
      <c r="F2364" s="26"/>
      <c r="G2364" s="26"/>
      <c r="H2364" s="26"/>
      <c r="I2364" s="26"/>
    </row>
    <row r="2365" spans="6:9" x14ac:dyDescent="0.3">
      <c r="F2365" s="26"/>
      <c r="G2365" s="26"/>
      <c r="H2365" s="26"/>
      <c r="I2365" s="26"/>
    </row>
    <row r="2366" spans="6:9" x14ac:dyDescent="0.3">
      <c r="F2366" s="26"/>
      <c r="G2366" s="26"/>
      <c r="H2366" s="26"/>
      <c r="I2366" s="26"/>
    </row>
    <row r="2367" spans="6:9" x14ac:dyDescent="0.3">
      <c r="F2367" s="26"/>
      <c r="G2367" s="26"/>
      <c r="H2367" s="26"/>
      <c r="I2367" s="26"/>
    </row>
    <row r="2368" spans="6:9" x14ac:dyDescent="0.3">
      <c r="F2368" s="26"/>
      <c r="G2368" s="26"/>
      <c r="H2368" s="26"/>
      <c r="I2368" s="26"/>
    </row>
    <row r="2369" spans="6:9" x14ac:dyDescent="0.3">
      <c r="F2369" s="26"/>
      <c r="G2369" s="26"/>
      <c r="H2369" s="26"/>
      <c r="I2369" s="26"/>
    </row>
    <row r="2370" spans="6:9" x14ac:dyDescent="0.3">
      <c r="F2370" s="26"/>
      <c r="G2370" s="26"/>
      <c r="H2370" s="26"/>
      <c r="I2370" s="26"/>
    </row>
    <row r="2371" spans="6:9" x14ac:dyDescent="0.3">
      <c r="F2371" s="26"/>
      <c r="G2371" s="26"/>
      <c r="H2371" s="26"/>
      <c r="I2371" s="26"/>
    </row>
    <row r="2372" spans="6:9" x14ac:dyDescent="0.3">
      <c r="F2372" s="26"/>
      <c r="G2372" s="26"/>
      <c r="H2372" s="26"/>
      <c r="I2372" s="26"/>
    </row>
    <row r="2373" spans="6:9" x14ac:dyDescent="0.3">
      <c r="F2373" s="26"/>
      <c r="G2373" s="26"/>
      <c r="H2373" s="26"/>
      <c r="I2373" s="26"/>
    </row>
    <row r="2374" spans="6:9" x14ac:dyDescent="0.3">
      <c r="F2374" s="26"/>
      <c r="G2374" s="26"/>
      <c r="H2374" s="26"/>
      <c r="I2374" s="26"/>
    </row>
    <row r="2375" spans="6:9" x14ac:dyDescent="0.3">
      <c r="F2375" s="26"/>
      <c r="G2375" s="26"/>
      <c r="H2375" s="26"/>
      <c r="I2375" s="26"/>
    </row>
    <row r="2376" spans="6:9" x14ac:dyDescent="0.3">
      <c r="F2376" s="26"/>
      <c r="G2376" s="26"/>
      <c r="H2376" s="26"/>
      <c r="I2376" s="26"/>
    </row>
    <row r="2377" spans="6:9" x14ac:dyDescent="0.3">
      <c r="F2377" s="26"/>
      <c r="G2377" s="26"/>
      <c r="H2377" s="26"/>
      <c r="I2377" s="26"/>
    </row>
    <row r="2378" spans="6:9" x14ac:dyDescent="0.3">
      <c r="F2378" s="26"/>
      <c r="G2378" s="26"/>
      <c r="H2378" s="26"/>
      <c r="I2378" s="26"/>
    </row>
    <row r="2379" spans="6:9" x14ac:dyDescent="0.3">
      <c r="F2379" s="26"/>
      <c r="G2379" s="26"/>
      <c r="H2379" s="26"/>
      <c r="I2379" s="26"/>
    </row>
    <row r="2380" spans="6:9" x14ac:dyDescent="0.3">
      <c r="F2380" s="26"/>
      <c r="G2380" s="26"/>
      <c r="H2380" s="26"/>
      <c r="I2380" s="26"/>
    </row>
    <row r="2381" spans="6:9" x14ac:dyDescent="0.3">
      <c r="F2381" s="26"/>
      <c r="G2381" s="26"/>
      <c r="H2381" s="26"/>
      <c r="I2381" s="26"/>
    </row>
    <row r="2382" spans="6:9" x14ac:dyDescent="0.3">
      <c r="F2382" s="26"/>
      <c r="G2382" s="26"/>
      <c r="H2382" s="26"/>
      <c r="I2382" s="26"/>
    </row>
    <row r="2383" spans="6:9" x14ac:dyDescent="0.3">
      <c r="F2383" s="26"/>
      <c r="G2383" s="26"/>
      <c r="H2383" s="26"/>
      <c r="I2383" s="26"/>
    </row>
    <row r="2384" spans="6:9" x14ac:dyDescent="0.3">
      <c r="F2384" s="26"/>
      <c r="G2384" s="26"/>
      <c r="H2384" s="26"/>
      <c r="I2384" s="26"/>
    </row>
    <row r="2385" spans="6:9" x14ac:dyDescent="0.3">
      <c r="F2385" s="26"/>
      <c r="G2385" s="26"/>
      <c r="H2385" s="26"/>
      <c r="I2385" s="26"/>
    </row>
    <row r="2386" spans="6:9" x14ac:dyDescent="0.3">
      <c r="F2386" s="26"/>
      <c r="G2386" s="26"/>
      <c r="H2386" s="26"/>
      <c r="I2386" s="26"/>
    </row>
    <row r="2387" spans="6:9" x14ac:dyDescent="0.3">
      <c r="F2387" s="26"/>
      <c r="G2387" s="26"/>
      <c r="H2387" s="26"/>
      <c r="I2387" s="26"/>
    </row>
    <row r="2388" spans="6:9" x14ac:dyDescent="0.3">
      <c r="F2388" s="26"/>
      <c r="G2388" s="26"/>
      <c r="H2388" s="26"/>
      <c r="I2388" s="26"/>
    </row>
    <row r="2389" spans="6:9" x14ac:dyDescent="0.3">
      <c r="F2389" s="26"/>
      <c r="G2389" s="26"/>
      <c r="H2389" s="26"/>
      <c r="I2389" s="26"/>
    </row>
    <row r="2390" spans="6:9" x14ac:dyDescent="0.3">
      <c r="F2390" s="26"/>
      <c r="G2390" s="26"/>
      <c r="H2390" s="26"/>
      <c r="I2390" s="26"/>
    </row>
    <row r="2391" spans="6:9" x14ac:dyDescent="0.3">
      <c r="F2391" s="26"/>
      <c r="G2391" s="26"/>
      <c r="H2391" s="26"/>
      <c r="I2391" s="26"/>
    </row>
    <row r="2392" spans="6:9" x14ac:dyDescent="0.3">
      <c r="F2392" s="26"/>
      <c r="G2392" s="26"/>
      <c r="H2392" s="26"/>
      <c r="I2392" s="26"/>
    </row>
    <row r="2393" spans="6:9" x14ac:dyDescent="0.3">
      <c r="F2393" s="26"/>
      <c r="G2393" s="26"/>
      <c r="H2393" s="26"/>
      <c r="I2393" s="26"/>
    </row>
    <row r="2394" spans="6:9" x14ac:dyDescent="0.3">
      <c r="F2394" s="26"/>
      <c r="G2394" s="26"/>
      <c r="H2394" s="26"/>
      <c r="I2394" s="26"/>
    </row>
    <row r="2395" spans="6:9" x14ac:dyDescent="0.3">
      <c r="F2395" s="26"/>
      <c r="G2395" s="26"/>
      <c r="H2395" s="26"/>
      <c r="I2395" s="26"/>
    </row>
    <row r="2396" spans="6:9" x14ac:dyDescent="0.3">
      <c r="F2396" s="26"/>
      <c r="G2396" s="26"/>
      <c r="H2396" s="26"/>
      <c r="I2396" s="26"/>
    </row>
    <row r="2397" spans="6:9" x14ac:dyDescent="0.3">
      <c r="F2397" s="26"/>
      <c r="G2397" s="26"/>
      <c r="H2397" s="26"/>
      <c r="I2397" s="26"/>
    </row>
    <row r="2398" spans="6:9" x14ac:dyDescent="0.3">
      <c r="F2398" s="26"/>
      <c r="G2398" s="26"/>
      <c r="H2398" s="26"/>
      <c r="I2398" s="26"/>
    </row>
    <row r="2399" spans="6:9" x14ac:dyDescent="0.3">
      <c r="F2399" s="26"/>
      <c r="G2399" s="26"/>
      <c r="H2399" s="26"/>
      <c r="I2399" s="26"/>
    </row>
    <row r="2400" spans="6:9" x14ac:dyDescent="0.3">
      <c r="F2400" s="26"/>
      <c r="G2400" s="26"/>
      <c r="H2400" s="26"/>
      <c r="I2400" s="26"/>
    </row>
    <row r="2401" spans="6:9" x14ac:dyDescent="0.3">
      <c r="F2401" s="26"/>
      <c r="G2401" s="26"/>
      <c r="H2401" s="26"/>
      <c r="I2401" s="26"/>
    </row>
    <row r="2402" spans="6:9" x14ac:dyDescent="0.3">
      <c r="F2402" s="26"/>
      <c r="G2402" s="26"/>
      <c r="H2402" s="26"/>
      <c r="I2402" s="26"/>
    </row>
    <row r="2403" spans="6:9" x14ac:dyDescent="0.3">
      <c r="F2403" s="26"/>
      <c r="G2403" s="26"/>
      <c r="H2403" s="26"/>
      <c r="I2403" s="26"/>
    </row>
    <row r="2404" spans="6:9" x14ac:dyDescent="0.3">
      <c r="F2404" s="26"/>
      <c r="G2404" s="26"/>
      <c r="H2404" s="26"/>
      <c r="I2404" s="26"/>
    </row>
    <row r="2405" spans="6:9" x14ac:dyDescent="0.3">
      <c r="F2405" s="26"/>
      <c r="G2405" s="26"/>
      <c r="H2405" s="26"/>
      <c r="I2405" s="26"/>
    </row>
    <row r="2406" spans="6:9" x14ac:dyDescent="0.3">
      <c r="F2406" s="26"/>
      <c r="G2406" s="26"/>
      <c r="H2406" s="26"/>
      <c r="I2406" s="26"/>
    </row>
    <row r="2407" spans="6:9" x14ac:dyDescent="0.3">
      <c r="F2407" s="26"/>
      <c r="G2407" s="26"/>
      <c r="H2407" s="26"/>
      <c r="I2407" s="26"/>
    </row>
    <row r="2408" spans="6:9" x14ac:dyDescent="0.3">
      <c r="F2408" s="26"/>
      <c r="G2408" s="26"/>
      <c r="H2408" s="26"/>
      <c r="I2408" s="26"/>
    </row>
    <row r="2409" spans="6:9" x14ac:dyDescent="0.3">
      <c r="F2409" s="26"/>
      <c r="G2409" s="26"/>
      <c r="H2409" s="26"/>
      <c r="I2409" s="26"/>
    </row>
    <row r="2410" spans="6:9" x14ac:dyDescent="0.3">
      <c r="F2410" s="26"/>
      <c r="G2410" s="26"/>
      <c r="H2410" s="26"/>
      <c r="I2410" s="26"/>
    </row>
    <row r="2411" spans="6:9" x14ac:dyDescent="0.3">
      <c r="F2411" s="26"/>
      <c r="G2411" s="26"/>
      <c r="H2411" s="26"/>
      <c r="I2411" s="26"/>
    </row>
    <row r="2412" spans="6:9" x14ac:dyDescent="0.3">
      <c r="F2412" s="26"/>
      <c r="G2412" s="26"/>
      <c r="H2412" s="26"/>
      <c r="I2412" s="26"/>
    </row>
    <row r="2413" spans="6:9" x14ac:dyDescent="0.3">
      <c r="F2413" s="26"/>
      <c r="G2413" s="26"/>
      <c r="H2413" s="26"/>
      <c r="I2413" s="26"/>
    </row>
    <row r="2414" spans="6:9" x14ac:dyDescent="0.3">
      <c r="F2414" s="26"/>
      <c r="G2414" s="26"/>
      <c r="H2414" s="26"/>
      <c r="I2414" s="26"/>
    </row>
    <row r="2415" spans="6:9" x14ac:dyDescent="0.3">
      <c r="F2415" s="26"/>
      <c r="G2415" s="26"/>
      <c r="H2415" s="26"/>
      <c r="I2415" s="26"/>
    </row>
    <row r="2416" spans="6:9" x14ac:dyDescent="0.3">
      <c r="F2416" s="26"/>
      <c r="G2416" s="26"/>
      <c r="H2416" s="26"/>
      <c r="I2416" s="26"/>
    </row>
    <row r="2417" spans="6:9" x14ac:dyDescent="0.3">
      <c r="F2417" s="26"/>
      <c r="G2417" s="26"/>
      <c r="H2417" s="26"/>
      <c r="I2417" s="26"/>
    </row>
    <row r="2418" spans="6:9" x14ac:dyDescent="0.3">
      <c r="F2418" s="26"/>
      <c r="G2418" s="26"/>
      <c r="H2418" s="26"/>
      <c r="I2418" s="26"/>
    </row>
    <row r="2419" spans="6:9" x14ac:dyDescent="0.3">
      <c r="F2419" s="26"/>
      <c r="G2419" s="26"/>
      <c r="H2419" s="26"/>
      <c r="I2419" s="26"/>
    </row>
    <row r="2420" spans="6:9" x14ac:dyDescent="0.3">
      <c r="F2420" s="26"/>
      <c r="G2420" s="26"/>
      <c r="H2420" s="26"/>
      <c r="I2420" s="26"/>
    </row>
    <row r="2421" spans="6:9" x14ac:dyDescent="0.3">
      <c r="F2421" s="26"/>
      <c r="G2421" s="26"/>
      <c r="H2421" s="26"/>
      <c r="I2421" s="26"/>
    </row>
    <row r="2422" spans="6:9" x14ac:dyDescent="0.3">
      <c r="F2422" s="26"/>
      <c r="G2422" s="26"/>
      <c r="H2422" s="26"/>
      <c r="I2422" s="26"/>
    </row>
    <row r="2423" spans="6:9" x14ac:dyDescent="0.3">
      <c r="F2423" s="26"/>
      <c r="G2423" s="26"/>
      <c r="H2423" s="26"/>
      <c r="I2423" s="26"/>
    </row>
    <row r="2424" spans="6:9" x14ac:dyDescent="0.3">
      <c r="F2424" s="26"/>
      <c r="G2424" s="26"/>
      <c r="H2424" s="26"/>
      <c r="I2424" s="26"/>
    </row>
    <row r="2425" spans="6:9" x14ac:dyDescent="0.3">
      <c r="F2425" s="26"/>
      <c r="G2425" s="26"/>
      <c r="H2425" s="26"/>
      <c r="I2425" s="26"/>
    </row>
    <row r="2426" spans="6:9" x14ac:dyDescent="0.3">
      <c r="F2426" s="26"/>
      <c r="G2426" s="26"/>
      <c r="H2426" s="26"/>
      <c r="I2426" s="26"/>
    </row>
    <row r="2427" spans="6:9" x14ac:dyDescent="0.3">
      <c r="F2427" s="26"/>
      <c r="G2427" s="26"/>
      <c r="H2427" s="26"/>
      <c r="I2427" s="26"/>
    </row>
    <row r="2428" spans="6:9" x14ac:dyDescent="0.3">
      <c r="F2428" s="26"/>
      <c r="G2428" s="26"/>
      <c r="H2428" s="26"/>
      <c r="I2428" s="26"/>
    </row>
    <row r="2429" spans="6:9" x14ac:dyDescent="0.3">
      <c r="F2429" s="26"/>
      <c r="G2429" s="26"/>
      <c r="H2429" s="26"/>
      <c r="I2429" s="26"/>
    </row>
    <row r="2430" spans="6:9" x14ac:dyDescent="0.3">
      <c r="F2430" s="26"/>
      <c r="G2430" s="26"/>
      <c r="H2430" s="26"/>
      <c r="I2430" s="26"/>
    </row>
    <row r="2431" spans="6:9" x14ac:dyDescent="0.3">
      <c r="F2431" s="26"/>
      <c r="G2431" s="26"/>
      <c r="H2431" s="26"/>
      <c r="I2431" s="26"/>
    </row>
    <row r="2432" spans="6:9" x14ac:dyDescent="0.3">
      <c r="F2432" s="26"/>
      <c r="G2432" s="26"/>
      <c r="H2432" s="26"/>
      <c r="I2432" s="26"/>
    </row>
    <row r="2433" spans="6:9" x14ac:dyDescent="0.3">
      <c r="F2433" s="26"/>
      <c r="G2433" s="26"/>
      <c r="H2433" s="26"/>
      <c r="I2433" s="26"/>
    </row>
    <row r="2434" spans="6:9" x14ac:dyDescent="0.3">
      <c r="F2434" s="26"/>
      <c r="G2434" s="26"/>
      <c r="H2434" s="26"/>
      <c r="I2434" s="26"/>
    </row>
    <row r="2435" spans="6:9" x14ac:dyDescent="0.3">
      <c r="F2435" s="26"/>
      <c r="G2435" s="26"/>
      <c r="H2435" s="26"/>
      <c r="I2435" s="26"/>
    </row>
    <row r="2436" spans="6:9" x14ac:dyDescent="0.3">
      <c r="F2436" s="26"/>
      <c r="G2436" s="26"/>
      <c r="H2436" s="26"/>
      <c r="I2436" s="26"/>
    </row>
    <row r="2437" spans="6:9" x14ac:dyDescent="0.3">
      <c r="F2437" s="26"/>
      <c r="G2437" s="26"/>
      <c r="H2437" s="26"/>
      <c r="I2437" s="26"/>
    </row>
    <row r="2438" spans="6:9" x14ac:dyDescent="0.3">
      <c r="F2438" s="26"/>
      <c r="G2438" s="26"/>
      <c r="H2438" s="26"/>
      <c r="I2438" s="26"/>
    </row>
    <row r="2439" spans="6:9" x14ac:dyDescent="0.3">
      <c r="F2439" s="26"/>
      <c r="G2439" s="26"/>
      <c r="H2439" s="26"/>
      <c r="I2439" s="26"/>
    </row>
    <row r="2440" spans="6:9" x14ac:dyDescent="0.3">
      <c r="F2440" s="26"/>
      <c r="G2440" s="26"/>
      <c r="H2440" s="26"/>
      <c r="I2440" s="26"/>
    </row>
    <row r="2441" spans="6:9" x14ac:dyDescent="0.3">
      <c r="F2441" s="26"/>
      <c r="G2441" s="26"/>
      <c r="H2441" s="26"/>
      <c r="I2441" s="26"/>
    </row>
    <row r="2442" spans="6:9" x14ac:dyDescent="0.3">
      <c r="F2442" s="26"/>
      <c r="G2442" s="26"/>
      <c r="H2442" s="26"/>
      <c r="I2442" s="26"/>
    </row>
    <row r="2443" spans="6:9" x14ac:dyDescent="0.3">
      <c r="F2443" s="26"/>
      <c r="G2443" s="26"/>
      <c r="H2443" s="26"/>
      <c r="I2443" s="26"/>
    </row>
    <row r="2444" spans="6:9" x14ac:dyDescent="0.3">
      <c r="F2444" s="26"/>
      <c r="G2444" s="26"/>
      <c r="H2444" s="26"/>
      <c r="I2444" s="26"/>
    </row>
    <row r="2445" spans="6:9" x14ac:dyDescent="0.3">
      <c r="F2445" s="26"/>
      <c r="G2445" s="26"/>
      <c r="H2445" s="26"/>
      <c r="I2445" s="26"/>
    </row>
    <row r="2446" spans="6:9" x14ac:dyDescent="0.3">
      <c r="F2446" s="26"/>
      <c r="G2446" s="26"/>
      <c r="H2446" s="26"/>
      <c r="I2446" s="26"/>
    </row>
    <row r="2447" spans="6:9" x14ac:dyDescent="0.3">
      <c r="F2447" s="26"/>
      <c r="G2447" s="26"/>
      <c r="H2447" s="26"/>
      <c r="I2447" s="26"/>
    </row>
    <row r="2448" spans="6:9" x14ac:dyDescent="0.3">
      <c r="F2448" s="26"/>
      <c r="G2448" s="26"/>
      <c r="H2448" s="26"/>
      <c r="I2448" s="26"/>
    </row>
    <row r="2449" spans="6:9" x14ac:dyDescent="0.3">
      <c r="F2449" s="26"/>
      <c r="G2449" s="26"/>
      <c r="H2449" s="26"/>
      <c r="I2449" s="26"/>
    </row>
    <row r="2450" spans="6:9" x14ac:dyDescent="0.3">
      <c r="F2450" s="26"/>
      <c r="G2450" s="26"/>
      <c r="H2450" s="26"/>
      <c r="I2450" s="26"/>
    </row>
    <row r="2451" spans="6:9" x14ac:dyDescent="0.3">
      <c r="F2451" s="26"/>
      <c r="G2451" s="26"/>
      <c r="H2451" s="26"/>
      <c r="I2451" s="26"/>
    </row>
    <row r="2452" spans="6:9" x14ac:dyDescent="0.3">
      <c r="F2452" s="26"/>
      <c r="G2452" s="26"/>
      <c r="H2452" s="26"/>
      <c r="I2452" s="26"/>
    </row>
    <row r="2453" spans="6:9" x14ac:dyDescent="0.3">
      <c r="F2453" s="26"/>
      <c r="G2453" s="26"/>
      <c r="H2453" s="26"/>
      <c r="I2453" s="26"/>
    </row>
    <row r="2454" spans="6:9" x14ac:dyDescent="0.3">
      <c r="F2454" s="26"/>
      <c r="G2454" s="26"/>
      <c r="H2454" s="26"/>
      <c r="I2454" s="26"/>
    </row>
    <row r="2455" spans="6:9" x14ac:dyDescent="0.3">
      <c r="F2455" s="26"/>
      <c r="G2455" s="26"/>
      <c r="H2455" s="26"/>
      <c r="I2455" s="26"/>
    </row>
    <row r="2456" spans="6:9" x14ac:dyDescent="0.3">
      <c r="F2456" s="26"/>
      <c r="G2456" s="26"/>
      <c r="H2456" s="26"/>
      <c r="I2456" s="26"/>
    </row>
    <row r="2457" spans="6:9" x14ac:dyDescent="0.3">
      <c r="F2457" s="26"/>
      <c r="G2457" s="26"/>
      <c r="H2457" s="26"/>
      <c r="I2457" s="26"/>
    </row>
    <row r="2458" spans="6:9" x14ac:dyDescent="0.3">
      <c r="F2458" s="26"/>
      <c r="G2458" s="26"/>
      <c r="H2458" s="26"/>
      <c r="I2458" s="26"/>
    </row>
    <row r="2459" spans="6:9" x14ac:dyDescent="0.3">
      <c r="F2459" s="26"/>
      <c r="G2459" s="26"/>
      <c r="H2459" s="26"/>
      <c r="I2459" s="26"/>
    </row>
    <row r="2460" spans="6:9" x14ac:dyDescent="0.3">
      <c r="F2460" s="26"/>
      <c r="G2460" s="26"/>
      <c r="H2460" s="26"/>
      <c r="I2460" s="26"/>
    </row>
    <row r="2461" spans="6:9" x14ac:dyDescent="0.3">
      <c r="F2461" s="26"/>
      <c r="G2461" s="26"/>
      <c r="H2461" s="26"/>
      <c r="I2461" s="26"/>
    </row>
    <row r="2462" spans="6:9" x14ac:dyDescent="0.3">
      <c r="F2462" s="26"/>
      <c r="G2462" s="26"/>
      <c r="H2462" s="26"/>
      <c r="I2462" s="26"/>
    </row>
    <row r="2463" spans="6:9" x14ac:dyDescent="0.3">
      <c r="F2463" s="26"/>
      <c r="G2463" s="26"/>
      <c r="H2463" s="26"/>
      <c r="I2463" s="26"/>
    </row>
    <row r="2464" spans="6:9" x14ac:dyDescent="0.3">
      <c r="F2464" s="26"/>
      <c r="G2464" s="26"/>
      <c r="H2464" s="26"/>
      <c r="I2464" s="26"/>
    </row>
    <row r="2465" spans="6:9" x14ac:dyDescent="0.3">
      <c r="F2465" s="26"/>
      <c r="G2465" s="26"/>
      <c r="H2465" s="26"/>
      <c r="I2465" s="26"/>
    </row>
    <row r="2466" spans="6:9" x14ac:dyDescent="0.3">
      <c r="F2466" s="26"/>
      <c r="G2466" s="26"/>
      <c r="H2466" s="26"/>
      <c r="I2466" s="26"/>
    </row>
    <row r="2467" spans="6:9" x14ac:dyDescent="0.3">
      <c r="F2467" s="26"/>
      <c r="G2467" s="26"/>
      <c r="H2467" s="26"/>
      <c r="I2467" s="26"/>
    </row>
    <row r="2468" spans="6:9" x14ac:dyDescent="0.3">
      <c r="F2468" s="26"/>
      <c r="G2468" s="26"/>
      <c r="H2468" s="26"/>
      <c r="I2468" s="26"/>
    </row>
    <row r="2469" spans="6:9" x14ac:dyDescent="0.3">
      <c r="F2469" s="26"/>
      <c r="G2469" s="26"/>
      <c r="H2469" s="26"/>
      <c r="I2469" s="26"/>
    </row>
    <row r="2470" spans="6:9" x14ac:dyDescent="0.3">
      <c r="F2470" s="26"/>
      <c r="G2470" s="26"/>
      <c r="H2470" s="26"/>
      <c r="I2470" s="26"/>
    </row>
    <row r="2471" spans="6:9" x14ac:dyDescent="0.3">
      <c r="F2471" s="26"/>
      <c r="G2471" s="26"/>
      <c r="H2471" s="26"/>
      <c r="I2471" s="26"/>
    </row>
    <row r="2472" spans="6:9" x14ac:dyDescent="0.3">
      <c r="F2472" s="26"/>
      <c r="G2472" s="26"/>
      <c r="H2472" s="26"/>
      <c r="I2472" s="26"/>
    </row>
    <row r="2473" spans="6:9" x14ac:dyDescent="0.3">
      <c r="F2473" s="26"/>
      <c r="G2473" s="26"/>
      <c r="H2473" s="26"/>
      <c r="I2473" s="26"/>
    </row>
    <row r="2474" spans="6:9" x14ac:dyDescent="0.3">
      <c r="F2474" s="26"/>
      <c r="G2474" s="26"/>
      <c r="H2474" s="26"/>
      <c r="I2474" s="26"/>
    </row>
    <row r="2475" spans="6:9" x14ac:dyDescent="0.3">
      <c r="F2475" s="26"/>
      <c r="G2475" s="26"/>
      <c r="H2475" s="26"/>
      <c r="I2475" s="26"/>
    </row>
    <row r="2476" spans="6:9" x14ac:dyDescent="0.3">
      <c r="F2476" s="26"/>
      <c r="G2476" s="26"/>
      <c r="H2476" s="26"/>
      <c r="I2476" s="26"/>
    </row>
    <row r="2477" spans="6:9" x14ac:dyDescent="0.3">
      <c r="F2477" s="26"/>
      <c r="G2477" s="26"/>
      <c r="H2477" s="26"/>
      <c r="I2477" s="26"/>
    </row>
    <row r="2478" spans="6:9" x14ac:dyDescent="0.3">
      <c r="F2478" s="26"/>
      <c r="G2478" s="26"/>
      <c r="H2478" s="26"/>
      <c r="I2478" s="26"/>
    </row>
    <row r="2479" spans="6:9" x14ac:dyDescent="0.3">
      <c r="F2479" s="26"/>
      <c r="G2479" s="26"/>
      <c r="H2479" s="26"/>
      <c r="I2479" s="26"/>
    </row>
    <row r="2480" spans="6:9" x14ac:dyDescent="0.3">
      <c r="F2480" s="26"/>
      <c r="G2480" s="26"/>
      <c r="H2480" s="26"/>
      <c r="I2480" s="26"/>
    </row>
    <row r="2481" spans="6:9" x14ac:dyDescent="0.3">
      <c r="F2481" s="26"/>
      <c r="G2481" s="26"/>
      <c r="H2481" s="26"/>
      <c r="I2481" s="26"/>
    </row>
    <row r="2482" spans="6:9" x14ac:dyDescent="0.3">
      <c r="F2482" s="26"/>
      <c r="G2482" s="26"/>
      <c r="H2482" s="26"/>
      <c r="I2482" s="26"/>
    </row>
    <row r="2483" spans="6:9" x14ac:dyDescent="0.3">
      <c r="F2483" s="26"/>
      <c r="G2483" s="26"/>
      <c r="H2483" s="26"/>
      <c r="I2483" s="26"/>
    </row>
    <row r="2484" spans="6:9" x14ac:dyDescent="0.3">
      <c r="F2484" s="26"/>
      <c r="G2484" s="26"/>
      <c r="H2484" s="26"/>
      <c r="I2484" s="26"/>
    </row>
    <row r="2485" spans="6:9" x14ac:dyDescent="0.3">
      <c r="F2485" s="26"/>
      <c r="G2485" s="26"/>
      <c r="H2485" s="26"/>
      <c r="I2485" s="26"/>
    </row>
    <row r="2486" spans="6:9" x14ac:dyDescent="0.3">
      <c r="F2486" s="26"/>
      <c r="G2486" s="26"/>
      <c r="H2486" s="26"/>
      <c r="I2486" s="26"/>
    </row>
    <row r="2487" spans="6:9" x14ac:dyDescent="0.3">
      <c r="F2487" s="26"/>
      <c r="G2487" s="26"/>
      <c r="H2487" s="26"/>
      <c r="I2487" s="26"/>
    </row>
    <row r="2488" spans="6:9" x14ac:dyDescent="0.3">
      <c r="F2488" s="26"/>
      <c r="G2488" s="26"/>
      <c r="H2488" s="26"/>
      <c r="I2488" s="26"/>
    </row>
    <row r="2489" spans="6:9" x14ac:dyDescent="0.3">
      <c r="F2489" s="26"/>
      <c r="G2489" s="26"/>
      <c r="H2489" s="26"/>
      <c r="I2489" s="26"/>
    </row>
    <row r="2490" spans="6:9" x14ac:dyDescent="0.3">
      <c r="F2490" s="26"/>
      <c r="G2490" s="26"/>
      <c r="H2490" s="26"/>
      <c r="I2490" s="26"/>
    </row>
    <row r="2491" spans="6:9" x14ac:dyDescent="0.3">
      <c r="F2491" s="26"/>
      <c r="G2491" s="26"/>
      <c r="H2491" s="26"/>
      <c r="I2491" s="26"/>
    </row>
    <row r="2492" spans="6:9" x14ac:dyDescent="0.3">
      <c r="F2492" s="26"/>
      <c r="G2492" s="26"/>
      <c r="H2492" s="26"/>
      <c r="I2492" s="26"/>
    </row>
    <row r="2493" spans="6:9" x14ac:dyDescent="0.3">
      <c r="F2493" s="26"/>
      <c r="G2493" s="26"/>
      <c r="H2493" s="26"/>
      <c r="I2493" s="26"/>
    </row>
    <row r="2494" spans="6:9" x14ac:dyDescent="0.3">
      <c r="F2494" s="26"/>
      <c r="G2494" s="26"/>
      <c r="H2494" s="26"/>
      <c r="I2494" s="26"/>
    </row>
    <row r="2495" spans="6:9" x14ac:dyDescent="0.3">
      <c r="F2495" s="26"/>
      <c r="G2495" s="26"/>
      <c r="H2495" s="26"/>
      <c r="I2495" s="26"/>
    </row>
    <row r="2496" spans="6:9" x14ac:dyDescent="0.3">
      <c r="F2496" s="26"/>
      <c r="G2496" s="26"/>
      <c r="H2496" s="26"/>
      <c r="I2496" s="26"/>
    </row>
    <row r="2497" spans="6:9" x14ac:dyDescent="0.3">
      <c r="F2497" s="26"/>
      <c r="G2497" s="26"/>
      <c r="H2497" s="26"/>
      <c r="I2497" s="26"/>
    </row>
    <row r="2498" spans="6:9" x14ac:dyDescent="0.3">
      <c r="F2498" s="26"/>
      <c r="G2498" s="26"/>
      <c r="H2498" s="26"/>
      <c r="I2498" s="26"/>
    </row>
    <row r="2499" spans="6:9" x14ac:dyDescent="0.3">
      <c r="F2499" s="26"/>
      <c r="G2499" s="26"/>
      <c r="H2499" s="26"/>
      <c r="I2499" s="26"/>
    </row>
    <row r="2500" spans="6:9" x14ac:dyDescent="0.3">
      <c r="F2500" s="26"/>
      <c r="G2500" s="26"/>
      <c r="H2500" s="26"/>
      <c r="I2500" s="26"/>
    </row>
    <row r="2501" spans="6:9" x14ac:dyDescent="0.3">
      <c r="F2501" s="26"/>
      <c r="G2501" s="26"/>
      <c r="H2501" s="26"/>
      <c r="I2501" s="26"/>
    </row>
    <row r="2502" spans="6:9" x14ac:dyDescent="0.3">
      <c r="F2502" s="26"/>
      <c r="G2502" s="26"/>
      <c r="H2502" s="26"/>
      <c r="I2502" s="26"/>
    </row>
    <row r="2503" spans="6:9" x14ac:dyDescent="0.3">
      <c r="F2503" s="26"/>
      <c r="G2503" s="26"/>
      <c r="H2503" s="26"/>
      <c r="I2503" s="26"/>
    </row>
    <row r="2504" spans="6:9" x14ac:dyDescent="0.3">
      <c r="F2504" s="26"/>
      <c r="G2504" s="26"/>
      <c r="H2504" s="26"/>
      <c r="I2504" s="26"/>
    </row>
    <row r="2505" spans="6:9" x14ac:dyDescent="0.3">
      <c r="F2505" s="26"/>
      <c r="G2505" s="26"/>
      <c r="H2505" s="26"/>
      <c r="I2505" s="26"/>
    </row>
    <row r="2506" spans="6:9" x14ac:dyDescent="0.3">
      <c r="F2506" s="26"/>
      <c r="G2506" s="26"/>
      <c r="H2506" s="26"/>
      <c r="I2506" s="26"/>
    </row>
    <row r="2507" spans="6:9" x14ac:dyDescent="0.3">
      <c r="F2507" s="26"/>
      <c r="G2507" s="26"/>
      <c r="H2507" s="26"/>
      <c r="I2507" s="26"/>
    </row>
    <row r="2508" spans="6:9" x14ac:dyDescent="0.3">
      <c r="F2508" s="26"/>
      <c r="G2508" s="26"/>
      <c r="H2508" s="26"/>
      <c r="I2508" s="26"/>
    </row>
    <row r="2509" spans="6:9" x14ac:dyDescent="0.3">
      <c r="F2509" s="26"/>
      <c r="G2509" s="26"/>
      <c r="H2509" s="26"/>
      <c r="I2509" s="26"/>
    </row>
    <row r="2510" spans="6:9" x14ac:dyDescent="0.3">
      <c r="F2510" s="26"/>
      <c r="G2510" s="26"/>
      <c r="H2510" s="26"/>
      <c r="I2510" s="26"/>
    </row>
    <row r="2511" spans="6:9" x14ac:dyDescent="0.3">
      <c r="F2511" s="26"/>
      <c r="G2511" s="26"/>
      <c r="H2511" s="26"/>
      <c r="I2511" s="26"/>
    </row>
    <row r="2512" spans="6:9" x14ac:dyDescent="0.3">
      <c r="F2512" s="26"/>
      <c r="G2512" s="26"/>
      <c r="H2512" s="26"/>
      <c r="I2512" s="26"/>
    </row>
    <row r="2513" spans="6:9" x14ac:dyDescent="0.3">
      <c r="F2513" s="26"/>
      <c r="G2513" s="26"/>
      <c r="H2513" s="26"/>
      <c r="I2513" s="26"/>
    </row>
    <row r="2514" spans="6:9" x14ac:dyDescent="0.3">
      <c r="F2514" s="26"/>
      <c r="G2514" s="26"/>
      <c r="H2514" s="26"/>
      <c r="I2514" s="26"/>
    </row>
    <row r="2515" spans="6:9" x14ac:dyDescent="0.3">
      <c r="F2515" s="26"/>
      <c r="G2515" s="26"/>
      <c r="H2515" s="26"/>
      <c r="I2515" s="26"/>
    </row>
    <row r="2516" spans="6:9" x14ac:dyDescent="0.3">
      <c r="F2516" s="26"/>
      <c r="G2516" s="26"/>
      <c r="H2516" s="26"/>
      <c r="I2516" s="26"/>
    </row>
    <row r="2517" spans="6:9" x14ac:dyDescent="0.3">
      <c r="F2517" s="26"/>
      <c r="G2517" s="26"/>
      <c r="H2517" s="26"/>
      <c r="I2517" s="26"/>
    </row>
    <row r="2518" spans="6:9" x14ac:dyDescent="0.3">
      <c r="F2518" s="26"/>
      <c r="G2518" s="26"/>
      <c r="H2518" s="26"/>
      <c r="I2518" s="26"/>
    </row>
    <row r="2519" spans="6:9" x14ac:dyDescent="0.3">
      <c r="F2519" s="26"/>
      <c r="G2519" s="26"/>
      <c r="H2519" s="26"/>
      <c r="I2519" s="26"/>
    </row>
    <row r="2520" spans="6:9" x14ac:dyDescent="0.3">
      <c r="F2520" s="26"/>
      <c r="G2520" s="26"/>
      <c r="H2520" s="26"/>
      <c r="I2520" s="26"/>
    </row>
    <row r="2521" spans="6:9" x14ac:dyDescent="0.3">
      <c r="F2521" s="26"/>
      <c r="G2521" s="26"/>
      <c r="H2521" s="26"/>
      <c r="I2521" s="26"/>
    </row>
    <row r="2522" spans="6:9" x14ac:dyDescent="0.3">
      <c r="F2522" s="26"/>
      <c r="G2522" s="26"/>
      <c r="H2522" s="26"/>
      <c r="I2522" s="26"/>
    </row>
    <row r="2523" spans="6:9" x14ac:dyDescent="0.3">
      <c r="F2523" s="26"/>
      <c r="G2523" s="26"/>
      <c r="H2523" s="26"/>
      <c r="I2523" s="26"/>
    </row>
    <row r="2524" spans="6:9" x14ac:dyDescent="0.3">
      <c r="F2524" s="26"/>
      <c r="G2524" s="26"/>
      <c r="H2524" s="26"/>
      <c r="I2524" s="26"/>
    </row>
    <row r="2525" spans="6:9" x14ac:dyDescent="0.3">
      <c r="F2525" s="26"/>
      <c r="G2525" s="26"/>
      <c r="H2525" s="26"/>
      <c r="I2525" s="26"/>
    </row>
    <row r="2526" spans="6:9" x14ac:dyDescent="0.3">
      <c r="F2526" s="26"/>
      <c r="G2526" s="26"/>
      <c r="H2526" s="26"/>
      <c r="I2526" s="26"/>
    </row>
    <row r="2527" spans="6:9" x14ac:dyDescent="0.3">
      <c r="F2527" s="26"/>
      <c r="G2527" s="26"/>
      <c r="H2527" s="26"/>
      <c r="I2527" s="26"/>
    </row>
    <row r="2528" spans="6:9" x14ac:dyDescent="0.3">
      <c r="F2528" s="26"/>
      <c r="G2528" s="26"/>
      <c r="H2528" s="26"/>
      <c r="I2528" s="26"/>
    </row>
    <row r="2529" spans="6:9" x14ac:dyDescent="0.3">
      <c r="F2529" s="26"/>
      <c r="G2529" s="26"/>
      <c r="H2529" s="26"/>
      <c r="I2529" s="26"/>
    </row>
    <row r="2530" spans="6:9" x14ac:dyDescent="0.3">
      <c r="F2530" s="26"/>
      <c r="G2530" s="26"/>
      <c r="H2530" s="26"/>
      <c r="I2530" s="26"/>
    </row>
    <row r="2531" spans="6:9" x14ac:dyDescent="0.3">
      <c r="F2531" s="26"/>
      <c r="G2531" s="26"/>
      <c r="H2531" s="26"/>
      <c r="I2531" s="26"/>
    </row>
    <row r="2532" spans="6:9" x14ac:dyDescent="0.3">
      <c r="F2532" s="26"/>
      <c r="G2532" s="26"/>
      <c r="H2532" s="26"/>
      <c r="I2532" s="26"/>
    </row>
    <row r="2533" spans="6:9" x14ac:dyDescent="0.3">
      <c r="F2533" s="26"/>
      <c r="G2533" s="26"/>
      <c r="H2533" s="26"/>
      <c r="I2533" s="26"/>
    </row>
    <row r="2534" spans="6:9" x14ac:dyDescent="0.3">
      <c r="F2534" s="26"/>
      <c r="G2534" s="26"/>
      <c r="H2534" s="26"/>
      <c r="I2534" s="26"/>
    </row>
    <row r="2535" spans="6:9" x14ac:dyDescent="0.3">
      <c r="F2535" s="26"/>
      <c r="G2535" s="26"/>
      <c r="H2535" s="26"/>
      <c r="I2535" s="26"/>
    </row>
    <row r="2536" spans="6:9" x14ac:dyDescent="0.3">
      <c r="F2536" s="26"/>
      <c r="G2536" s="26"/>
      <c r="H2536" s="26"/>
      <c r="I2536" s="26"/>
    </row>
    <row r="2537" spans="6:9" x14ac:dyDescent="0.3">
      <c r="F2537" s="26"/>
      <c r="G2537" s="26"/>
      <c r="H2537" s="26"/>
      <c r="I2537" s="26"/>
    </row>
    <row r="2538" spans="6:9" x14ac:dyDescent="0.3">
      <c r="F2538" s="26"/>
      <c r="G2538" s="26"/>
      <c r="H2538" s="26"/>
      <c r="I2538" s="26"/>
    </row>
    <row r="2539" spans="6:9" x14ac:dyDescent="0.3">
      <c r="F2539" s="26"/>
      <c r="G2539" s="26"/>
      <c r="H2539" s="26"/>
      <c r="I2539" s="26"/>
    </row>
    <row r="2540" spans="6:9" x14ac:dyDescent="0.3">
      <c r="F2540" s="26"/>
      <c r="G2540" s="26"/>
      <c r="H2540" s="26"/>
      <c r="I2540" s="26"/>
    </row>
    <row r="2541" spans="6:9" x14ac:dyDescent="0.3">
      <c r="F2541" s="26"/>
      <c r="G2541" s="26"/>
      <c r="H2541" s="26"/>
      <c r="I2541" s="26"/>
    </row>
    <row r="2542" spans="6:9" x14ac:dyDescent="0.3">
      <c r="F2542" s="26"/>
      <c r="G2542" s="26"/>
      <c r="H2542" s="26"/>
      <c r="I2542" s="26"/>
    </row>
    <row r="2543" spans="6:9" x14ac:dyDescent="0.3">
      <c r="F2543" s="26"/>
      <c r="G2543" s="26"/>
      <c r="H2543" s="26"/>
      <c r="I2543" s="26"/>
    </row>
    <row r="2544" spans="6:9" x14ac:dyDescent="0.3">
      <c r="F2544" s="26"/>
      <c r="G2544" s="26"/>
      <c r="H2544" s="26"/>
      <c r="I2544" s="26"/>
    </row>
    <row r="2545" spans="6:9" x14ac:dyDescent="0.3">
      <c r="F2545" s="26"/>
      <c r="G2545" s="26"/>
      <c r="H2545" s="26"/>
      <c r="I2545" s="26"/>
    </row>
    <row r="2546" spans="6:9" x14ac:dyDescent="0.3">
      <c r="F2546" s="26"/>
      <c r="G2546" s="26"/>
      <c r="H2546" s="26"/>
      <c r="I2546" s="26"/>
    </row>
    <row r="2547" spans="6:9" x14ac:dyDescent="0.3">
      <c r="F2547" s="26"/>
      <c r="G2547" s="26"/>
      <c r="H2547" s="26"/>
      <c r="I2547" s="26"/>
    </row>
    <row r="2548" spans="6:9" x14ac:dyDescent="0.3">
      <c r="F2548" s="26"/>
      <c r="G2548" s="26"/>
      <c r="H2548" s="26"/>
      <c r="I2548" s="26"/>
    </row>
    <row r="2549" spans="6:9" x14ac:dyDescent="0.3">
      <c r="F2549" s="26"/>
      <c r="G2549" s="26"/>
      <c r="H2549" s="26"/>
      <c r="I2549" s="26"/>
    </row>
    <row r="2550" spans="6:9" x14ac:dyDescent="0.3">
      <c r="F2550" s="26"/>
      <c r="G2550" s="26"/>
      <c r="H2550" s="26"/>
      <c r="I2550" s="26"/>
    </row>
    <row r="2551" spans="6:9" x14ac:dyDescent="0.3">
      <c r="F2551" s="26"/>
      <c r="G2551" s="26"/>
      <c r="H2551" s="26"/>
      <c r="I2551" s="26"/>
    </row>
    <row r="2552" spans="6:9" x14ac:dyDescent="0.3">
      <c r="F2552" s="26"/>
      <c r="G2552" s="26"/>
      <c r="H2552" s="26"/>
      <c r="I2552" s="26"/>
    </row>
    <row r="2553" spans="6:9" x14ac:dyDescent="0.3">
      <c r="F2553" s="26"/>
      <c r="G2553" s="26"/>
      <c r="H2553" s="26"/>
      <c r="I2553" s="26"/>
    </row>
    <row r="2554" spans="6:9" x14ac:dyDescent="0.3">
      <c r="F2554" s="26"/>
      <c r="G2554" s="26"/>
      <c r="H2554" s="26"/>
      <c r="I2554" s="26"/>
    </row>
    <row r="2555" spans="6:9" x14ac:dyDescent="0.3">
      <c r="F2555" s="26"/>
      <c r="G2555" s="26"/>
      <c r="H2555" s="26"/>
      <c r="I2555" s="26"/>
    </row>
    <row r="2556" spans="6:9" x14ac:dyDescent="0.3">
      <c r="F2556" s="26"/>
      <c r="G2556" s="26"/>
      <c r="H2556" s="26"/>
      <c r="I2556" s="26"/>
    </row>
    <row r="2557" spans="6:9" x14ac:dyDescent="0.3">
      <c r="F2557" s="26"/>
      <c r="G2557" s="26"/>
      <c r="H2557" s="26"/>
      <c r="I2557" s="26"/>
    </row>
    <row r="2558" spans="6:9" x14ac:dyDescent="0.3">
      <c r="F2558" s="26"/>
      <c r="G2558" s="26"/>
      <c r="H2558" s="26"/>
      <c r="I2558" s="26"/>
    </row>
    <row r="2559" spans="6:9" x14ac:dyDescent="0.3">
      <c r="F2559" s="26"/>
      <c r="G2559" s="26"/>
      <c r="H2559" s="26"/>
      <c r="I2559" s="26"/>
    </row>
    <row r="2560" spans="6:9" x14ac:dyDescent="0.3">
      <c r="F2560" s="26"/>
      <c r="G2560" s="26"/>
      <c r="H2560" s="26"/>
      <c r="I2560" s="26"/>
    </row>
    <row r="2561" spans="6:9" x14ac:dyDescent="0.3">
      <c r="F2561" s="26"/>
      <c r="G2561" s="26"/>
      <c r="H2561" s="26"/>
      <c r="I2561" s="26"/>
    </row>
    <row r="2562" spans="6:9" x14ac:dyDescent="0.3">
      <c r="F2562" s="26"/>
      <c r="G2562" s="26"/>
      <c r="H2562" s="26"/>
      <c r="I2562" s="26"/>
    </row>
    <row r="2563" spans="6:9" x14ac:dyDescent="0.3">
      <c r="F2563" s="26"/>
      <c r="G2563" s="26"/>
      <c r="H2563" s="26"/>
      <c r="I2563" s="26"/>
    </row>
    <row r="2564" spans="6:9" x14ac:dyDescent="0.3">
      <c r="F2564" s="26"/>
      <c r="G2564" s="26"/>
      <c r="H2564" s="26"/>
      <c r="I2564" s="26"/>
    </row>
    <row r="2565" spans="6:9" x14ac:dyDescent="0.3">
      <c r="F2565" s="26"/>
      <c r="G2565" s="26"/>
      <c r="H2565" s="26"/>
      <c r="I2565" s="26"/>
    </row>
    <row r="2566" spans="6:9" x14ac:dyDescent="0.3">
      <c r="F2566" s="26"/>
      <c r="G2566" s="26"/>
      <c r="H2566" s="26"/>
      <c r="I2566" s="26"/>
    </row>
    <row r="2567" spans="6:9" x14ac:dyDescent="0.3">
      <c r="F2567" s="26"/>
      <c r="G2567" s="26"/>
      <c r="H2567" s="26"/>
      <c r="I2567" s="26"/>
    </row>
    <row r="2568" spans="6:9" x14ac:dyDescent="0.3">
      <c r="F2568" s="26"/>
      <c r="G2568" s="26"/>
      <c r="H2568" s="26"/>
      <c r="I2568" s="26"/>
    </row>
    <row r="2569" spans="6:9" x14ac:dyDescent="0.3">
      <c r="F2569" s="26"/>
      <c r="G2569" s="26"/>
      <c r="H2569" s="26"/>
      <c r="I2569" s="26"/>
    </row>
    <row r="2570" spans="6:9" x14ac:dyDescent="0.3">
      <c r="F2570" s="26"/>
      <c r="G2570" s="26"/>
      <c r="H2570" s="26"/>
      <c r="I2570" s="26"/>
    </row>
    <row r="2571" spans="6:9" x14ac:dyDescent="0.3">
      <c r="F2571" s="26"/>
      <c r="G2571" s="26"/>
      <c r="H2571" s="26"/>
      <c r="I2571" s="26"/>
    </row>
    <row r="2572" spans="6:9" x14ac:dyDescent="0.3">
      <c r="F2572" s="26"/>
      <c r="G2572" s="26"/>
      <c r="H2572" s="26"/>
      <c r="I2572" s="26"/>
    </row>
    <row r="2573" spans="6:9" x14ac:dyDescent="0.3">
      <c r="F2573" s="26"/>
      <c r="G2573" s="26"/>
      <c r="H2573" s="26"/>
      <c r="I2573" s="26"/>
    </row>
    <row r="2574" spans="6:9" x14ac:dyDescent="0.3">
      <c r="F2574" s="26"/>
      <c r="G2574" s="26"/>
      <c r="H2574" s="26"/>
      <c r="I2574" s="26"/>
    </row>
    <row r="2575" spans="6:9" x14ac:dyDescent="0.3">
      <c r="F2575" s="26"/>
      <c r="G2575" s="26"/>
      <c r="H2575" s="26"/>
      <c r="I2575" s="26"/>
    </row>
    <row r="2576" spans="6:9" x14ac:dyDescent="0.3">
      <c r="F2576" s="26"/>
      <c r="G2576" s="26"/>
      <c r="H2576" s="26"/>
      <c r="I2576" s="26"/>
    </row>
    <row r="2577" spans="6:9" x14ac:dyDescent="0.3">
      <c r="F2577" s="26"/>
      <c r="G2577" s="26"/>
      <c r="H2577" s="26"/>
      <c r="I2577" s="26"/>
    </row>
    <row r="2578" spans="6:9" x14ac:dyDescent="0.3">
      <c r="F2578" s="26"/>
      <c r="G2578" s="26"/>
      <c r="H2578" s="26"/>
      <c r="I2578" s="26"/>
    </row>
    <row r="2579" spans="6:9" x14ac:dyDescent="0.3">
      <c r="F2579" s="26"/>
      <c r="G2579" s="26"/>
      <c r="H2579" s="26"/>
      <c r="I2579" s="26"/>
    </row>
    <row r="2580" spans="6:9" x14ac:dyDescent="0.3">
      <c r="F2580" s="26"/>
      <c r="G2580" s="26"/>
      <c r="H2580" s="26"/>
      <c r="I2580" s="26"/>
    </row>
    <row r="2581" spans="6:9" x14ac:dyDescent="0.3">
      <c r="F2581" s="26"/>
      <c r="G2581" s="26"/>
      <c r="H2581" s="26"/>
      <c r="I2581" s="26"/>
    </row>
    <row r="2582" spans="6:9" x14ac:dyDescent="0.3">
      <c r="F2582" s="26"/>
      <c r="G2582" s="26"/>
      <c r="H2582" s="26"/>
      <c r="I2582" s="26"/>
    </row>
    <row r="2583" spans="6:9" x14ac:dyDescent="0.3">
      <c r="F2583" s="26"/>
      <c r="G2583" s="26"/>
      <c r="H2583" s="26"/>
      <c r="I2583" s="26"/>
    </row>
    <row r="2584" spans="6:9" x14ac:dyDescent="0.3">
      <c r="F2584" s="26"/>
      <c r="G2584" s="26"/>
      <c r="H2584" s="26"/>
      <c r="I2584" s="26"/>
    </row>
    <row r="2585" spans="6:9" x14ac:dyDescent="0.3">
      <c r="F2585" s="26"/>
      <c r="G2585" s="26"/>
      <c r="H2585" s="26"/>
      <c r="I2585" s="26"/>
    </row>
    <row r="2586" spans="6:9" x14ac:dyDescent="0.3">
      <c r="F2586" s="26"/>
      <c r="G2586" s="26"/>
      <c r="H2586" s="26"/>
      <c r="I2586" s="26"/>
    </row>
    <row r="2587" spans="6:9" x14ac:dyDescent="0.3">
      <c r="F2587" s="26"/>
      <c r="G2587" s="26"/>
      <c r="H2587" s="26"/>
      <c r="I2587" s="26"/>
    </row>
    <row r="2588" spans="6:9" x14ac:dyDescent="0.3">
      <c r="F2588" s="26"/>
      <c r="G2588" s="26"/>
      <c r="H2588" s="26"/>
      <c r="I2588" s="26"/>
    </row>
    <row r="2589" spans="6:9" x14ac:dyDescent="0.3">
      <c r="F2589" s="26"/>
      <c r="G2589" s="26"/>
      <c r="H2589" s="26"/>
      <c r="I2589" s="26"/>
    </row>
    <row r="2590" spans="6:9" x14ac:dyDescent="0.3">
      <c r="F2590" s="26"/>
      <c r="G2590" s="26"/>
      <c r="H2590" s="26"/>
      <c r="I2590" s="26"/>
    </row>
    <row r="2591" spans="6:9" x14ac:dyDescent="0.3">
      <c r="F2591" s="26"/>
      <c r="G2591" s="26"/>
      <c r="H2591" s="26"/>
      <c r="I2591" s="26"/>
    </row>
    <row r="2592" spans="6:9" x14ac:dyDescent="0.3">
      <c r="F2592" s="26"/>
      <c r="G2592" s="26"/>
      <c r="H2592" s="26"/>
      <c r="I2592" s="26"/>
    </row>
    <row r="2593" spans="6:9" x14ac:dyDescent="0.3">
      <c r="F2593" s="26"/>
      <c r="G2593" s="26"/>
      <c r="H2593" s="26"/>
      <c r="I2593" s="26"/>
    </row>
    <row r="2594" spans="6:9" x14ac:dyDescent="0.3">
      <c r="F2594" s="26"/>
      <c r="G2594" s="26"/>
      <c r="H2594" s="26"/>
      <c r="I2594" s="26"/>
    </row>
    <row r="2595" spans="6:9" x14ac:dyDescent="0.3">
      <c r="F2595" s="26"/>
      <c r="G2595" s="26"/>
      <c r="H2595" s="26"/>
      <c r="I2595" s="26"/>
    </row>
    <row r="2596" spans="6:9" x14ac:dyDescent="0.3">
      <c r="F2596" s="26"/>
      <c r="G2596" s="26"/>
      <c r="H2596" s="26"/>
      <c r="I2596" s="26"/>
    </row>
    <row r="2597" spans="6:9" x14ac:dyDescent="0.3">
      <c r="F2597" s="26"/>
      <c r="G2597" s="26"/>
      <c r="H2597" s="26"/>
      <c r="I2597" s="26"/>
    </row>
    <row r="2598" spans="6:9" x14ac:dyDescent="0.3">
      <c r="F2598" s="26"/>
      <c r="G2598" s="26"/>
      <c r="H2598" s="26"/>
      <c r="I2598" s="26"/>
    </row>
    <row r="2599" spans="6:9" x14ac:dyDescent="0.3">
      <c r="F2599" s="26"/>
      <c r="G2599" s="26"/>
      <c r="H2599" s="26"/>
      <c r="I2599" s="26"/>
    </row>
    <row r="2600" spans="6:9" x14ac:dyDescent="0.3">
      <c r="F2600" s="26"/>
      <c r="G2600" s="26"/>
      <c r="H2600" s="26"/>
      <c r="I2600" s="26"/>
    </row>
    <row r="2601" spans="6:9" x14ac:dyDescent="0.3">
      <c r="F2601" s="26"/>
      <c r="G2601" s="26"/>
      <c r="H2601" s="26"/>
      <c r="I2601" s="26"/>
    </row>
    <row r="2602" spans="6:9" x14ac:dyDescent="0.3">
      <c r="F2602" s="26"/>
      <c r="G2602" s="26"/>
      <c r="H2602" s="26"/>
      <c r="I2602" s="26"/>
    </row>
    <row r="2603" spans="6:9" x14ac:dyDescent="0.3">
      <c r="F2603" s="26"/>
      <c r="G2603" s="26"/>
      <c r="H2603" s="26"/>
      <c r="I2603" s="26"/>
    </row>
    <row r="2604" spans="6:9" x14ac:dyDescent="0.3">
      <c r="F2604" s="26"/>
      <c r="G2604" s="26"/>
      <c r="H2604" s="26"/>
      <c r="I2604" s="26"/>
    </row>
    <row r="2605" spans="6:9" x14ac:dyDescent="0.3">
      <c r="F2605" s="26"/>
      <c r="G2605" s="26"/>
      <c r="H2605" s="26"/>
      <c r="I2605" s="26"/>
    </row>
    <row r="2606" spans="6:9" x14ac:dyDescent="0.3">
      <c r="F2606" s="26"/>
      <c r="G2606" s="26"/>
      <c r="H2606" s="26"/>
      <c r="I2606" s="26"/>
    </row>
    <row r="2607" spans="6:9" x14ac:dyDescent="0.3">
      <c r="F2607" s="26"/>
      <c r="G2607" s="26"/>
      <c r="H2607" s="26"/>
      <c r="I2607" s="26"/>
    </row>
    <row r="2608" spans="6:9" x14ac:dyDescent="0.3">
      <c r="F2608" s="26"/>
      <c r="G2608" s="26"/>
      <c r="H2608" s="26"/>
      <c r="I2608" s="26"/>
    </row>
    <row r="2609" spans="6:9" x14ac:dyDescent="0.3">
      <c r="F2609" s="26"/>
      <c r="G2609" s="26"/>
      <c r="H2609" s="26"/>
      <c r="I2609" s="26"/>
    </row>
    <row r="2610" spans="6:9" x14ac:dyDescent="0.3">
      <c r="F2610" s="26"/>
      <c r="G2610" s="26"/>
      <c r="H2610" s="26"/>
      <c r="I2610" s="26"/>
    </row>
    <row r="2611" spans="6:9" x14ac:dyDescent="0.3">
      <c r="F2611" s="26"/>
      <c r="G2611" s="26"/>
      <c r="H2611" s="26"/>
      <c r="I2611" s="26"/>
    </row>
    <row r="2612" spans="6:9" x14ac:dyDescent="0.3">
      <c r="F2612" s="26"/>
      <c r="G2612" s="26"/>
      <c r="H2612" s="26"/>
      <c r="I2612" s="26"/>
    </row>
    <row r="2613" spans="6:9" x14ac:dyDescent="0.3">
      <c r="F2613" s="26"/>
      <c r="G2613" s="26"/>
      <c r="H2613" s="26"/>
      <c r="I2613" s="26"/>
    </row>
    <row r="2614" spans="6:9" x14ac:dyDescent="0.3">
      <c r="F2614" s="26"/>
      <c r="G2614" s="26"/>
      <c r="H2614" s="26"/>
      <c r="I2614" s="26"/>
    </row>
    <row r="2615" spans="6:9" x14ac:dyDescent="0.3">
      <c r="F2615" s="26"/>
      <c r="G2615" s="26"/>
      <c r="H2615" s="26"/>
      <c r="I2615" s="26"/>
    </row>
    <row r="2616" spans="6:9" x14ac:dyDescent="0.3">
      <c r="F2616" s="26"/>
      <c r="G2616" s="26"/>
      <c r="H2616" s="26"/>
      <c r="I2616" s="26"/>
    </row>
    <row r="2617" spans="6:9" x14ac:dyDescent="0.3">
      <c r="F2617" s="26"/>
      <c r="G2617" s="26"/>
      <c r="H2617" s="26"/>
      <c r="I2617" s="26"/>
    </row>
    <row r="2618" spans="6:9" x14ac:dyDescent="0.3">
      <c r="F2618" s="26"/>
      <c r="G2618" s="26"/>
      <c r="H2618" s="26"/>
      <c r="I2618" s="26"/>
    </row>
    <row r="2619" spans="6:9" x14ac:dyDescent="0.3">
      <c r="F2619" s="26"/>
      <c r="G2619" s="26"/>
      <c r="H2619" s="26"/>
      <c r="I2619" s="26"/>
    </row>
    <row r="2620" spans="6:9" x14ac:dyDescent="0.3">
      <c r="F2620" s="26"/>
      <c r="G2620" s="26"/>
      <c r="H2620" s="26"/>
      <c r="I2620" s="26"/>
    </row>
    <row r="2621" spans="6:9" x14ac:dyDescent="0.3">
      <c r="F2621" s="26"/>
      <c r="G2621" s="26"/>
      <c r="H2621" s="26"/>
      <c r="I2621" s="26"/>
    </row>
    <row r="2622" spans="6:9" x14ac:dyDescent="0.3">
      <c r="F2622" s="26"/>
      <c r="G2622" s="26"/>
      <c r="H2622" s="26"/>
      <c r="I2622" s="26"/>
    </row>
    <row r="2623" spans="6:9" x14ac:dyDescent="0.3">
      <c r="F2623" s="26"/>
      <c r="G2623" s="26"/>
      <c r="H2623" s="26"/>
      <c r="I2623" s="26"/>
    </row>
    <row r="2624" spans="6:9" x14ac:dyDescent="0.3">
      <c r="F2624" s="26"/>
      <c r="G2624" s="26"/>
      <c r="H2624" s="26"/>
      <c r="I2624" s="26"/>
    </row>
    <row r="2625" spans="6:9" x14ac:dyDescent="0.3">
      <c r="F2625" s="26"/>
      <c r="G2625" s="26"/>
      <c r="H2625" s="26"/>
      <c r="I2625" s="26"/>
    </row>
    <row r="2626" spans="6:9" x14ac:dyDescent="0.3">
      <c r="F2626" s="26"/>
      <c r="G2626" s="26"/>
      <c r="H2626" s="26"/>
      <c r="I2626" s="26"/>
    </row>
    <row r="2627" spans="6:9" x14ac:dyDescent="0.3">
      <c r="F2627" s="26"/>
      <c r="G2627" s="26"/>
      <c r="H2627" s="26"/>
      <c r="I2627" s="26"/>
    </row>
    <row r="2628" spans="6:9" x14ac:dyDescent="0.3">
      <c r="F2628" s="26"/>
      <c r="G2628" s="26"/>
      <c r="H2628" s="26"/>
      <c r="I2628" s="26"/>
    </row>
    <row r="2629" spans="6:9" x14ac:dyDescent="0.3">
      <c r="F2629" s="26"/>
      <c r="G2629" s="26"/>
      <c r="H2629" s="26"/>
      <c r="I2629" s="26"/>
    </row>
    <row r="2630" spans="6:9" x14ac:dyDescent="0.3">
      <c r="F2630" s="26"/>
      <c r="G2630" s="26"/>
      <c r="H2630" s="26"/>
      <c r="I2630" s="26"/>
    </row>
    <row r="2631" spans="6:9" x14ac:dyDescent="0.3">
      <c r="F2631" s="26"/>
      <c r="G2631" s="26"/>
      <c r="H2631" s="26"/>
      <c r="I2631" s="26"/>
    </row>
    <row r="2632" spans="6:9" x14ac:dyDescent="0.3">
      <c r="F2632" s="26"/>
      <c r="G2632" s="26"/>
      <c r="H2632" s="26"/>
      <c r="I2632" s="26"/>
    </row>
    <row r="2633" spans="6:9" x14ac:dyDescent="0.3">
      <c r="F2633" s="26"/>
      <c r="G2633" s="26"/>
      <c r="H2633" s="26"/>
      <c r="I2633" s="26"/>
    </row>
    <row r="2634" spans="6:9" x14ac:dyDescent="0.3">
      <c r="F2634" s="26"/>
      <c r="G2634" s="26"/>
      <c r="H2634" s="26"/>
      <c r="I2634" s="26"/>
    </row>
    <row r="2635" spans="6:9" x14ac:dyDescent="0.3">
      <c r="F2635" s="26"/>
      <c r="G2635" s="26"/>
      <c r="H2635" s="26"/>
      <c r="I2635" s="26"/>
    </row>
    <row r="2636" spans="6:9" x14ac:dyDescent="0.3">
      <c r="F2636" s="26"/>
      <c r="G2636" s="26"/>
      <c r="H2636" s="26"/>
      <c r="I2636" s="26"/>
    </row>
    <row r="2637" spans="6:9" x14ac:dyDescent="0.3">
      <c r="F2637" s="26"/>
      <c r="G2637" s="26"/>
      <c r="H2637" s="26"/>
      <c r="I2637" s="26"/>
    </row>
    <row r="2638" spans="6:9" x14ac:dyDescent="0.3">
      <c r="F2638" s="26"/>
      <c r="G2638" s="26"/>
      <c r="H2638" s="26"/>
      <c r="I2638" s="26"/>
    </row>
    <row r="2639" spans="6:9" x14ac:dyDescent="0.3">
      <c r="F2639" s="26"/>
      <c r="G2639" s="26"/>
      <c r="H2639" s="26"/>
      <c r="I2639" s="26"/>
    </row>
    <row r="2640" spans="6:9" x14ac:dyDescent="0.3">
      <c r="F2640" s="26"/>
      <c r="G2640" s="26"/>
      <c r="H2640" s="26"/>
      <c r="I2640" s="26"/>
    </row>
    <row r="2641" spans="6:9" x14ac:dyDescent="0.3">
      <c r="F2641" s="26"/>
      <c r="G2641" s="26"/>
      <c r="H2641" s="26"/>
      <c r="I2641" s="26"/>
    </row>
    <row r="2642" spans="6:9" x14ac:dyDescent="0.3">
      <c r="F2642" s="26"/>
      <c r="G2642" s="26"/>
      <c r="H2642" s="26"/>
      <c r="I2642" s="26"/>
    </row>
    <row r="2643" spans="6:9" x14ac:dyDescent="0.3">
      <c r="F2643" s="26"/>
      <c r="G2643" s="26"/>
      <c r="H2643" s="26"/>
      <c r="I2643" s="26"/>
    </row>
    <row r="2644" spans="6:9" x14ac:dyDescent="0.3">
      <c r="F2644" s="26"/>
      <c r="G2644" s="26"/>
      <c r="H2644" s="26"/>
      <c r="I2644" s="26"/>
    </row>
    <row r="2645" spans="6:9" x14ac:dyDescent="0.3">
      <c r="F2645" s="26"/>
      <c r="G2645" s="26"/>
      <c r="H2645" s="26"/>
      <c r="I2645" s="26"/>
    </row>
    <row r="2646" spans="6:9" x14ac:dyDescent="0.3">
      <c r="F2646" s="26"/>
      <c r="G2646" s="26"/>
      <c r="H2646" s="26"/>
      <c r="I2646" s="26"/>
    </row>
    <row r="2647" spans="6:9" x14ac:dyDescent="0.3">
      <c r="F2647" s="26"/>
      <c r="G2647" s="26"/>
      <c r="H2647" s="26"/>
      <c r="I2647" s="26"/>
    </row>
    <row r="2648" spans="6:9" x14ac:dyDescent="0.3">
      <c r="F2648" s="26"/>
      <c r="G2648" s="26"/>
      <c r="H2648" s="26"/>
      <c r="I2648" s="26"/>
    </row>
    <row r="2649" spans="6:9" x14ac:dyDescent="0.3">
      <c r="F2649" s="26"/>
      <c r="G2649" s="26"/>
      <c r="H2649" s="26"/>
      <c r="I2649" s="26"/>
    </row>
    <row r="2650" spans="6:9" x14ac:dyDescent="0.3">
      <c r="F2650" s="26"/>
      <c r="G2650" s="26"/>
      <c r="H2650" s="26"/>
      <c r="I2650" s="26"/>
    </row>
    <row r="2651" spans="6:9" x14ac:dyDescent="0.3">
      <c r="F2651" s="26"/>
      <c r="G2651" s="26"/>
      <c r="H2651" s="26"/>
      <c r="I2651" s="26"/>
    </row>
    <row r="2652" spans="6:9" x14ac:dyDescent="0.3">
      <c r="F2652" s="26"/>
      <c r="G2652" s="26"/>
      <c r="H2652" s="26"/>
      <c r="I2652" s="26"/>
    </row>
    <row r="2653" spans="6:9" x14ac:dyDescent="0.3">
      <c r="F2653" s="26"/>
      <c r="G2653" s="26"/>
      <c r="H2653" s="26"/>
      <c r="I2653" s="26"/>
    </row>
    <row r="2654" spans="6:9" x14ac:dyDescent="0.3">
      <c r="F2654" s="26"/>
      <c r="G2654" s="26"/>
      <c r="H2654" s="26"/>
      <c r="I2654" s="26"/>
    </row>
    <row r="2655" spans="6:9" x14ac:dyDescent="0.3">
      <c r="F2655" s="26"/>
      <c r="G2655" s="26"/>
      <c r="H2655" s="26"/>
      <c r="I2655" s="26"/>
    </row>
    <row r="2656" spans="6:9" x14ac:dyDescent="0.3">
      <c r="F2656" s="26"/>
      <c r="G2656" s="26"/>
      <c r="H2656" s="26"/>
      <c r="I2656" s="26"/>
    </row>
    <row r="2657" spans="6:9" x14ac:dyDescent="0.3">
      <c r="F2657" s="26"/>
      <c r="G2657" s="26"/>
      <c r="H2657" s="26"/>
      <c r="I2657" s="26"/>
    </row>
    <row r="2658" spans="6:9" x14ac:dyDescent="0.3">
      <c r="F2658" s="26"/>
      <c r="G2658" s="26"/>
      <c r="H2658" s="26"/>
      <c r="I2658" s="26"/>
    </row>
    <row r="2659" spans="6:9" x14ac:dyDescent="0.3">
      <c r="F2659" s="26"/>
      <c r="G2659" s="26"/>
      <c r="H2659" s="26"/>
      <c r="I2659" s="26"/>
    </row>
    <row r="2660" spans="6:9" x14ac:dyDescent="0.3">
      <c r="F2660" s="26"/>
      <c r="G2660" s="26"/>
      <c r="H2660" s="26"/>
      <c r="I2660" s="26"/>
    </row>
    <row r="2661" spans="6:9" x14ac:dyDescent="0.3">
      <c r="F2661" s="26"/>
      <c r="G2661" s="26"/>
      <c r="H2661" s="26"/>
      <c r="I2661" s="26"/>
    </row>
    <row r="2662" spans="6:9" x14ac:dyDescent="0.3">
      <c r="F2662" s="26"/>
      <c r="G2662" s="26"/>
      <c r="H2662" s="26"/>
      <c r="I2662" s="26"/>
    </row>
    <row r="2663" spans="6:9" x14ac:dyDescent="0.3">
      <c r="F2663" s="26"/>
      <c r="G2663" s="26"/>
      <c r="H2663" s="26"/>
      <c r="I2663" s="26"/>
    </row>
    <row r="2664" spans="6:9" x14ac:dyDescent="0.3">
      <c r="F2664" s="26"/>
      <c r="G2664" s="26"/>
      <c r="H2664" s="26"/>
      <c r="I2664" s="26"/>
    </row>
    <row r="2665" spans="6:9" x14ac:dyDescent="0.3">
      <c r="F2665" s="26"/>
      <c r="G2665" s="26"/>
      <c r="H2665" s="26"/>
      <c r="I2665" s="26"/>
    </row>
    <row r="2666" spans="6:9" x14ac:dyDescent="0.3">
      <c r="F2666" s="26"/>
      <c r="G2666" s="26"/>
      <c r="H2666" s="26"/>
      <c r="I2666" s="26"/>
    </row>
    <row r="2667" spans="6:9" x14ac:dyDescent="0.3">
      <c r="F2667" s="26"/>
      <c r="G2667" s="26"/>
      <c r="H2667" s="26"/>
      <c r="I2667" s="26"/>
    </row>
    <row r="2668" spans="6:9" x14ac:dyDescent="0.3">
      <c r="F2668" s="26"/>
      <c r="G2668" s="26"/>
      <c r="H2668" s="26"/>
      <c r="I2668" s="26"/>
    </row>
    <row r="2669" spans="6:9" x14ac:dyDescent="0.3">
      <c r="F2669" s="26"/>
      <c r="G2669" s="26"/>
      <c r="H2669" s="26"/>
      <c r="I2669" s="26"/>
    </row>
    <row r="2670" spans="6:9" x14ac:dyDescent="0.3">
      <c r="F2670" s="26"/>
      <c r="G2670" s="26"/>
      <c r="H2670" s="26"/>
      <c r="I2670" s="26"/>
    </row>
    <row r="2671" spans="6:9" x14ac:dyDescent="0.3">
      <c r="F2671" s="26"/>
      <c r="G2671" s="26"/>
      <c r="H2671" s="26"/>
      <c r="I2671" s="26"/>
    </row>
    <row r="2672" spans="6:9" x14ac:dyDescent="0.3">
      <c r="F2672" s="26"/>
      <c r="G2672" s="26"/>
      <c r="H2672" s="26"/>
      <c r="I2672" s="26"/>
    </row>
    <row r="2673" spans="6:9" x14ac:dyDescent="0.3">
      <c r="F2673" s="26"/>
      <c r="G2673" s="26"/>
      <c r="H2673" s="26"/>
      <c r="I2673" s="26"/>
    </row>
    <row r="2674" spans="6:9" x14ac:dyDescent="0.3">
      <c r="F2674" s="26"/>
      <c r="G2674" s="26"/>
      <c r="H2674" s="26"/>
      <c r="I2674" s="26"/>
    </row>
    <row r="2675" spans="6:9" x14ac:dyDescent="0.3">
      <c r="F2675" s="26"/>
      <c r="G2675" s="26"/>
      <c r="H2675" s="26"/>
      <c r="I2675" s="26"/>
    </row>
    <row r="2676" spans="6:9" x14ac:dyDescent="0.3">
      <c r="F2676" s="26"/>
      <c r="G2676" s="26"/>
      <c r="H2676" s="26"/>
      <c r="I2676" s="26"/>
    </row>
    <row r="2677" spans="6:9" x14ac:dyDescent="0.3">
      <c r="F2677" s="26"/>
      <c r="G2677" s="26"/>
      <c r="H2677" s="26"/>
      <c r="I2677" s="26"/>
    </row>
    <row r="2678" spans="6:9" x14ac:dyDescent="0.3">
      <c r="F2678" s="26"/>
      <c r="G2678" s="26"/>
      <c r="H2678" s="26"/>
      <c r="I2678" s="26"/>
    </row>
    <row r="2679" spans="6:9" x14ac:dyDescent="0.3">
      <c r="F2679" s="26"/>
      <c r="G2679" s="26"/>
      <c r="H2679" s="26"/>
      <c r="I2679" s="26"/>
    </row>
    <row r="2680" spans="6:9" x14ac:dyDescent="0.3">
      <c r="F2680" s="26"/>
      <c r="G2680" s="26"/>
      <c r="H2680" s="26"/>
      <c r="I2680" s="26"/>
    </row>
    <row r="2681" spans="6:9" x14ac:dyDescent="0.3">
      <c r="F2681" s="26"/>
      <c r="G2681" s="26"/>
      <c r="H2681" s="26"/>
      <c r="I2681" s="26"/>
    </row>
    <row r="2682" spans="6:9" x14ac:dyDescent="0.3">
      <c r="F2682" s="26"/>
      <c r="G2682" s="26"/>
      <c r="H2682" s="26"/>
      <c r="I2682" s="26"/>
    </row>
    <row r="2683" spans="6:9" x14ac:dyDescent="0.3">
      <c r="F2683" s="26"/>
      <c r="G2683" s="26"/>
      <c r="H2683" s="26"/>
      <c r="I2683" s="26"/>
    </row>
    <row r="2684" spans="6:9" x14ac:dyDescent="0.3">
      <c r="F2684" s="26"/>
      <c r="G2684" s="26"/>
      <c r="H2684" s="26"/>
      <c r="I2684" s="26"/>
    </row>
    <row r="2685" spans="6:9" x14ac:dyDescent="0.3">
      <c r="F2685" s="26"/>
      <c r="G2685" s="26"/>
      <c r="H2685" s="26"/>
      <c r="I2685" s="26"/>
    </row>
    <row r="2686" spans="6:9" x14ac:dyDescent="0.3">
      <c r="F2686" s="26"/>
      <c r="G2686" s="26"/>
      <c r="H2686" s="26"/>
      <c r="I2686" s="26"/>
    </row>
    <row r="2687" spans="6:9" x14ac:dyDescent="0.3">
      <c r="F2687" s="26"/>
      <c r="G2687" s="26"/>
      <c r="H2687" s="26"/>
      <c r="I2687" s="26"/>
    </row>
    <row r="2688" spans="6:9" x14ac:dyDescent="0.3">
      <c r="F2688" s="26"/>
      <c r="G2688" s="26"/>
      <c r="H2688" s="26"/>
      <c r="I2688" s="26"/>
    </row>
    <row r="2689" spans="6:9" x14ac:dyDescent="0.3">
      <c r="F2689" s="26"/>
      <c r="G2689" s="26"/>
      <c r="H2689" s="26"/>
      <c r="I2689" s="26"/>
    </row>
    <row r="2690" spans="6:9" x14ac:dyDescent="0.3">
      <c r="F2690" s="26"/>
      <c r="G2690" s="26"/>
      <c r="H2690" s="26"/>
      <c r="I2690" s="26"/>
    </row>
    <row r="2691" spans="6:9" x14ac:dyDescent="0.3">
      <c r="F2691" s="26"/>
      <c r="G2691" s="26"/>
      <c r="H2691" s="26"/>
      <c r="I2691" s="26"/>
    </row>
    <row r="2692" spans="6:9" x14ac:dyDescent="0.3">
      <c r="F2692" s="26"/>
      <c r="G2692" s="26"/>
      <c r="H2692" s="26"/>
      <c r="I2692" s="26"/>
    </row>
    <row r="2693" spans="6:9" x14ac:dyDescent="0.3">
      <c r="F2693" s="26"/>
      <c r="G2693" s="26"/>
      <c r="H2693" s="26"/>
      <c r="I2693" s="26"/>
    </row>
    <row r="2694" spans="6:9" x14ac:dyDescent="0.3">
      <c r="F2694" s="26"/>
      <c r="G2694" s="26"/>
      <c r="H2694" s="26"/>
      <c r="I2694" s="26"/>
    </row>
    <row r="2695" spans="6:9" x14ac:dyDescent="0.3">
      <c r="F2695" s="26"/>
      <c r="G2695" s="26"/>
      <c r="H2695" s="26"/>
      <c r="I2695" s="26"/>
    </row>
    <row r="2696" spans="6:9" x14ac:dyDescent="0.3">
      <c r="F2696" s="26"/>
      <c r="G2696" s="26"/>
      <c r="H2696" s="26"/>
      <c r="I2696" s="26"/>
    </row>
    <row r="2697" spans="6:9" x14ac:dyDescent="0.3">
      <c r="F2697" s="26"/>
      <c r="G2697" s="26"/>
      <c r="H2697" s="26"/>
      <c r="I2697" s="26"/>
    </row>
    <row r="2698" spans="6:9" x14ac:dyDescent="0.3">
      <c r="F2698" s="26"/>
      <c r="G2698" s="26"/>
      <c r="H2698" s="26"/>
      <c r="I2698" s="26"/>
    </row>
    <row r="2699" spans="6:9" x14ac:dyDescent="0.3">
      <c r="F2699" s="26"/>
      <c r="G2699" s="26"/>
      <c r="H2699" s="26"/>
      <c r="I2699" s="26"/>
    </row>
    <row r="2700" spans="6:9" x14ac:dyDescent="0.3">
      <c r="F2700" s="26"/>
      <c r="G2700" s="26"/>
      <c r="H2700" s="26"/>
      <c r="I2700" s="26"/>
    </row>
    <row r="2701" spans="6:9" x14ac:dyDescent="0.3">
      <c r="F2701" s="26"/>
      <c r="G2701" s="26"/>
      <c r="H2701" s="26"/>
      <c r="I2701" s="26"/>
    </row>
    <row r="2702" spans="6:9" x14ac:dyDescent="0.3">
      <c r="F2702" s="26"/>
      <c r="G2702" s="26"/>
      <c r="H2702" s="26"/>
      <c r="I2702" s="26"/>
    </row>
    <row r="2703" spans="6:9" x14ac:dyDescent="0.3">
      <c r="F2703" s="26"/>
      <c r="G2703" s="26"/>
      <c r="H2703" s="26"/>
      <c r="I2703" s="26"/>
    </row>
    <row r="2704" spans="6:9" x14ac:dyDescent="0.3">
      <c r="F2704" s="26"/>
      <c r="G2704" s="26"/>
      <c r="H2704" s="26"/>
      <c r="I2704" s="26"/>
    </row>
    <row r="2705" spans="6:9" x14ac:dyDescent="0.3">
      <c r="F2705" s="26"/>
      <c r="G2705" s="26"/>
      <c r="H2705" s="26"/>
      <c r="I2705" s="26"/>
    </row>
    <row r="2706" spans="6:9" x14ac:dyDescent="0.3">
      <c r="F2706" s="26"/>
      <c r="G2706" s="26"/>
      <c r="H2706" s="26"/>
      <c r="I2706" s="26"/>
    </row>
    <row r="2707" spans="6:9" x14ac:dyDescent="0.3">
      <c r="F2707" s="26"/>
      <c r="G2707" s="26"/>
      <c r="H2707" s="26"/>
      <c r="I2707" s="26"/>
    </row>
    <row r="2708" spans="6:9" x14ac:dyDescent="0.3">
      <c r="F2708" s="26"/>
      <c r="G2708" s="26"/>
      <c r="H2708" s="26"/>
      <c r="I2708" s="26"/>
    </row>
    <row r="2709" spans="6:9" x14ac:dyDescent="0.3">
      <c r="F2709" s="26"/>
      <c r="G2709" s="26"/>
      <c r="H2709" s="26"/>
      <c r="I2709" s="26"/>
    </row>
    <row r="2710" spans="6:9" x14ac:dyDescent="0.3">
      <c r="F2710" s="26"/>
      <c r="G2710" s="26"/>
      <c r="H2710" s="26"/>
      <c r="I2710" s="26"/>
    </row>
    <row r="2711" spans="6:9" x14ac:dyDescent="0.3">
      <c r="F2711" s="26"/>
      <c r="G2711" s="26"/>
      <c r="H2711" s="26"/>
      <c r="I2711" s="26"/>
    </row>
    <row r="2712" spans="6:9" x14ac:dyDescent="0.3">
      <c r="F2712" s="26"/>
      <c r="G2712" s="26"/>
      <c r="H2712" s="26"/>
      <c r="I2712" s="26"/>
    </row>
    <row r="2713" spans="6:9" x14ac:dyDescent="0.3">
      <c r="F2713" s="26"/>
      <c r="G2713" s="26"/>
      <c r="H2713" s="26"/>
      <c r="I2713" s="26"/>
    </row>
    <row r="2714" spans="6:9" x14ac:dyDescent="0.3">
      <c r="F2714" s="26"/>
      <c r="G2714" s="26"/>
      <c r="H2714" s="26"/>
      <c r="I2714" s="26"/>
    </row>
    <row r="2715" spans="6:9" x14ac:dyDescent="0.3">
      <c r="F2715" s="26"/>
      <c r="G2715" s="26"/>
      <c r="H2715" s="26"/>
      <c r="I2715" s="26"/>
    </row>
    <row r="2716" spans="6:9" x14ac:dyDescent="0.3">
      <c r="F2716" s="26"/>
      <c r="G2716" s="26"/>
      <c r="H2716" s="26"/>
      <c r="I2716" s="26"/>
    </row>
    <row r="2717" spans="6:9" x14ac:dyDescent="0.3">
      <c r="F2717" s="26"/>
      <c r="G2717" s="26"/>
      <c r="H2717" s="26"/>
      <c r="I2717" s="26"/>
    </row>
    <row r="2718" spans="6:9" x14ac:dyDescent="0.3">
      <c r="F2718" s="26"/>
      <c r="G2718" s="26"/>
      <c r="H2718" s="26"/>
      <c r="I2718" s="26"/>
    </row>
    <row r="2719" spans="6:9" x14ac:dyDescent="0.3">
      <c r="F2719" s="26"/>
      <c r="G2719" s="26"/>
      <c r="H2719" s="26"/>
      <c r="I2719" s="26"/>
    </row>
    <row r="2720" spans="6:9" x14ac:dyDescent="0.3">
      <c r="F2720" s="26"/>
      <c r="G2720" s="26"/>
      <c r="H2720" s="26"/>
      <c r="I2720" s="26"/>
    </row>
    <row r="2721" spans="6:9" x14ac:dyDescent="0.3">
      <c r="F2721" s="26"/>
      <c r="G2721" s="26"/>
      <c r="H2721" s="26"/>
      <c r="I2721" s="26"/>
    </row>
    <row r="2722" spans="6:9" x14ac:dyDescent="0.3">
      <c r="F2722" s="26"/>
      <c r="G2722" s="26"/>
      <c r="H2722" s="26"/>
      <c r="I2722" s="26"/>
    </row>
    <row r="2723" spans="6:9" x14ac:dyDescent="0.3">
      <c r="F2723" s="26"/>
      <c r="G2723" s="26"/>
      <c r="H2723" s="26"/>
      <c r="I2723" s="26"/>
    </row>
    <row r="2724" spans="6:9" x14ac:dyDescent="0.3">
      <c r="F2724" s="26"/>
      <c r="G2724" s="26"/>
      <c r="H2724" s="26"/>
      <c r="I2724" s="26"/>
    </row>
    <row r="2725" spans="6:9" x14ac:dyDescent="0.3">
      <c r="F2725" s="26"/>
      <c r="G2725" s="26"/>
      <c r="H2725" s="26"/>
      <c r="I2725" s="26"/>
    </row>
    <row r="2726" spans="6:9" x14ac:dyDescent="0.3">
      <c r="F2726" s="26"/>
      <c r="G2726" s="26"/>
      <c r="H2726" s="26"/>
      <c r="I2726" s="26"/>
    </row>
    <row r="2727" spans="6:9" x14ac:dyDescent="0.3">
      <c r="F2727" s="26"/>
      <c r="G2727" s="26"/>
      <c r="H2727" s="26"/>
      <c r="I2727" s="26"/>
    </row>
    <row r="2728" spans="6:9" x14ac:dyDescent="0.3">
      <c r="F2728" s="26"/>
      <c r="G2728" s="26"/>
      <c r="H2728" s="26"/>
      <c r="I2728" s="26"/>
    </row>
    <row r="2729" spans="6:9" x14ac:dyDescent="0.3">
      <c r="F2729" s="26"/>
      <c r="G2729" s="26"/>
      <c r="H2729" s="26"/>
      <c r="I2729" s="26"/>
    </row>
    <row r="2730" spans="6:9" x14ac:dyDescent="0.3">
      <c r="F2730" s="26"/>
      <c r="G2730" s="26"/>
      <c r="H2730" s="26"/>
      <c r="I2730" s="26"/>
    </row>
    <row r="2731" spans="6:9" x14ac:dyDescent="0.3">
      <c r="F2731" s="26"/>
      <c r="G2731" s="26"/>
      <c r="H2731" s="26"/>
      <c r="I2731" s="26"/>
    </row>
    <row r="2732" spans="6:9" x14ac:dyDescent="0.3">
      <c r="F2732" s="26"/>
      <c r="G2732" s="26"/>
      <c r="H2732" s="26"/>
      <c r="I2732" s="26"/>
    </row>
    <row r="2733" spans="6:9" x14ac:dyDescent="0.3">
      <c r="F2733" s="26"/>
      <c r="G2733" s="26"/>
      <c r="H2733" s="26"/>
      <c r="I2733" s="26"/>
    </row>
    <row r="2734" spans="6:9" x14ac:dyDescent="0.3">
      <c r="F2734" s="26"/>
      <c r="G2734" s="26"/>
      <c r="H2734" s="26"/>
      <c r="I2734" s="26"/>
    </row>
    <row r="2735" spans="6:9" x14ac:dyDescent="0.3">
      <c r="F2735" s="26"/>
      <c r="G2735" s="26"/>
      <c r="H2735" s="26"/>
      <c r="I2735" s="26"/>
    </row>
    <row r="2736" spans="6:9" x14ac:dyDescent="0.3">
      <c r="F2736" s="26"/>
      <c r="G2736" s="26"/>
      <c r="H2736" s="26"/>
      <c r="I2736" s="26"/>
    </row>
    <row r="2737" spans="6:9" x14ac:dyDescent="0.3">
      <c r="F2737" s="26"/>
      <c r="G2737" s="26"/>
      <c r="H2737" s="26"/>
      <c r="I2737" s="26"/>
    </row>
    <row r="2738" spans="6:9" x14ac:dyDescent="0.3">
      <c r="F2738" s="26"/>
      <c r="G2738" s="26"/>
      <c r="H2738" s="26"/>
      <c r="I2738" s="26"/>
    </row>
    <row r="2739" spans="6:9" x14ac:dyDescent="0.3">
      <c r="F2739" s="26"/>
      <c r="G2739" s="26"/>
      <c r="H2739" s="26"/>
      <c r="I2739" s="26"/>
    </row>
    <row r="2740" spans="6:9" x14ac:dyDescent="0.3">
      <c r="F2740" s="26"/>
      <c r="G2740" s="26"/>
      <c r="H2740" s="26"/>
      <c r="I2740" s="26"/>
    </row>
    <row r="2741" spans="6:9" x14ac:dyDescent="0.3">
      <c r="F2741" s="26"/>
      <c r="G2741" s="26"/>
      <c r="H2741" s="26"/>
      <c r="I2741" s="26"/>
    </row>
    <row r="2742" spans="6:9" x14ac:dyDescent="0.3">
      <c r="F2742" s="26"/>
      <c r="G2742" s="26"/>
      <c r="H2742" s="26"/>
      <c r="I2742" s="26"/>
    </row>
    <row r="2743" spans="6:9" x14ac:dyDescent="0.3">
      <c r="F2743" s="26"/>
      <c r="G2743" s="26"/>
      <c r="H2743" s="26"/>
      <c r="I2743" s="26"/>
    </row>
    <row r="2744" spans="6:9" x14ac:dyDescent="0.3">
      <c r="F2744" s="26"/>
      <c r="G2744" s="26"/>
      <c r="H2744" s="26"/>
      <c r="I2744" s="26"/>
    </row>
    <row r="2745" spans="6:9" x14ac:dyDescent="0.3">
      <c r="F2745" s="26"/>
      <c r="G2745" s="26"/>
      <c r="H2745" s="26"/>
      <c r="I2745" s="26"/>
    </row>
    <row r="2746" spans="6:9" x14ac:dyDescent="0.3">
      <c r="F2746" s="26"/>
      <c r="G2746" s="26"/>
      <c r="H2746" s="26"/>
      <c r="I2746" s="26"/>
    </row>
    <row r="2747" spans="6:9" x14ac:dyDescent="0.3">
      <c r="F2747" s="26"/>
      <c r="G2747" s="26"/>
      <c r="H2747" s="26"/>
      <c r="I2747" s="26"/>
    </row>
    <row r="2748" spans="6:9" x14ac:dyDescent="0.3">
      <c r="F2748" s="26"/>
      <c r="G2748" s="26"/>
      <c r="H2748" s="26"/>
      <c r="I2748" s="26"/>
    </row>
    <row r="2749" spans="6:9" x14ac:dyDescent="0.3">
      <c r="F2749" s="26"/>
      <c r="G2749" s="26"/>
      <c r="H2749" s="26"/>
      <c r="I2749" s="26"/>
    </row>
    <row r="2750" spans="6:9" x14ac:dyDescent="0.3">
      <c r="F2750" s="26"/>
      <c r="G2750" s="26"/>
      <c r="H2750" s="26"/>
      <c r="I2750" s="26"/>
    </row>
    <row r="2751" spans="6:9" x14ac:dyDescent="0.3">
      <c r="F2751" s="26"/>
      <c r="G2751" s="26"/>
      <c r="H2751" s="26"/>
      <c r="I2751" s="26"/>
    </row>
    <row r="2752" spans="6:9" x14ac:dyDescent="0.3">
      <c r="F2752" s="26"/>
      <c r="G2752" s="26"/>
      <c r="H2752" s="26"/>
      <c r="I2752" s="26"/>
    </row>
    <row r="2753" spans="6:9" x14ac:dyDescent="0.3">
      <c r="F2753" s="26"/>
      <c r="G2753" s="26"/>
      <c r="H2753" s="26"/>
      <c r="I2753" s="26"/>
    </row>
    <row r="2754" spans="6:9" x14ac:dyDescent="0.3">
      <c r="F2754" s="26"/>
      <c r="G2754" s="26"/>
      <c r="H2754" s="26"/>
      <c r="I2754" s="26"/>
    </row>
    <row r="2755" spans="6:9" x14ac:dyDescent="0.3">
      <c r="F2755" s="26"/>
      <c r="G2755" s="26"/>
      <c r="H2755" s="26"/>
      <c r="I2755" s="26"/>
    </row>
    <row r="2756" spans="6:9" x14ac:dyDescent="0.3">
      <c r="F2756" s="26"/>
      <c r="G2756" s="26"/>
      <c r="H2756" s="26"/>
      <c r="I2756" s="26"/>
    </row>
    <row r="2757" spans="6:9" x14ac:dyDescent="0.3">
      <c r="F2757" s="26"/>
      <c r="G2757" s="26"/>
      <c r="H2757" s="26"/>
      <c r="I2757" s="26"/>
    </row>
    <row r="2758" spans="6:9" x14ac:dyDescent="0.3">
      <c r="F2758" s="26"/>
      <c r="G2758" s="26"/>
      <c r="H2758" s="26"/>
      <c r="I2758" s="26"/>
    </row>
    <row r="2759" spans="6:9" x14ac:dyDescent="0.3">
      <c r="F2759" s="26"/>
      <c r="G2759" s="26"/>
      <c r="H2759" s="26"/>
      <c r="I2759" s="26"/>
    </row>
    <row r="2760" spans="6:9" x14ac:dyDescent="0.3">
      <c r="F2760" s="26"/>
      <c r="G2760" s="26"/>
      <c r="H2760" s="26"/>
      <c r="I2760" s="26"/>
    </row>
    <row r="2761" spans="6:9" x14ac:dyDescent="0.3">
      <c r="F2761" s="26"/>
      <c r="G2761" s="26"/>
      <c r="H2761" s="26"/>
      <c r="I2761" s="26"/>
    </row>
    <row r="2762" spans="6:9" x14ac:dyDescent="0.3">
      <c r="F2762" s="26"/>
      <c r="G2762" s="26"/>
      <c r="H2762" s="26"/>
      <c r="I2762" s="26"/>
    </row>
    <row r="2763" spans="6:9" x14ac:dyDescent="0.3">
      <c r="F2763" s="26"/>
      <c r="G2763" s="26"/>
      <c r="H2763" s="26"/>
      <c r="I2763" s="26"/>
    </row>
    <row r="2764" spans="6:9" x14ac:dyDescent="0.3">
      <c r="F2764" s="26"/>
      <c r="G2764" s="26"/>
      <c r="H2764" s="26"/>
      <c r="I2764" s="26"/>
    </row>
    <row r="2765" spans="6:9" x14ac:dyDescent="0.3">
      <c r="F2765" s="26"/>
      <c r="G2765" s="26"/>
      <c r="H2765" s="26"/>
      <c r="I2765" s="26"/>
    </row>
    <row r="2766" spans="6:9" x14ac:dyDescent="0.3">
      <c r="F2766" s="26"/>
      <c r="G2766" s="26"/>
      <c r="H2766" s="26"/>
      <c r="I2766" s="26"/>
    </row>
    <row r="2767" spans="6:9" x14ac:dyDescent="0.3">
      <c r="F2767" s="26"/>
      <c r="G2767" s="26"/>
      <c r="H2767" s="26"/>
      <c r="I2767" s="26"/>
    </row>
    <row r="2768" spans="6:9" x14ac:dyDescent="0.3">
      <c r="F2768" s="26"/>
      <c r="G2768" s="26"/>
      <c r="H2768" s="26"/>
      <c r="I2768" s="26"/>
    </row>
    <row r="2769" spans="6:9" x14ac:dyDescent="0.3">
      <c r="F2769" s="26"/>
      <c r="G2769" s="26"/>
      <c r="H2769" s="26"/>
      <c r="I2769" s="26"/>
    </row>
    <row r="2770" spans="6:9" x14ac:dyDescent="0.3">
      <c r="F2770" s="26"/>
      <c r="G2770" s="26"/>
      <c r="H2770" s="26"/>
      <c r="I2770" s="26"/>
    </row>
    <row r="2771" spans="6:9" x14ac:dyDescent="0.3">
      <c r="F2771" s="26"/>
      <c r="G2771" s="26"/>
      <c r="H2771" s="26"/>
      <c r="I2771" s="26"/>
    </row>
    <row r="2772" spans="6:9" x14ac:dyDescent="0.3">
      <c r="F2772" s="26"/>
      <c r="G2772" s="26"/>
      <c r="H2772" s="26"/>
      <c r="I2772" s="26"/>
    </row>
    <row r="2773" spans="6:9" x14ac:dyDescent="0.3">
      <c r="F2773" s="26"/>
      <c r="G2773" s="26"/>
      <c r="H2773" s="26"/>
      <c r="I2773" s="26"/>
    </row>
    <row r="2774" spans="6:9" x14ac:dyDescent="0.3">
      <c r="F2774" s="26"/>
      <c r="G2774" s="26"/>
      <c r="H2774" s="26"/>
      <c r="I2774" s="26"/>
    </row>
    <row r="2775" spans="6:9" x14ac:dyDescent="0.3">
      <c r="F2775" s="26"/>
      <c r="G2775" s="26"/>
      <c r="H2775" s="26"/>
      <c r="I2775" s="26"/>
    </row>
    <row r="2776" spans="6:9" x14ac:dyDescent="0.3">
      <c r="F2776" s="26"/>
      <c r="G2776" s="26"/>
      <c r="H2776" s="26"/>
      <c r="I2776" s="26"/>
    </row>
    <row r="2777" spans="6:9" x14ac:dyDescent="0.3">
      <c r="F2777" s="26"/>
      <c r="G2777" s="26"/>
      <c r="H2777" s="26"/>
      <c r="I2777" s="26"/>
    </row>
    <row r="2778" spans="6:9" x14ac:dyDescent="0.3">
      <c r="F2778" s="26"/>
      <c r="G2778" s="26"/>
      <c r="H2778" s="26"/>
      <c r="I2778" s="26"/>
    </row>
    <row r="2779" spans="6:9" x14ac:dyDescent="0.3">
      <c r="F2779" s="26"/>
      <c r="G2779" s="26"/>
      <c r="H2779" s="26"/>
      <c r="I2779" s="26"/>
    </row>
    <row r="2780" spans="6:9" x14ac:dyDescent="0.3">
      <c r="F2780" s="26"/>
      <c r="G2780" s="26"/>
      <c r="H2780" s="26"/>
      <c r="I2780" s="26"/>
    </row>
    <row r="2781" spans="6:9" x14ac:dyDescent="0.3">
      <c r="F2781" s="26"/>
      <c r="G2781" s="26"/>
      <c r="H2781" s="26"/>
      <c r="I2781" s="26"/>
    </row>
    <row r="2782" spans="6:9" x14ac:dyDescent="0.3">
      <c r="F2782" s="26"/>
      <c r="G2782" s="26"/>
      <c r="H2782" s="26"/>
      <c r="I2782" s="26"/>
    </row>
    <row r="2783" spans="6:9" x14ac:dyDescent="0.3">
      <c r="F2783" s="26"/>
      <c r="G2783" s="26"/>
      <c r="H2783" s="26"/>
      <c r="I2783" s="26"/>
    </row>
    <row r="2784" spans="6:9" x14ac:dyDescent="0.3">
      <c r="F2784" s="26"/>
      <c r="G2784" s="26"/>
      <c r="H2784" s="26"/>
      <c r="I2784" s="26"/>
    </row>
    <row r="2785" spans="6:9" x14ac:dyDescent="0.3">
      <c r="F2785" s="26"/>
      <c r="G2785" s="26"/>
      <c r="H2785" s="26"/>
      <c r="I2785" s="26"/>
    </row>
    <row r="2786" spans="6:9" x14ac:dyDescent="0.3">
      <c r="F2786" s="26"/>
      <c r="G2786" s="26"/>
      <c r="H2786" s="26"/>
      <c r="I2786" s="26"/>
    </row>
    <row r="2787" spans="6:9" x14ac:dyDescent="0.3">
      <c r="F2787" s="26"/>
      <c r="G2787" s="26"/>
      <c r="H2787" s="26"/>
      <c r="I2787" s="26"/>
    </row>
    <row r="2788" spans="6:9" x14ac:dyDescent="0.3">
      <c r="F2788" s="26"/>
      <c r="G2788" s="26"/>
      <c r="H2788" s="26"/>
      <c r="I2788" s="26"/>
    </row>
    <row r="2789" spans="6:9" x14ac:dyDescent="0.3">
      <c r="F2789" s="26"/>
      <c r="G2789" s="26"/>
      <c r="H2789" s="26"/>
      <c r="I2789" s="26"/>
    </row>
    <row r="2790" spans="6:9" x14ac:dyDescent="0.3">
      <c r="F2790" s="26"/>
      <c r="G2790" s="26"/>
      <c r="H2790" s="26"/>
      <c r="I2790" s="26"/>
    </row>
    <row r="2791" spans="6:9" x14ac:dyDescent="0.3">
      <c r="F2791" s="26"/>
      <c r="G2791" s="26"/>
      <c r="H2791" s="26"/>
      <c r="I2791" s="26"/>
    </row>
    <row r="2792" spans="6:9" x14ac:dyDescent="0.3">
      <c r="F2792" s="26"/>
      <c r="G2792" s="26"/>
      <c r="H2792" s="26"/>
      <c r="I2792" s="26"/>
    </row>
    <row r="2793" spans="6:9" x14ac:dyDescent="0.3">
      <c r="F2793" s="26"/>
      <c r="G2793" s="26"/>
      <c r="H2793" s="26"/>
      <c r="I2793" s="26"/>
    </row>
    <row r="2794" spans="6:9" x14ac:dyDescent="0.3">
      <c r="F2794" s="26"/>
      <c r="G2794" s="26"/>
      <c r="H2794" s="26"/>
      <c r="I2794" s="26"/>
    </row>
    <row r="2795" spans="6:9" x14ac:dyDescent="0.3">
      <c r="F2795" s="26"/>
      <c r="G2795" s="26"/>
      <c r="H2795" s="26"/>
      <c r="I2795" s="26"/>
    </row>
    <row r="2796" spans="6:9" x14ac:dyDescent="0.3">
      <c r="F2796" s="26"/>
      <c r="G2796" s="26"/>
      <c r="H2796" s="26"/>
      <c r="I2796" s="26"/>
    </row>
    <row r="2797" spans="6:9" x14ac:dyDescent="0.3">
      <c r="F2797" s="26"/>
      <c r="G2797" s="26"/>
      <c r="H2797" s="26"/>
      <c r="I2797" s="26"/>
    </row>
    <row r="2798" spans="6:9" x14ac:dyDescent="0.3">
      <c r="F2798" s="26"/>
      <c r="G2798" s="26"/>
      <c r="H2798" s="26"/>
      <c r="I2798" s="26"/>
    </row>
    <row r="2799" spans="6:9" x14ac:dyDescent="0.3">
      <c r="F2799" s="26"/>
      <c r="G2799" s="26"/>
      <c r="H2799" s="26"/>
      <c r="I2799" s="26"/>
    </row>
    <row r="2800" spans="6:9" x14ac:dyDescent="0.3">
      <c r="F2800" s="26"/>
      <c r="G2800" s="26"/>
      <c r="H2800" s="26"/>
      <c r="I2800" s="26"/>
    </row>
    <row r="2801" spans="6:9" x14ac:dyDescent="0.3">
      <c r="F2801" s="26"/>
      <c r="G2801" s="26"/>
      <c r="H2801" s="26"/>
      <c r="I2801" s="26"/>
    </row>
    <row r="2802" spans="6:9" x14ac:dyDescent="0.3">
      <c r="F2802" s="26"/>
      <c r="G2802" s="26"/>
      <c r="H2802" s="26"/>
      <c r="I2802" s="26"/>
    </row>
    <row r="2803" spans="6:9" x14ac:dyDescent="0.3">
      <c r="F2803" s="26"/>
      <c r="G2803" s="26"/>
      <c r="H2803" s="26"/>
      <c r="I2803" s="26"/>
    </row>
    <row r="2804" spans="6:9" x14ac:dyDescent="0.3">
      <c r="F2804" s="26"/>
      <c r="G2804" s="26"/>
      <c r="H2804" s="26"/>
      <c r="I2804" s="26"/>
    </row>
    <row r="2805" spans="6:9" x14ac:dyDescent="0.3">
      <c r="F2805" s="26"/>
      <c r="G2805" s="26"/>
      <c r="H2805" s="26"/>
      <c r="I2805" s="26"/>
    </row>
    <row r="2806" spans="6:9" x14ac:dyDescent="0.3">
      <c r="F2806" s="26"/>
      <c r="G2806" s="26"/>
      <c r="H2806" s="26"/>
      <c r="I2806" s="26"/>
    </row>
    <row r="2807" spans="6:9" x14ac:dyDescent="0.3">
      <c r="F2807" s="26"/>
      <c r="G2807" s="26"/>
      <c r="H2807" s="26"/>
      <c r="I2807" s="26"/>
    </row>
    <row r="2808" spans="6:9" x14ac:dyDescent="0.3">
      <c r="F2808" s="26"/>
      <c r="G2808" s="26"/>
      <c r="H2808" s="26"/>
      <c r="I2808" s="26"/>
    </row>
    <row r="2809" spans="6:9" x14ac:dyDescent="0.3">
      <c r="F2809" s="26"/>
      <c r="G2809" s="26"/>
      <c r="H2809" s="26"/>
      <c r="I2809" s="26"/>
    </row>
    <row r="2810" spans="6:9" x14ac:dyDescent="0.3">
      <c r="F2810" s="26"/>
      <c r="G2810" s="26"/>
      <c r="H2810" s="26"/>
      <c r="I2810" s="26"/>
    </row>
    <row r="2811" spans="6:9" x14ac:dyDescent="0.3">
      <c r="F2811" s="26"/>
      <c r="G2811" s="26"/>
      <c r="H2811" s="26"/>
      <c r="I2811" s="26"/>
    </row>
    <row r="2812" spans="6:9" x14ac:dyDescent="0.3">
      <c r="F2812" s="26"/>
      <c r="G2812" s="26"/>
      <c r="H2812" s="26"/>
      <c r="I2812" s="26"/>
    </row>
    <row r="2813" spans="6:9" x14ac:dyDescent="0.3">
      <c r="F2813" s="26"/>
      <c r="G2813" s="26"/>
      <c r="H2813" s="26"/>
      <c r="I2813" s="26"/>
    </row>
    <row r="2814" spans="6:9" x14ac:dyDescent="0.3">
      <c r="F2814" s="26"/>
      <c r="G2814" s="26"/>
      <c r="H2814" s="26"/>
      <c r="I2814" s="26"/>
    </row>
    <row r="2815" spans="6:9" x14ac:dyDescent="0.3">
      <c r="F2815" s="26"/>
      <c r="G2815" s="26"/>
      <c r="H2815" s="26"/>
      <c r="I2815" s="26"/>
    </row>
    <row r="2816" spans="6:9" x14ac:dyDescent="0.3">
      <c r="F2816" s="26"/>
      <c r="G2816" s="26"/>
      <c r="H2816" s="26"/>
      <c r="I2816" s="26"/>
    </row>
    <row r="2817" spans="6:9" x14ac:dyDescent="0.3">
      <c r="F2817" s="26"/>
      <c r="G2817" s="26"/>
      <c r="H2817" s="26"/>
      <c r="I2817" s="26"/>
    </row>
    <row r="2818" spans="6:9" x14ac:dyDescent="0.3">
      <c r="F2818" s="26"/>
      <c r="G2818" s="26"/>
      <c r="H2818" s="26"/>
      <c r="I2818" s="26"/>
    </row>
    <row r="2819" spans="6:9" x14ac:dyDescent="0.3">
      <c r="F2819" s="26"/>
      <c r="G2819" s="26"/>
      <c r="H2819" s="26"/>
      <c r="I2819" s="26"/>
    </row>
    <row r="2820" spans="6:9" x14ac:dyDescent="0.3">
      <c r="F2820" s="26"/>
      <c r="G2820" s="26"/>
      <c r="H2820" s="26"/>
      <c r="I2820" s="26"/>
    </row>
    <row r="2821" spans="6:9" x14ac:dyDescent="0.3">
      <c r="F2821" s="26"/>
      <c r="G2821" s="26"/>
      <c r="H2821" s="26"/>
      <c r="I2821" s="26"/>
    </row>
    <row r="2822" spans="6:9" x14ac:dyDescent="0.3">
      <c r="F2822" s="26"/>
      <c r="G2822" s="26"/>
      <c r="H2822" s="26"/>
      <c r="I2822" s="26"/>
    </row>
    <row r="2823" spans="6:9" x14ac:dyDescent="0.3">
      <c r="F2823" s="26"/>
      <c r="G2823" s="26"/>
      <c r="H2823" s="26"/>
      <c r="I2823" s="26"/>
    </row>
    <row r="2824" spans="6:9" x14ac:dyDescent="0.3">
      <c r="F2824" s="26"/>
      <c r="G2824" s="26"/>
      <c r="H2824" s="26"/>
      <c r="I2824" s="26"/>
    </row>
    <row r="2825" spans="6:9" x14ac:dyDescent="0.3">
      <c r="F2825" s="26"/>
      <c r="G2825" s="26"/>
      <c r="H2825" s="26"/>
      <c r="I2825" s="26"/>
    </row>
    <row r="2826" spans="6:9" x14ac:dyDescent="0.3">
      <c r="F2826" s="26"/>
      <c r="G2826" s="26"/>
      <c r="H2826" s="26"/>
      <c r="I2826" s="26"/>
    </row>
    <row r="2827" spans="6:9" x14ac:dyDescent="0.3">
      <c r="F2827" s="26"/>
      <c r="G2827" s="26"/>
      <c r="H2827" s="26"/>
      <c r="I2827" s="26"/>
    </row>
    <row r="2828" spans="6:9" x14ac:dyDescent="0.3">
      <c r="F2828" s="26"/>
      <c r="G2828" s="26"/>
      <c r="H2828" s="26"/>
      <c r="I2828" s="26"/>
    </row>
    <row r="2829" spans="6:9" x14ac:dyDescent="0.3">
      <c r="F2829" s="26"/>
      <c r="G2829" s="26"/>
      <c r="H2829" s="26"/>
      <c r="I2829" s="26"/>
    </row>
    <row r="2830" spans="6:9" x14ac:dyDescent="0.3">
      <c r="F2830" s="26"/>
      <c r="G2830" s="26"/>
      <c r="H2830" s="26"/>
      <c r="I2830" s="26"/>
    </row>
    <row r="2831" spans="6:9" x14ac:dyDescent="0.3">
      <c r="F2831" s="26"/>
      <c r="G2831" s="26"/>
      <c r="H2831" s="26"/>
      <c r="I2831" s="26"/>
    </row>
    <row r="2832" spans="6:9" x14ac:dyDescent="0.3">
      <c r="F2832" s="26"/>
      <c r="G2832" s="26"/>
      <c r="H2832" s="26"/>
      <c r="I2832" s="26"/>
    </row>
    <row r="2833" spans="6:9" x14ac:dyDescent="0.3">
      <c r="F2833" s="26"/>
      <c r="G2833" s="26"/>
      <c r="H2833" s="26"/>
      <c r="I2833" s="26"/>
    </row>
    <row r="2834" spans="6:9" x14ac:dyDescent="0.3">
      <c r="F2834" s="26"/>
      <c r="G2834" s="26"/>
      <c r="H2834" s="26"/>
      <c r="I2834" s="26"/>
    </row>
    <row r="2835" spans="6:9" x14ac:dyDescent="0.3">
      <c r="F2835" s="26"/>
      <c r="G2835" s="26"/>
      <c r="H2835" s="26"/>
      <c r="I2835" s="26"/>
    </row>
    <row r="2836" spans="6:9" x14ac:dyDescent="0.3">
      <c r="F2836" s="26"/>
      <c r="G2836" s="26"/>
      <c r="H2836" s="26"/>
      <c r="I2836" s="26"/>
    </row>
    <row r="2837" spans="6:9" x14ac:dyDescent="0.3">
      <c r="F2837" s="26"/>
      <c r="G2837" s="26"/>
      <c r="H2837" s="26"/>
      <c r="I2837" s="26"/>
    </row>
    <row r="2838" spans="6:9" x14ac:dyDescent="0.3">
      <c r="F2838" s="26"/>
      <c r="G2838" s="26"/>
      <c r="H2838" s="26"/>
      <c r="I2838" s="26"/>
    </row>
    <row r="2839" spans="6:9" x14ac:dyDescent="0.3">
      <c r="F2839" s="26"/>
      <c r="G2839" s="26"/>
      <c r="H2839" s="26"/>
      <c r="I2839" s="26"/>
    </row>
    <row r="2840" spans="6:9" x14ac:dyDescent="0.3">
      <c r="F2840" s="26"/>
      <c r="G2840" s="26"/>
      <c r="H2840" s="26"/>
      <c r="I2840" s="26"/>
    </row>
    <row r="2841" spans="6:9" x14ac:dyDescent="0.3">
      <c r="F2841" s="26"/>
      <c r="G2841" s="26"/>
      <c r="H2841" s="26"/>
      <c r="I2841" s="26"/>
    </row>
    <row r="2842" spans="6:9" x14ac:dyDescent="0.3">
      <c r="F2842" s="26"/>
      <c r="G2842" s="26"/>
      <c r="H2842" s="26"/>
      <c r="I2842" s="26"/>
    </row>
    <row r="2843" spans="6:9" x14ac:dyDescent="0.3">
      <c r="F2843" s="26"/>
      <c r="G2843" s="26"/>
      <c r="H2843" s="26"/>
      <c r="I2843" s="26"/>
    </row>
    <row r="2844" spans="6:9" x14ac:dyDescent="0.3">
      <c r="F2844" s="26"/>
      <c r="G2844" s="26"/>
      <c r="H2844" s="26"/>
      <c r="I2844" s="26"/>
    </row>
    <row r="2845" spans="6:9" x14ac:dyDescent="0.3">
      <c r="F2845" s="26"/>
      <c r="G2845" s="26"/>
      <c r="H2845" s="26"/>
      <c r="I2845" s="26"/>
    </row>
    <row r="2846" spans="6:9" x14ac:dyDescent="0.3">
      <c r="F2846" s="26"/>
      <c r="G2846" s="26"/>
      <c r="H2846" s="26"/>
      <c r="I2846" s="26"/>
    </row>
    <row r="2847" spans="6:9" x14ac:dyDescent="0.3">
      <c r="F2847" s="26"/>
      <c r="G2847" s="26"/>
      <c r="H2847" s="26"/>
      <c r="I2847" s="26"/>
    </row>
    <row r="2848" spans="6:9" x14ac:dyDescent="0.3">
      <c r="F2848" s="26"/>
      <c r="G2848" s="26"/>
      <c r="H2848" s="26"/>
      <c r="I2848" s="26"/>
    </row>
    <row r="2849" spans="6:9" x14ac:dyDescent="0.3">
      <c r="F2849" s="26"/>
      <c r="G2849" s="26"/>
      <c r="H2849" s="26"/>
      <c r="I2849" s="26"/>
    </row>
    <row r="2850" spans="6:9" x14ac:dyDescent="0.3">
      <c r="F2850" s="26"/>
      <c r="G2850" s="26"/>
      <c r="H2850" s="26"/>
      <c r="I2850" s="26"/>
    </row>
    <row r="2851" spans="6:9" x14ac:dyDescent="0.3">
      <c r="F2851" s="26"/>
      <c r="G2851" s="26"/>
      <c r="H2851" s="26"/>
      <c r="I2851" s="26"/>
    </row>
    <row r="2852" spans="6:9" x14ac:dyDescent="0.3">
      <c r="F2852" s="26"/>
      <c r="G2852" s="26"/>
      <c r="H2852" s="26"/>
      <c r="I2852" s="26"/>
    </row>
    <row r="2853" spans="6:9" x14ac:dyDescent="0.3">
      <c r="F2853" s="26"/>
      <c r="G2853" s="26"/>
      <c r="H2853" s="26"/>
      <c r="I2853" s="26"/>
    </row>
    <row r="2854" spans="6:9" x14ac:dyDescent="0.3">
      <c r="F2854" s="26"/>
      <c r="G2854" s="26"/>
      <c r="H2854" s="26"/>
      <c r="I2854" s="26"/>
    </row>
    <row r="2855" spans="6:9" x14ac:dyDescent="0.3">
      <c r="F2855" s="26"/>
      <c r="G2855" s="26"/>
      <c r="H2855" s="26"/>
      <c r="I2855" s="26"/>
    </row>
    <row r="2856" spans="6:9" x14ac:dyDescent="0.3">
      <c r="F2856" s="26"/>
      <c r="G2856" s="26"/>
      <c r="H2856" s="26"/>
      <c r="I2856" s="26"/>
    </row>
    <row r="2857" spans="6:9" x14ac:dyDescent="0.3">
      <c r="F2857" s="26"/>
      <c r="G2857" s="26"/>
      <c r="H2857" s="26"/>
      <c r="I2857" s="26"/>
    </row>
    <row r="2858" spans="6:9" x14ac:dyDescent="0.3">
      <c r="F2858" s="26"/>
      <c r="G2858" s="26"/>
      <c r="H2858" s="26"/>
      <c r="I2858" s="26"/>
    </row>
    <row r="2859" spans="6:9" x14ac:dyDescent="0.3">
      <c r="F2859" s="26"/>
      <c r="G2859" s="26"/>
      <c r="H2859" s="26"/>
      <c r="I2859" s="26"/>
    </row>
    <row r="2860" spans="6:9" x14ac:dyDescent="0.3">
      <c r="F2860" s="26"/>
      <c r="G2860" s="26"/>
      <c r="H2860" s="26"/>
      <c r="I2860" s="26"/>
    </row>
    <row r="2861" spans="6:9" x14ac:dyDescent="0.3">
      <c r="F2861" s="26"/>
      <c r="G2861" s="26"/>
      <c r="H2861" s="26"/>
      <c r="I2861" s="26"/>
    </row>
    <row r="2862" spans="6:9" x14ac:dyDescent="0.3">
      <c r="F2862" s="26"/>
      <c r="G2862" s="26"/>
      <c r="H2862" s="26"/>
      <c r="I2862" s="26"/>
    </row>
    <row r="2863" spans="6:9" x14ac:dyDescent="0.3">
      <c r="F2863" s="26"/>
      <c r="G2863" s="26"/>
      <c r="H2863" s="26"/>
      <c r="I2863" s="26"/>
    </row>
    <row r="2864" spans="6:9" x14ac:dyDescent="0.3">
      <c r="F2864" s="26"/>
      <c r="G2864" s="26"/>
      <c r="H2864" s="26"/>
      <c r="I2864" s="26"/>
    </row>
    <row r="2865" spans="6:9" x14ac:dyDescent="0.3">
      <c r="F2865" s="26"/>
      <c r="G2865" s="26"/>
      <c r="H2865" s="26"/>
      <c r="I2865" s="26"/>
    </row>
    <row r="2866" spans="6:9" x14ac:dyDescent="0.3">
      <c r="F2866" s="26"/>
      <c r="G2866" s="26"/>
      <c r="H2866" s="26"/>
      <c r="I2866" s="26"/>
    </row>
    <row r="2867" spans="6:9" x14ac:dyDescent="0.3">
      <c r="F2867" s="26"/>
      <c r="G2867" s="26"/>
      <c r="H2867" s="26"/>
      <c r="I2867" s="26"/>
    </row>
    <row r="2868" spans="6:9" x14ac:dyDescent="0.3">
      <c r="F2868" s="26"/>
      <c r="G2868" s="26"/>
      <c r="H2868" s="26"/>
      <c r="I2868" s="26"/>
    </row>
    <row r="2869" spans="6:9" x14ac:dyDescent="0.3">
      <c r="F2869" s="26"/>
      <c r="G2869" s="26"/>
      <c r="H2869" s="26"/>
      <c r="I2869" s="26"/>
    </row>
    <row r="2870" spans="6:9" x14ac:dyDescent="0.3">
      <c r="F2870" s="26"/>
      <c r="G2870" s="26"/>
      <c r="H2870" s="26"/>
      <c r="I2870" s="26"/>
    </row>
    <row r="2871" spans="6:9" x14ac:dyDescent="0.3">
      <c r="F2871" s="26"/>
      <c r="G2871" s="26"/>
      <c r="H2871" s="26"/>
      <c r="I2871" s="26"/>
    </row>
    <row r="2872" spans="6:9" x14ac:dyDescent="0.3">
      <c r="F2872" s="26"/>
      <c r="G2872" s="26"/>
      <c r="H2872" s="26"/>
      <c r="I2872" s="26"/>
    </row>
    <row r="2873" spans="6:9" x14ac:dyDescent="0.3">
      <c r="F2873" s="26"/>
      <c r="G2873" s="26"/>
      <c r="H2873" s="26"/>
      <c r="I2873" s="26"/>
    </row>
    <row r="2874" spans="6:9" x14ac:dyDescent="0.3">
      <c r="F2874" s="26"/>
      <c r="G2874" s="26"/>
      <c r="H2874" s="26"/>
      <c r="I2874" s="26"/>
    </row>
    <row r="2875" spans="6:9" x14ac:dyDescent="0.3">
      <c r="F2875" s="26"/>
      <c r="G2875" s="26"/>
      <c r="H2875" s="26"/>
      <c r="I2875" s="26"/>
    </row>
    <row r="2876" spans="6:9" x14ac:dyDescent="0.3">
      <c r="F2876" s="26"/>
      <c r="G2876" s="26"/>
      <c r="H2876" s="26"/>
      <c r="I2876" s="26"/>
    </row>
    <row r="2877" spans="6:9" x14ac:dyDescent="0.3">
      <c r="F2877" s="26"/>
      <c r="G2877" s="26"/>
      <c r="H2877" s="26"/>
      <c r="I2877" s="26"/>
    </row>
    <row r="2878" spans="6:9" x14ac:dyDescent="0.3">
      <c r="F2878" s="26"/>
      <c r="G2878" s="26"/>
      <c r="H2878" s="26"/>
      <c r="I2878" s="26"/>
    </row>
    <row r="2879" spans="6:9" x14ac:dyDescent="0.3">
      <c r="F2879" s="26"/>
      <c r="G2879" s="26"/>
      <c r="H2879" s="26"/>
      <c r="I2879" s="26"/>
    </row>
    <row r="2880" spans="6:9" x14ac:dyDescent="0.3">
      <c r="F2880" s="26"/>
      <c r="G2880" s="26"/>
      <c r="H2880" s="26"/>
      <c r="I2880" s="26"/>
    </row>
    <row r="2881" spans="6:9" x14ac:dyDescent="0.3">
      <c r="F2881" s="26"/>
      <c r="G2881" s="26"/>
      <c r="H2881" s="26"/>
      <c r="I2881" s="26"/>
    </row>
    <row r="2882" spans="6:9" x14ac:dyDescent="0.3">
      <c r="F2882" s="26"/>
      <c r="G2882" s="26"/>
      <c r="H2882" s="26"/>
      <c r="I2882" s="26"/>
    </row>
    <row r="2883" spans="6:9" x14ac:dyDescent="0.3">
      <c r="F2883" s="26"/>
      <c r="G2883" s="26"/>
      <c r="H2883" s="26"/>
      <c r="I2883" s="26"/>
    </row>
    <row r="2884" spans="6:9" x14ac:dyDescent="0.3">
      <c r="F2884" s="26"/>
      <c r="G2884" s="26"/>
      <c r="H2884" s="26"/>
      <c r="I2884" s="26"/>
    </row>
    <row r="2885" spans="6:9" x14ac:dyDescent="0.3">
      <c r="F2885" s="26"/>
      <c r="G2885" s="26"/>
      <c r="H2885" s="26"/>
      <c r="I2885" s="26"/>
    </row>
    <row r="2886" spans="6:9" x14ac:dyDescent="0.3">
      <c r="F2886" s="26"/>
      <c r="G2886" s="26"/>
      <c r="H2886" s="26"/>
      <c r="I2886" s="26"/>
    </row>
    <row r="2887" spans="6:9" x14ac:dyDescent="0.3">
      <c r="F2887" s="26"/>
      <c r="G2887" s="26"/>
      <c r="H2887" s="26"/>
      <c r="I2887" s="26"/>
    </row>
    <row r="2888" spans="6:9" x14ac:dyDescent="0.3">
      <c r="F2888" s="26"/>
      <c r="G2888" s="26"/>
      <c r="H2888" s="26"/>
      <c r="I2888" s="26"/>
    </row>
    <row r="2889" spans="6:9" x14ac:dyDescent="0.3">
      <c r="F2889" s="26"/>
      <c r="G2889" s="26"/>
      <c r="H2889" s="26"/>
      <c r="I2889" s="26"/>
    </row>
    <row r="2890" spans="6:9" x14ac:dyDescent="0.3">
      <c r="F2890" s="26"/>
      <c r="G2890" s="26"/>
      <c r="H2890" s="26"/>
      <c r="I2890" s="26"/>
    </row>
    <row r="2891" spans="6:9" x14ac:dyDescent="0.3">
      <c r="F2891" s="26"/>
      <c r="G2891" s="26"/>
      <c r="H2891" s="26"/>
      <c r="I2891" s="26"/>
    </row>
    <row r="2892" spans="6:9" x14ac:dyDescent="0.3">
      <c r="F2892" s="26"/>
      <c r="G2892" s="26"/>
      <c r="H2892" s="26"/>
      <c r="I2892" s="26"/>
    </row>
    <row r="2893" spans="6:9" x14ac:dyDescent="0.3">
      <c r="F2893" s="26"/>
      <c r="G2893" s="26"/>
      <c r="H2893" s="26"/>
      <c r="I2893" s="26"/>
    </row>
    <row r="2894" spans="6:9" x14ac:dyDescent="0.3">
      <c r="F2894" s="26"/>
      <c r="G2894" s="26"/>
      <c r="H2894" s="26"/>
      <c r="I2894" s="26"/>
    </row>
    <row r="2895" spans="6:9" x14ac:dyDescent="0.3">
      <c r="F2895" s="26"/>
      <c r="G2895" s="26"/>
      <c r="H2895" s="26"/>
      <c r="I2895" s="26"/>
    </row>
    <row r="2896" spans="6:9" x14ac:dyDescent="0.3">
      <c r="F2896" s="26"/>
      <c r="G2896" s="26"/>
      <c r="H2896" s="26"/>
      <c r="I2896" s="26"/>
    </row>
    <row r="2897" spans="6:9" x14ac:dyDescent="0.3">
      <c r="F2897" s="26"/>
      <c r="G2897" s="26"/>
      <c r="H2897" s="26"/>
      <c r="I2897" s="26"/>
    </row>
    <row r="2898" spans="6:9" x14ac:dyDescent="0.3">
      <c r="F2898" s="26"/>
      <c r="G2898" s="26"/>
      <c r="H2898" s="26"/>
      <c r="I2898" s="26"/>
    </row>
    <row r="2899" spans="6:9" x14ac:dyDescent="0.3">
      <c r="F2899" s="26"/>
      <c r="G2899" s="26"/>
      <c r="H2899" s="26"/>
      <c r="I2899" s="26"/>
    </row>
    <row r="2900" spans="6:9" x14ac:dyDescent="0.3">
      <c r="F2900" s="26"/>
      <c r="G2900" s="26"/>
      <c r="H2900" s="26"/>
      <c r="I2900" s="26"/>
    </row>
    <row r="2901" spans="6:9" x14ac:dyDescent="0.3">
      <c r="F2901" s="26"/>
      <c r="G2901" s="26"/>
      <c r="H2901" s="26"/>
      <c r="I2901" s="26"/>
    </row>
    <row r="2902" spans="6:9" x14ac:dyDescent="0.3">
      <c r="F2902" s="26"/>
      <c r="G2902" s="26"/>
      <c r="H2902" s="26"/>
      <c r="I2902" s="26"/>
    </row>
    <row r="2903" spans="6:9" x14ac:dyDescent="0.3">
      <c r="F2903" s="26"/>
      <c r="G2903" s="26"/>
      <c r="H2903" s="26"/>
      <c r="I2903" s="26"/>
    </row>
    <row r="2904" spans="6:9" x14ac:dyDescent="0.3">
      <c r="F2904" s="26"/>
      <c r="G2904" s="26"/>
      <c r="H2904" s="26"/>
      <c r="I2904" s="26"/>
    </row>
    <row r="2905" spans="6:9" x14ac:dyDescent="0.3">
      <c r="F2905" s="26"/>
      <c r="G2905" s="26"/>
      <c r="H2905" s="26"/>
      <c r="I2905" s="26"/>
    </row>
    <row r="2906" spans="6:9" x14ac:dyDescent="0.3">
      <c r="F2906" s="26"/>
      <c r="G2906" s="26"/>
      <c r="H2906" s="26"/>
      <c r="I2906" s="26"/>
    </row>
    <row r="2907" spans="6:9" x14ac:dyDescent="0.3">
      <c r="F2907" s="26"/>
      <c r="G2907" s="26"/>
      <c r="H2907" s="26"/>
      <c r="I2907" s="26"/>
    </row>
    <row r="2908" spans="6:9" x14ac:dyDescent="0.3">
      <c r="F2908" s="26"/>
      <c r="G2908" s="26"/>
      <c r="H2908" s="26"/>
      <c r="I2908" s="26"/>
    </row>
    <row r="2909" spans="6:9" x14ac:dyDescent="0.3">
      <c r="F2909" s="26"/>
      <c r="G2909" s="26"/>
      <c r="H2909" s="26"/>
      <c r="I2909" s="26"/>
    </row>
    <row r="2910" spans="6:9" x14ac:dyDescent="0.3">
      <c r="F2910" s="26"/>
      <c r="G2910" s="26"/>
      <c r="H2910" s="26"/>
      <c r="I2910" s="26"/>
    </row>
    <row r="2911" spans="6:9" x14ac:dyDescent="0.3">
      <c r="F2911" s="26"/>
      <c r="G2911" s="26"/>
      <c r="H2911" s="26"/>
      <c r="I2911" s="26"/>
    </row>
    <row r="2912" spans="6:9" x14ac:dyDescent="0.3">
      <c r="F2912" s="26"/>
      <c r="G2912" s="26"/>
      <c r="H2912" s="26"/>
      <c r="I2912" s="26"/>
    </row>
    <row r="2913" spans="6:9" x14ac:dyDescent="0.3">
      <c r="F2913" s="26"/>
      <c r="G2913" s="26"/>
      <c r="H2913" s="26"/>
      <c r="I2913" s="26"/>
    </row>
    <row r="2914" spans="6:9" x14ac:dyDescent="0.3">
      <c r="F2914" s="26"/>
      <c r="G2914" s="26"/>
      <c r="H2914" s="26"/>
      <c r="I2914" s="26"/>
    </row>
    <row r="2915" spans="6:9" x14ac:dyDescent="0.3">
      <c r="F2915" s="26"/>
      <c r="G2915" s="26"/>
      <c r="H2915" s="26"/>
      <c r="I2915" s="26"/>
    </row>
    <row r="2916" spans="6:9" x14ac:dyDescent="0.3">
      <c r="F2916" s="26"/>
      <c r="G2916" s="26"/>
      <c r="H2916" s="26"/>
      <c r="I2916" s="26"/>
    </row>
    <row r="2917" spans="6:9" x14ac:dyDescent="0.3">
      <c r="F2917" s="26"/>
      <c r="G2917" s="26"/>
      <c r="H2917" s="26"/>
      <c r="I2917" s="26"/>
    </row>
    <row r="2918" spans="6:9" x14ac:dyDescent="0.3">
      <c r="F2918" s="26"/>
      <c r="G2918" s="26"/>
      <c r="H2918" s="26"/>
      <c r="I2918" s="26"/>
    </row>
    <row r="2919" spans="6:9" x14ac:dyDescent="0.3">
      <c r="F2919" s="26"/>
      <c r="G2919" s="26"/>
      <c r="H2919" s="26"/>
      <c r="I2919" s="26"/>
    </row>
    <row r="2920" spans="6:9" x14ac:dyDescent="0.3">
      <c r="F2920" s="26"/>
      <c r="G2920" s="26"/>
      <c r="H2920" s="26"/>
      <c r="I2920" s="26"/>
    </row>
    <row r="2921" spans="6:9" x14ac:dyDescent="0.3">
      <c r="F2921" s="26"/>
      <c r="G2921" s="26"/>
      <c r="H2921" s="26"/>
      <c r="I2921" s="26"/>
    </row>
    <row r="2922" spans="6:9" x14ac:dyDescent="0.3">
      <c r="F2922" s="26"/>
      <c r="G2922" s="26"/>
      <c r="H2922" s="26"/>
      <c r="I2922" s="26"/>
    </row>
    <row r="2923" spans="6:9" x14ac:dyDescent="0.3">
      <c r="F2923" s="26"/>
      <c r="G2923" s="26"/>
      <c r="H2923" s="26"/>
      <c r="I2923" s="26"/>
    </row>
    <row r="2924" spans="6:9" x14ac:dyDescent="0.3">
      <c r="F2924" s="26"/>
      <c r="G2924" s="26"/>
      <c r="H2924" s="26"/>
      <c r="I2924" s="26"/>
    </row>
    <row r="2925" spans="6:9" x14ac:dyDescent="0.3">
      <c r="F2925" s="26"/>
      <c r="G2925" s="26"/>
      <c r="H2925" s="26"/>
      <c r="I2925" s="26"/>
    </row>
    <row r="2926" spans="6:9" x14ac:dyDescent="0.3">
      <c r="F2926" s="26"/>
      <c r="G2926" s="26"/>
      <c r="H2926" s="26"/>
      <c r="I2926" s="26"/>
    </row>
    <row r="2927" spans="6:9" x14ac:dyDescent="0.3">
      <c r="F2927" s="26"/>
      <c r="G2927" s="26"/>
      <c r="H2927" s="26"/>
      <c r="I2927" s="26"/>
    </row>
    <row r="2928" spans="6:9" x14ac:dyDescent="0.3">
      <c r="F2928" s="26"/>
      <c r="G2928" s="26"/>
      <c r="H2928" s="26"/>
      <c r="I2928" s="26"/>
    </row>
    <row r="2929" spans="6:9" x14ac:dyDescent="0.3">
      <c r="F2929" s="26"/>
      <c r="G2929" s="26"/>
      <c r="H2929" s="26"/>
      <c r="I2929" s="26"/>
    </row>
    <row r="2930" spans="6:9" x14ac:dyDescent="0.3">
      <c r="F2930" s="26"/>
      <c r="G2930" s="26"/>
      <c r="H2930" s="26"/>
      <c r="I2930" s="26"/>
    </row>
    <row r="2931" spans="6:9" x14ac:dyDescent="0.3">
      <c r="F2931" s="26"/>
      <c r="G2931" s="26"/>
      <c r="H2931" s="26"/>
      <c r="I2931" s="26"/>
    </row>
    <row r="2932" spans="6:9" x14ac:dyDescent="0.3">
      <c r="F2932" s="26"/>
      <c r="G2932" s="26"/>
      <c r="H2932" s="26"/>
      <c r="I2932" s="26"/>
    </row>
    <row r="2933" spans="6:9" x14ac:dyDescent="0.3">
      <c r="F2933" s="26"/>
      <c r="G2933" s="26"/>
      <c r="H2933" s="26"/>
      <c r="I2933" s="26"/>
    </row>
    <row r="2934" spans="6:9" x14ac:dyDescent="0.3">
      <c r="F2934" s="26"/>
      <c r="G2934" s="26"/>
      <c r="H2934" s="26"/>
      <c r="I2934" s="26"/>
    </row>
    <row r="2935" spans="6:9" x14ac:dyDescent="0.3">
      <c r="F2935" s="26"/>
      <c r="G2935" s="26"/>
      <c r="H2935" s="26"/>
      <c r="I2935" s="26"/>
    </row>
    <row r="2936" spans="6:9" x14ac:dyDescent="0.3">
      <c r="F2936" s="26"/>
      <c r="G2936" s="26"/>
      <c r="H2936" s="26"/>
      <c r="I2936" s="26"/>
    </row>
    <row r="2937" spans="6:9" x14ac:dyDescent="0.3">
      <c r="F2937" s="26"/>
      <c r="G2937" s="26"/>
      <c r="H2937" s="26"/>
      <c r="I2937" s="26"/>
    </row>
    <row r="2938" spans="6:9" x14ac:dyDescent="0.3">
      <c r="F2938" s="26"/>
      <c r="G2938" s="26"/>
      <c r="H2938" s="26"/>
      <c r="I2938" s="26"/>
    </row>
    <row r="2939" spans="6:9" x14ac:dyDescent="0.3">
      <c r="F2939" s="26"/>
      <c r="G2939" s="26"/>
      <c r="H2939" s="26"/>
      <c r="I2939" s="26"/>
    </row>
    <row r="2940" spans="6:9" x14ac:dyDescent="0.3">
      <c r="F2940" s="26"/>
      <c r="G2940" s="26"/>
      <c r="H2940" s="26"/>
      <c r="I2940" s="26"/>
    </row>
    <row r="2941" spans="6:9" x14ac:dyDescent="0.3">
      <c r="F2941" s="26"/>
      <c r="G2941" s="26"/>
      <c r="H2941" s="26"/>
      <c r="I2941" s="26"/>
    </row>
    <row r="2942" spans="6:9" x14ac:dyDescent="0.3">
      <c r="F2942" s="26"/>
      <c r="G2942" s="26"/>
      <c r="H2942" s="26"/>
      <c r="I2942" s="26"/>
    </row>
    <row r="2943" spans="6:9" x14ac:dyDescent="0.3">
      <c r="F2943" s="26"/>
      <c r="G2943" s="26"/>
      <c r="H2943" s="26"/>
      <c r="I2943" s="26"/>
    </row>
    <row r="2944" spans="6:9" x14ac:dyDescent="0.3">
      <c r="F2944" s="26"/>
      <c r="G2944" s="26"/>
      <c r="H2944" s="26"/>
      <c r="I2944" s="26"/>
    </row>
    <row r="2945" spans="6:9" x14ac:dyDescent="0.3">
      <c r="F2945" s="26"/>
      <c r="G2945" s="26"/>
      <c r="H2945" s="26"/>
      <c r="I2945" s="26"/>
    </row>
    <row r="2946" spans="6:9" x14ac:dyDescent="0.3">
      <c r="F2946" s="26"/>
      <c r="G2946" s="26"/>
      <c r="H2946" s="26"/>
      <c r="I2946" s="26"/>
    </row>
    <row r="2947" spans="6:9" x14ac:dyDescent="0.3">
      <c r="F2947" s="26"/>
      <c r="G2947" s="26"/>
      <c r="H2947" s="26"/>
      <c r="I2947" s="26"/>
    </row>
    <row r="2948" spans="6:9" x14ac:dyDescent="0.3">
      <c r="F2948" s="26"/>
      <c r="G2948" s="26"/>
      <c r="H2948" s="26"/>
      <c r="I2948" s="26"/>
    </row>
    <row r="2949" spans="6:9" x14ac:dyDescent="0.3">
      <c r="F2949" s="26"/>
      <c r="G2949" s="26"/>
      <c r="H2949" s="26"/>
      <c r="I2949" s="26"/>
    </row>
    <row r="2950" spans="6:9" x14ac:dyDescent="0.3">
      <c r="F2950" s="26"/>
      <c r="G2950" s="26"/>
      <c r="H2950" s="26"/>
      <c r="I2950" s="26"/>
    </row>
    <row r="2951" spans="6:9" x14ac:dyDescent="0.3">
      <c r="F2951" s="26"/>
      <c r="G2951" s="26"/>
      <c r="H2951" s="26"/>
      <c r="I2951" s="26"/>
    </row>
    <row r="2952" spans="6:9" x14ac:dyDescent="0.3">
      <c r="F2952" s="26"/>
      <c r="G2952" s="26"/>
      <c r="H2952" s="26"/>
      <c r="I2952" s="26"/>
    </row>
    <row r="2953" spans="6:9" x14ac:dyDescent="0.3">
      <c r="F2953" s="26"/>
      <c r="G2953" s="26"/>
      <c r="H2953" s="26"/>
      <c r="I2953" s="26"/>
    </row>
    <row r="2954" spans="6:9" x14ac:dyDescent="0.3">
      <c r="F2954" s="26"/>
      <c r="G2954" s="26"/>
      <c r="H2954" s="26"/>
      <c r="I2954" s="26"/>
    </row>
    <row r="2955" spans="6:9" x14ac:dyDescent="0.3">
      <c r="F2955" s="26"/>
      <c r="G2955" s="26"/>
      <c r="H2955" s="26"/>
      <c r="I2955" s="26"/>
    </row>
    <row r="2956" spans="6:9" x14ac:dyDescent="0.3">
      <c r="F2956" s="26"/>
      <c r="G2956" s="26"/>
      <c r="H2956" s="26"/>
      <c r="I2956" s="26"/>
    </row>
    <row r="2957" spans="6:9" x14ac:dyDescent="0.3">
      <c r="F2957" s="26"/>
      <c r="G2957" s="26"/>
      <c r="H2957" s="26"/>
      <c r="I2957" s="26"/>
    </row>
    <row r="2958" spans="6:9" x14ac:dyDescent="0.3">
      <c r="F2958" s="26"/>
      <c r="G2958" s="26"/>
      <c r="H2958" s="26"/>
      <c r="I2958" s="26"/>
    </row>
    <row r="2959" spans="6:9" x14ac:dyDescent="0.3">
      <c r="F2959" s="26"/>
      <c r="G2959" s="26"/>
      <c r="H2959" s="26"/>
      <c r="I2959" s="26"/>
    </row>
    <row r="2960" spans="6:9" x14ac:dyDescent="0.3">
      <c r="F2960" s="26"/>
      <c r="G2960" s="26"/>
      <c r="H2960" s="26"/>
      <c r="I2960" s="26"/>
    </row>
    <row r="2961" spans="6:9" x14ac:dyDescent="0.3">
      <c r="F2961" s="26"/>
      <c r="G2961" s="26"/>
      <c r="H2961" s="26"/>
      <c r="I2961" s="26"/>
    </row>
    <row r="2962" spans="6:9" x14ac:dyDescent="0.3">
      <c r="F2962" s="26"/>
      <c r="G2962" s="26"/>
      <c r="H2962" s="26"/>
      <c r="I2962" s="26"/>
    </row>
    <row r="2963" spans="6:9" x14ac:dyDescent="0.3">
      <c r="F2963" s="26"/>
      <c r="G2963" s="26"/>
      <c r="H2963" s="26"/>
      <c r="I2963" s="26"/>
    </row>
    <row r="2964" spans="6:9" x14ac:dyDescent="0.3">
      <c r="F2964" s="26"/>
      <c r="G2964" s="26"/>
      <c r="H2964" s="26"/>
      <c r="I2964" s="26"/>
    </row>
    <row r="2965" spans="6:9" x14ac:dyDescent="0.3">
      <c r="F2965" s="26"/>
      <c r="G2965" s="26"/>
      <c r="H2965" s="26"/>
      <c r="I2965" s="26"/>
    </row>
    <row r="2966" spans="6:9" x14ac:dyDescent="0.3">
      <c r="F2966" s="26"/>
      <c r="G2966" s="26"/>
      <c r="H2966" s="26"/>
      <c r="I2966" s="26"/>
    </row>
    <row r="2967" spans="6:9" x14ac:dyDescent="0.3">
      <c r="F2967" s="26"/>
      <c r="G2967" s="26"/>
      <c r="H2967" s="26"/>
      <c r="I2967" s="26"/>
    </row>
    <row r="2968" spans="6:9" x14ac:dyDescent="0.3">
      <c r="F2968" s="26"/>
      <c r="G2968" s="26"/>
      <c r="H2968" s="26"/>
      <c r="I2968" s="26"/>
    </row>
    <row r="2969" spans="6:9" x14ac:dyDescent="0.3">
      <c r="F2969" s="26"/>
      <c r="G2969" s="26"/>
      <c r="H2969" s="26"/>
      <c r="I2969" s="26"/>
    </row>
    <row r="2970" spans="6:9" x14ac:dyDescent="0.3">
      <c r="F2970" s="26"/>
      <c r="G2970" s="26"/>
      <c r="H2970" s="26"/>
      <c r="I2970" s="26"/>
    </row>
    <row r="2971" spans="6:9" x14ac:dyDescent="0.3">
      <c r="F2971" s="26"/>
      <c r="G2971" s="26"/>
      <c r="H2971" s="26"/>
      <c r="I2971" s="26"/>
    </row>
    <row r="2972" spans="6:9" x14ac:dyDescent="0.3">
      <c r="F2972" s="26"/>
      <c r="G2972" s="26"/>
      <c r="H2972" s="26"/>
      <c r="I2972" s="26"/>
    </row>
    <row r="2973" spans="6:9" x14ac:dyDescent="0.3">
      <c r="F2973" s="26"/>
      <c r="G2973" s="26"/>
      <c r="H2973" s="26"/>
      <c r="I2973" s="26"/>
    </row>
    <row r="2974" spans="6:9" x14ac:dyDescent="0.3">
      <c r="F2974" s="26"/>
      <c r="G2974" s="26"/>
      <c r="H2974" s="26"/>
      <c r="I2974" s="26"/>
    </row>
    <row r="2975" spans="6:9" x14ac:dyDescent="0.3">
      <c r="F2975" s="26"/>
      <c r="G2975" s="26"/>
      <c r="H2975" s="26"/>
      <c r="I2975" s="26"/>
    </row>
    <row r="2976" spans="6:9" x14ac:dyDescent="0.3">
      <c r="F2976" s="26"/>
      <c r="G2976" s="26"/>
      <c r="H2976" s="26"/>
      <c r="I2976" s="26"/>
    </row>
    <row r="2977" spans="6:9" x14ac:dyDescent="0.3">
      <c r="F2977" s="26"/>
      <c r="G2977" s="26"/>
      <c r="H2977" s="26"/>
      <c r="I2977" s="26"/>
    </row>
    <row r="2978" spans="6:9" x14ac:dyDescent="0.3">
      <c r="F2978" s="26"/>
      <c r="G2978" s="26"/>
      <c r="H2978" s="26"/>
      <c r="I2978" s="26"/>
    </row>
    <row r="2979" spans="6:9" x14ac:dyDescent="0.3">
      <c r="F2979" s="26"/>
      <c r="G2979" s="26"/>
      <c r="H2979" s="26"/>
      <c r="I2979" s="26"/>
    </row>
    <row r="2980" spans="6:9" x14ac:dyDescent="0.3">
      <c r="F2980" s="26"/>
      <c r="G2980" s="26"/>
      <c r="H2980" s="26"/>
      <c r="I2980" s="26"/>
    </row>
    <row r="2981" spans="6:9" x14ac:dyDescent="0.3">
      <c r="F2981" s="26"/>
      <c r="G2981" s="26"/>
      <c r="H2981" s="26"/>
      <c r="I2981" s="26"/>
    </row>
    <row r="2982" spans="6:9" x14ac:dyDescent="0.3">
      <c r="F2982" s="26"/>
      <c r="G2982" s="26"/>
      <c r="H2982" s="26"/>
      <c r="I2982" s="26"/>
    </row>
    <row r="2983" spans="6:9" x14ac:dyDescent="0.3">
      <c r="F2983" s="26"/>
      <c r="G2983" s="26"/>
      <c r="H2983" s="26"/>
      <c r="I2983" s="26"/>
    </row>
    <row r="2984" spans="6:9" x14ac:dyDescent="0.3">
      <c r="F2984" s="26"/>
      <c r="G2984" s="26"/>
      <c r="H2984" s="26"/>
      <c r="I2984" s="26"/>
    </row>
    <row r="2985" spans="6:9" x14ac:dyDescent="0.3">
      <c r="F2985" s="26"/>
      <c r="G2985" s="26"/>
      <c r="H2985" s="26"/>
      <c r="I2985" s="26"/>
    </row>
    <row r="2986" spans="6:9" x14ac:dyDescent="0.3">
      <c r="F2986" s="26"/>
      <c r="G2986" s="26"/>
      <c r="H2986" s="26"/>
      <c r="I2986" s="26"/>
    </row>
    <row r="2987" spans="6:9" x14ac:dyDescent="0.3">
      <c r="F2987" s="26"/>
      <c r="G2987" s="26"/>
      <c r="H2987" s="26"/>
      <c r="I2987" s="26"/>
    </row>
    <row r="2988" spans="6:9" x14ac:dyDescent="0.3">
      <c r="F2988" s="26"/>
      <c r="G2988" s="26"/>
      <c r="H2988" s="26"/>
      <c r="I2988" s="26"/>
    </row>
    <row r="2989" spans="6:9" x14ac:dyDescent="0.3">
      <c r="F2989" s="26"/>
      <c r="G2989" s="26"/>
      <c r="H2989" s="26"/>
      <c r="I2989" s="26"/>
    </row>
    <row r="2990" spans="6:9" x14ac:dyDescent="0.3">
      <c r="F2990" s="26"/>
      <c r="G2990" s="26"/>
      <c r="H2990" s="26"/>
      <c r="I2990" s="26"/>
    </row>
    <row r="2991" spans="6:9" x14ac:dyDescent="0.3">
      <c r="F2991" s="26"/>
      <c r="G2991" s="26"/>
      <c r="H2991" s="26"/>
      <c r="I2991" s="26"/>
    </row>
    <row r="2992" spans="6:9" x14ac:dyDescent="0.3">
      <c r="F2992" s="26"/>
      <c r="G2992" s="26"/>
      <c r="H2992" s="26"/>
      <c r="I2992" s="26"/>
    </row>
    <row r="2993" spans="6:9" x14ac:dyDescent="0.3">
      <c r="F2993" s="26"/>
      <c r="G2993" s="26"/>
      <c r="H2993" s="26"/>
      <c r="I2993" s="26"/>
    </row>
    <row r="2994" spans="6:9" x14ac:dyDescent="0.3">
      <c r="F2994" s="26"/>
      <c r="G2994" s="26"/>
      <c r="H2994" s="26"/>
      <c r="I2994" s="26"/>
    </row>
    <row r="2995" spans="6:9" x14ac:dyDescent="0.3">
      <c r="F2995" s="26"/>
      <c r="G2995" s="26"/>
      <c r="H2995" s="26"/>
      <c r="I2995" s="26"/>
    </row>
    <row r="2996" spans="6:9" x14ac:dyDescent="0.3">
      <c r="F2996" s="26"/>
      <c r="G2996" s="26"/>
      <c r="H2996" s="26"/>
      <c r="I2996" s="26"/>
    </row>
    <row r="2997" spans="6:9" x14ac:dyDescent="0.3">
      <c r="F2997" s="26"/>
      <c r="G2997" s="26"/>
      <c r="H2997" s="26"/>
      <c r="I2997" s="26"/>
    </row>
    <row r="2998" spans="6:9" x14ac:dyDescent="0.3">
      <c r="F2998" s="26"/>
      <c r="G2998" s="26"/>
      <c r="H2998" s="26"/>
      <c r="I2998" s="26"/>
    </row>
    <row r="2999" spans="6:9" x14ac:dyDescent="0.3">
      <c r="F2999" s="26"/>
      <c r="G2999" s="26"/>
      <c r="H2999" s="26"/>
      <c r="I2999" s="26"/>
    </row>
    <row r="3000" spans="6:9" x14ac:dyDescent="0.3">
      <c r="F3000" s="26"/>
      <c r="G3000" s="26"/>
      <c r="H3000" s="26"/>
      <c r="I3000" s="26"/>
    </row>
    <row r="3001" spans="6:9" x14ac:dyDescent="0.3">
      <c r="F3001" s="26"/>
      <c r="G3001" s="26"/>
      <c r="H3001" s="26"/>
      <c r="I3001" s="26"/>
    </row>
    <row r="3002" spans="6:9" x14ac:dyDescent="0.3">
      <c r="F3002" s="26"/>
      <c r="G3002" s="26"/>
      <c r="H3002" s="26"/>
      <c r="I3002" s="26"/>
    </row>
    <row r="3003" spans="6:9" x14ac:dyDescent="0.3">
      <c r="F3003" s="26"/>
      <c r="G3003" s="26"/>
      <c r="H3003" s="26"/>
      <c r="I3003" s="26"/>
    </row>
    <row r="3004" spans="6:9" x14ac:dyDescent="0.3">
      <c r="F3004" s="26"/>
      <c r="G3004" s="26"/>
      <c r="H3004" s="26"/>
      <c r="I3004" s="26"/>
    </row>
    <row r="3005" spans="6:9" x14ac:dyDescent="0.3">
      <c r="F3005" s="26"/>
      <c r="G3005" s="26"/>
      <c r="H3005" s="26"/>
      <c r="I3005" s="26"/>
    </row>
    <row r="3006" spans="6:9" x14ac:dyDescent="0.3">
      <c r="F3006" s="26"/>
      <c r="G3006" s="26"/>
      <c r="H3006" s="26"/>
      <c r="I3006" s="26"/>
    </row>
    <row r="3007" spans="6:9" x14ac:dyDescent="0.3">
      <c r="F3007" s="26"/>
      <c r="G3007" s="26"/>
      <c r="H3007" s="26"/>
      <c r="I3007" s="26"/>
    </row>
    <row r="3008" spans="6:9" x14ac:dyDescent="0.3">
      <c r="F3008" s="26"/>
      <c r="G3008" s="26"/>
      <c r="H3008" s="26"/>
      <c r="I3008" s="26"/>
    </row>
    <row r="3009" spans="6:9" x14ac:dyDescent="0.3">
      <c r="F3009" s="26"/>
      <c r="G3009" s="26"/>
      <c r="H3009" s="26"/>
      <c r="I3009" s="26"/>
    </row>
    <row r="3010" spans="6:9" x14ac:dyDescent="0.3">
      <c r="F3010" s="26"/>
      <c r="G3010" s="26"/>
      <c r="H3010" s="26"/>
      <c r="I3010" s="26"/>
    </row>
    <row r="3011" spans="6:9" x14ac:dyDescent="0.3">
      <c r="F3011" s="26"/>
      <c r="G3011" s="26"/>
      <c r="H3011" s="26"/>
      <c r="I3011" s="26"/>
    </row>
    <row r="3012" spans="6:9" x14ac:dyDescent="0.3">
      <c r="F3012" s="26"/>
      <c r="G3012" s="26"/>
      <c r="H3012" s="26"/>
      <c r="I3012" s="26"/>
    </row>
    <row r="3013" spans="6:9" x14ac:dyDescent="0.3">
      <c r="F3013" s="26"/>
      <c r="G3013" s="26"/>
      <c r="H3013" s="26"/>
      <c r="I3013" s="26"/>
    </row>
    <row r="3014" spans="6:9" x14ac:dyDescent="0.3">
      <c r="F3014" s="26"/>
      <c r="G3014" s="26"/>
      <c r="H3014" s="26"/>
      <c r="I3014" s="26"/>
    </row>
    <row r="3015" spans="6:9" x14ac:dyDescent="0.3">
      <c r="F3015" s="26"/>
      <c r="G3015" s="26"/>
      <c r="H3015" s="26"/>
      <c r="I3015" s="26"/>
    </row>
    <row r="3016" spans="6:9" x14ac:dyDescent="0.3">
      <c r="F3016" s="26"/>
      <c r="G3016" s="26"/>
      <c r="H3016" s="26"/>
      <c r="I3016" s="26"/>
    </row>
    <row r="3017" spans="6:9" x14ac:dyDescent="0.3">
      <c r="F3017" s="26"/>
      <c r="G3017" s="26"/>
      <c r="H3017" s="26"/>
      <c r="I3017" s="26"/>
    </row>
    <row r="3018" spans="6:9" x14ac:dyDescent="0.3">
      <c r="F3018" s="26"/>
      <c r="G3018" s="26"/>
      <c r="H3018" s="26"/>
      <c r="I3018" s="26"/>
    </row>
    <row r="3019" spans="6:9" x14ac:dyDescent="0.3">
      <c r="F3019" s="26"/>
      <c r="G3019" s="26"/>
      <c r="H3019" s="26"/>
      <c r="I3019" s="26"/>
    </row>
    <row r="3020" spans="6:9" x14ac:dyDescent="0.3">
      <c r="F3020" s="26"/>
      <c r="G3020" s="26"/>
      <c r="H3020" s="26"/>
      <c r="I3020" s="26"/>
    </row>
    <row r="3021" spans="6:9" x14ac:dyDescent="0.3">
      <c r="F3021" s="26"/>
      <c r="G3021" s="26"/>
      <c r="H3021" s="26"/>
      <c r="I3021" s="26"/>
    </row>
    <row r="3022" spans="6:9" x14ac:dyDescent="0.3">
      <c r="F3022" s="26"/>
      <c r="G3022" s="26"/>
      <c r="H3022" s="26"/>
      <c r="I3022" s="26"/>
    </row>
    <row r="3023" spans="6:9" x14ac:dyDescent="0.3">
      <c r="F3023" s="26"/>
      <c r="G3023" s="26"/>
      <c r="H3023" s="26"/>
      <c r="I3023" s="26"/>
    </row>
    <row r="3024" spans="6:9" x14ac:dyDescent="0.3">
      <c r="F3024" s="26"/>
      <c r="G3024" s="26"/>
      <c r="H3024" s="26"/>
      <c r="I3024" s="26"/>
    </row>
    <row r="3025" spans="6:9" x14ac:dyDescent="0.3">
      <c r="F3025" s="26"/>
      <c r="G3025" s="26"/>
      <c r="H3025" s="26"/>
      <c r="I3025" s="26"/>
    </row>
    <row r="3026" spans="6:9" x14ac:dyDescent="0.3">
      <c r="F3026" s="26"/>
      <c r="G3026" s="26"/>
      <c r="H3026" s="26"/>
      <c r="I3026" s="26"/>
    </row>
    <row r="3027" spans="6:9" x14ac:dyDescent="0.3">
      <c r="F3027" s="26"/>
      <c r="G3027" s="26"/>
      <c r="H3027" s="26"/>
      <c r="I3027" s="26"/>
    </row>
    <row r="3028" spans="6:9" x14ac:dyDescent="0.3">
      <c r="F3028" s="26"/>
      <c r="G3028" s="26"/>
      <c r="H3028" s="26"/>
      <c r="I3028" s="26"/>
    </row>
    <row r="3029" spans="6:9" x14ac:dyDescent="0.3">
      <c r="F3029" s="26"/>
      <c r="G3029" s="26"/>
      <c r="H3029" s="26"/>
      <c r="I3029" s="26"/>
    </row>
    <row r="3030" spans="6:9" x14ac:dyDescent="0.3">
      <c r="F3030" s="26"/>
      <c r="G3030" s="26"/>
      <c r="H3030" s="26"/>
      <c r="I3030" s="26"/>
    </row>
    <row r="3031" spans="6:9" x14ac:dyDescent="0.3">
      <c r="F3031" s="26"/>
      <c r="G3031" s="26"/>
      <c r="H3031" s="26"/>
      <c r="I3031" s="26"/>
    </row>
    <row r="3032" spans="6:9" x14ac:dyDescent="0.3">
      <c r="F3032" s="26"/>
      <c r="G3032" s="26"/>
      <c r="H3032" s="26"/>
      <c r="I3032" s="26"/>
    </row>
    <row r="3033" spans="6:9" x14ac:dyDescent="0.3">
      <c r="F3033" s="26"/>
      <c r="G3033" s="26"/>
      <c r="H3033" s="26"/>
      <c r="I3033" s="26"/>
    </row>
    <row r="3034" spans="6:9" x14ac:dyDescent="0.3">
      <c r="F3034" s="26"/>
      <c r="G3034" s="26"/>
      <c r="H3034" s="26"/>
      <c r="I3034" s="26"/>
    </row>
    <row r="3035" spans="6:9" x14ac:dyDescent="0.3">
      <c r="F3035" s="26"/>
      <c r="G3035" s="26"/>
      <c r="H3035" s="26"/>
      <c r="I3035" s="26"/>
    </row>
    <row r="3036" spans="6:9" x14ac:dyDescent="0.3">
      <c r="F3036" s="26"/>
      <c r="G3036" s="26"/>
      <c r="H3036" s="26"/>
      <c r="I3036" s="26"/>
    </row>
    <row r="3037" spans="6:9" x14ac:dyDescent="0.3">
      <c r="F3037" s="26"/>
      <c r="G3037" s="26"/>
      <c r="H3037" s="26"/>
      <c r="I3037" s="26"/>
    </row>
    <row r="3038" spans="6:9" x14ac:dyDescent="0.3">
      <c r="F3038" s="26"/>
      <c r="G3038" s="26"/>
      <c r="H3038" s="26"/>
      <c r="I3038" s="26"/>
    </row>
    <row r="3039" spans="6:9" x14ac:dyDescent="0.3">
      <c r="F3039" s="26"/>
      <c r="G3039" s="26"/>
      <c r="H3039" s="26"/>
      <c r="I3039" s="26"/>
    </row>
    <row r="3040" spans="6:9" x14ac:dyDescent="0.3">
      <c r="F3040" s="26"/>
      <c r="G3040" s="26"/>
      <c r="H3040" s="26"/>
      <c r="I3040" s="26"/>
    </row>
    <row r="3041" spans="6:9" x14ac:dyDescent="0.3">
      <c r="F3041" s="26"/>
      <c r="G3041" s="26"/>
      <c r="H3041" s="26"/>
      <c r="I3041" s="26"/>
    </row>
    <row r="3042" spans="6:9" x14ac:dyDescent="0.3">
      <c r="F3042" s="26"/>
      <c r="G3042" s="26"/>
      <c r="H3042" s="26"/>
      <c r="I3042" s="26"/>
    </row>
    <row r="3043" spans="6:9" x14ac:dyDescent="0.3">
      <c r="F3043" s="26"/>
      <c r="G3043" s="26"/>
      <c r="H3043" s="26"/>
      <c r="I3043" s="26"/>
    </row>
    <row r="3044" spans="6:9" x14ac:dyDescent="0.3">
      <c r="F3044" s="26"/>
      <c r="G3044" s="26"/>
      <c r="H3044" s="26"/>
      <c r="I3044" s="26"/>
    </row>
    <row r="3045" spans="6:9" x14ac:dyDescent="0.3">
      <c r="F3045" s="26"/>
      <c r="G3045" s="26"/>
      <c r="H3045" s="26"/>
      <c r="I3045" s="26"/>
    </row>
    <row r="3046" spans="6:9" x14ac:dyDescent="0.3">
      <c r="F3046" s="26"/>
      <c r="G3046" s="26"/>
      <c r="H3046" s="26"/>
      <c r="I3046" s="26"/>
    </row>
    <row r="3047" spans="6:9" x14ac:dyDescent="0.3">
      <c r="F3047" s="26"/>
      <c r="G3047" s="26"/>
      <c r="H3047" s="26"/>
      <c r="I3047" s="26"/>
    </row>
    <row r="3048" spans="6:9" x14ac:dyDescent="0.3">
      <c r="F3048" s="26"/>
      <c r="G3048" s="26"/>
      <c r="H3048" s="26"/>
      <c r="I3048" s="26"/>
    </row>
    <row r="3049" spans="6:9" x14ac:dyDescent="0.3">
      <c r="F3049" s="26"/>
      <c r="G3049" s="26"/>
      <c r="H3049" s="26"/>
      <c r="I3049" s="26"/>
    </row>
    <row r="3050" spans="6:9" x14ac:dyDescent="0.3">
      <c r="F3050" s="26"/>
      <c r="G3050" s="26"/>
      <c r="H3050" s="26"/>
      <c r="I3050" s="26"/>
    </row>
    <row r="3051" spans="6:9" x14ac:dyDescent="0.3">
      <c r="F3051" s="26"/>
      <c r="G3051" s="26"/>
      <c r="H3051" s="26"/>
      <c r="I3051" s="26"/>
    </row>
    <row r="3052" spans="6:9" x14ac:dyDescent="0.3">
      <c r="F3052" s="26"/>
      <c r="G3052" s="26"/>
      <c r="H3052" s="26"/>
      <c r="I3052" s="26"/>
    </row>
    <row r="3053" spans="6:9" x14ac:dyDescent="0.3">
      <c r="F3053" s="26"/>
      <c r="G3053" s="26"/>
      <c r="H3053" s="26"/>
      <c r="I3053" s="26"/>
    </row>
    <row r="3054" spans="6:9" x14ac:dyDescent="0.3">
      <c r="F3054" s="26"/>
      <c r="G3054" s="26"/>
      <c r="H3054" s="26"/>
      <c r="I3054" s="26"/>
    </row>
    <row r="3055" spans="6:9" x14ac:dyDescent="0.3">
      <c r="F3055" s="26"/>
      <c r="G3055" s="26"/>
      <c r="H3055" s="26"/>
      <c r="I3055" s="26"/>
    </row>
    <row r="3056" spans="6:9" x14ac:dyDescent="0.3">
      <c r="F3056" s="26"/>
      <c r="G3056" s="26"/>
      <c r="H3056" s="26"/>
      <c r="I3056" s="26"/>
    </row>
    <row r="3057" spans="6:9" x14ac:dyDescent="0.3">
      <c r="F3057" s="26"/>
      <c r="G3057" s="26"/>
      <c r="H3057" s="26"/>
      <c r="I3057" s="26"/>
    </row>
    <row r="3058" spans="6:9" x14ac:dyDescent="0.3">
      <c r="F3058" s="26"/>
      <c r="G3058" s="26"/>
      <c r="H3058" s="26"/>
      <c r="I3058" s="26"/>
    </row>
    <row r="3059" spans="6:9" x14ac:dyDescent="0.3">
      <c r="F3059" s="26"/>
      <c r="G3059" s="26"/>
      <c r="H3059" s="26"/>
      <c r="I3059" s="26"/>
    </row>
    <row r="3060" spans="6:9" x14ac:dyDescent="0.3">
      <c r="F3060" s="26"/>
      <c r="G3060" s="26"/>
      <c r="H3060" s="26"/>
      <c r="I3060" s="26"/>
    </row>
    <row r="3061" spans="6:9" x14ac:dyDescent="0.3">
      <c r="F3061" s="26"/>
      <c r="G3061" s="26"/>
      <c r="H3061" s="26"/>
      <c r="I3061" s="26"/>
    </row>
    <row r="3062" spans="6:9" x14ac:dyDescent="0.3">
      <c r="F3062" s="26"/>
      <c r="G3062" s="26"/>
      <c r="H3062" s="26"/>
      <c r="I3062" s="26"/>
    </row>
    <row r="3063" spans="6:9" x14ac:dyDescent="0.3">
      <c r="F3063" s="26"/>
      <c r="G3063" s="26"/>
      <c r="H3063" s="26"/>
      <c r="I3063" s="26"/>
    </row>
    <row r="3064" spans="6:9" x14ac:dyDescent="0.3">
      <c r="F3064" s="26"/>
      <c r="G3064" s="26"/>
      <c r="H3064" s="26"/>
      <c r="I3064" s="26"/>
    </row>
    <row r="3065" spans="6:9" x14ac:dyDescent="0.3">
      <c r="F3065" s="26"/>
      <c r="G3065" s="26"/>
      <c r="H3065" s="26"/>
      <c r="I3065" s="26"/>
    </row>
    <row r="3066" spans="6:9" x14ac:dyDescent="0.3">
      <c r="F3066" s="26"/>
      <c r="G3066" s="26"/>
      <c r="H3066" s="26"/>
      <c r="I3066" s="26"/>
    </row>
    <row r="3067" spans="6:9" x14ac:dyDescent="0.3">
      <c r="F3067" s="26"/>
      <c r="G3067" s="26"/>
      <c r="H3067" s="26"/>
      <c r="I3067" s="26"/>
    </row>
    <row r="3068" spans="6:9" x14ac:dyDescent="0.3">
      <c r="F3068" s="26"/>
      <c r="G3068" s="26"/>
      <c r="H3068" s="26"/>
      <c r="I3068" s="26"/>
    </row>
    <row r="3069" spans="6:9" x14ac:dyDescent="0.3">
      <c r="F3069" s="26"/>
      <c r="G3069" s="26"/>
      <c r="H3069" s="26"/>
      <c r="I3069" s="26"/>
    </row>
    <row r="3070" spans="6:9" x14ac:dyDescent="0.3">
      <c r="F3070" s="26"/>
      <c r="G3070" s="26"/>
      <c r="H3070" s="26"/>
      <c r="I3070" s="26"/>
    </row>
    <row r="3071" spans="6:9" x14ac:dyDescent="0.3">
      <c r="F3071" s="26"/>
      <c r="G3071" s="26"/>
      <c r="H3071" s="26"/>
      <c r="I3071" s="26"/>
    </row>
    <row r="3072" spans="6:9" x14ac:dyDescent="0.3">
      <c r="F3072" s="26"/>
      <c r="G3072" s="26"/>
      <c r="H3072" s="26"/>
      <c r="I3072" s="26"/>
    </row>
    <row r="3073" spans="6:9" x14ac:dyDescent="0.3">
      <c r="F3073" s="26"/>
      <c r="G3073" s="26"/>
      <c r="H3073" s="26"/>
      <c r="I3073" s="26"/>
    </row>
    <row r="3074" spans="6:9" x14ac:dyDescent="0.3">
      <c r="F3074" s="26"/>
      <c r="G3074" s="26"/>
      <c r="H3074" s="26"/>
      <c r="I3074" s="26"/>
    </row>
    <row r="3075" spans="6:9" x14ac:dyDescent="0.3">
      <c r="F3075" s="26"/>
      <c r="G3075" s="26"/>
      <c r="H3075" s="26"/>
      <c r="I3075" s="26"/>
    </row>
    <row r="3076" spans="6:9" x14ac:dyDescent="0.3">
      <c r="F3076" s="26"/>
      <c r="G3076" s="26"/>
      <c r="H3076" s="26"/>
      <c r="I3076" s="26"/>
    </row>
    <row r="3077" spans="6:9" x14ac:dyDescent="0.3">
      <c r="F3077" s="26"/>
      <c r="G3077" s="26"/>
      <c r="H3077" s="26"/>
      <c r="I3077" s="26"/>
    </row>
    <row r="3078" spans="6:9" x14ac:dyDescent="0.3">
      <c r="F3078" s="26"/>
      <c r="G3078" s="26"/>
      <c r="H3078" s="26"/>
      <c r="I3078" s="26"/>
    </row>
    <row r="3079" spans="6:9" x14ac:dyDescent="0.3">
      <c r="F3079" s="26"/>
      <c r="G3079" s="26"/>
      <c r="H3079" s="26"/>
      <c r="I3079" s="26"/>
    </row>
    <row r="3080" spans="6:9" x14ac:dyDescent="0.3">
      <c r="F3080" s="26"/>
      <c r="G3080" s="26"/>
      <c r="H3080" s="26"/>
      <c r="I3080" s="26"/>
    </row>
    <row r="3081" spans="6:9" x14ac:dyDescent="0.3">
      <c r="F3081" s="26"/>
      <c r="G3081" s="26"/>
      <c r="H3081" s="26"/>
      <c r="I3081" s="26"/>
    </row>
    <row r="3082" spans="6:9" x14ac:dyDescent="0.3">
      <c r="F3082" s="26"/>
      <c r="G3082" s="26"/>
      <c r="H3082" s="26"/>
      <c r="I3082" s="26"/>
    </row>
    <row r="3083" spans="6:9" x14ac:dyDescent="0.3">
      <c r="F3083" s="26"/>
      <c r="G3083" s="26"/>
      <c r="H3083" s="26"/>
      <c r="I3083" s="26"/>
    </row>
    <row r="3084" spans="6:9" x14ac:dyDescent="0.3">
      <c r="F3084" s="26"/>
      <c r="G3084" s="26"/>
      <c r="H3084" s="26"/>
      <c r="I3084" s="26"/>
    </row>
    <row r="3085" spans="6:9" x14ac:dyDescent="0.3">
      <c r="F3085" s="26"/>
      <c r="G3085" s="26"/>
      <c r="H3085" s="26"/>
      <c r="I3085" s="26"/>
    </row>
    <row r="3086" spans="6:9" x14ac:dyDescent="0.3">
      <c r="F3086" s="26"/>
      <c r="G3086" s="26"/>
      <c r="H3086" s="26"/>
      <c r="I3086" s="26"/>
    </row>
    <row r="3087" spans="6:9" x14ac:dyDescent="0.3">
      <c r="F3087" s="26"/>
      <c r="G3087" s="26"/>
      <c r="H3087" s="26"/>
      <c r="I3087" s="26"/>
    </row>
    <row r="3088" spans="6:9" x14ac:dyDescent="0.3">
      <c r="F3088" s="26"/>
      <c r="G3088" s="26"/>
      <c r="H3088" s="26"/>
      <c r="I3088" s="26"/>
    </row>
    <row r="3089" spans="6:9" x14ac:dyDescent="0.3">
      <c r="F3089" s="26"/>
      <c r="G3089" s="26"/>
      <c r="H3089" s="26"/>
      <c r="I3089" s="26"/>
    </row>
    <row r="3090" spans="6:9" x14ac:dyDescent="0.3">
      <c r="F3090" s="26"/>
      <c r="G3090" s="26"/>
      <c r="H3090" s="26"/>
      <c r="I3090" s="26"/>
    </row>
    <row r="3091" spans="6:9" x14ac:dyDescent="0.3">
      <c r="F3091" s="26"/>
      <c r="G3091" s="26"/>
      <c r="H3091" s="26"/>
      <c r="I3091" s="26"/>
    </row>
    <row r="3092" spans="6:9" x14ac:dyDescent="0.3">
      <c r="F3092" s="26"/>
      <c r="G3092" s="26"/>
      <c r="H3092" s="26"/>
      <c r="I3092" s="26"/>
    </row>
    <row r="3093" spans="6:9" x14ac:dyDescent="0.3">
      <c r="F3093" s="26"/>
      <c r="G3093" s="26"/>
      <c r="H3093" s="26"/>
      <c r="I3093" s="26"/>
    </row>
    <row r="3094" spans="6:9" x14ac:dyDescent="0.3">
      <c r="F3094" s="26"/>
      <c r="G3094" s="26"/>
      <c r="H3094" s="26"/>
      <c r="I3094" s="26"/>
    </row>
    <row r="3095" spans="6:9" x14ac:dyDescent="0.3">
      <c r="F3095" s="26"/>
      <c r="G3095" s="26"/>
      <c r="H3095" s="26"/>
      <c r="I3095" s="26"/>
    </row>
    <row r="3096" spans="6:9" x14ac:dyDescent="0.3">
      <c r="F3096" s="26"/>
      <c r="G3096" s="26"/>
      <c r="H3096" s="26"/>
      <c r="I3096" s="26"/>
    </row>
    <row r="3097" spans="6:9" x14ac:dyDescent="0.3">
      <c r="F3097" s="26"/>
      <c r="G3097" s="26"/>
      <c r="H3097" s="26"/>
      <c r="I3097" s="26"/>
    </row>
    <row r="3098" spans="6:9" x14ac:dyDescent="0.3">
      <c r="F3098" s="26"/>
      <c r="G3098" s="26"/>
      <c r="H3098" s="26"/>
      <c r="I3098" s="26"/>
    </row>
    <row r="3099" spans="6:9" x14ac:dyDescent="0.3">
      <c r="F3099" s="26"/>
      <c r="G3099" s="26"/>
      <c r="H3099" s="26"/>
      <c r="I3099" s="26"/>
    </row>
    <row r="3100" spans="6:9" x14ac:dyDescent="0.3">
      <c r="F3100" s="26"/>
      <c r="G3100" s="26"/>
      <c r="H3100" s="26"/>
      <c r="I3100" s="26"/>
    </row>
    <row r="3101" spans="6:9" x14ac:dyDescent="0.3">
      <c r="F3101" s="26"/>
      <c r="G3101" s="26"/>
      <c r="H3101" s="26"/>
      <c r="I3101" s="26"/>
    </row>
    <row r="3102" spans="6:9" x14ac:dyDescent="0.3">
      <c r="F3102" s="26"/>
      <c r="G3102" s="26"/>
      <c r="H3102" s="26"/>
      <c r="I3102" s="26"/>
    </row>
    <row r="3103" spans="6:9" x14ac:dyDescent="0.3">
      <c r="F3103" s="26"/>
      <c r="G3103" s="26"/>
      <c r="H3103" s="26"/>
      <c r="I3103" s="26"/>
    </row>
    <row r="3104" spans="6:9" x14ac:dyDescent="0.3">
      <c r="F3104" s="26"/>
      <c r="G3104" s="26"/>
      <c r="H3104" s="26"/>
      <c r="I3104" s="26"/>
    </row>
    <row r="3105" spans="6:9" x14ac:dyDescent="0.3">
      <c r="F3105" s="26"/>
      <c r="G3105" s="26"/>
      <c r="H3105" s="26"/>
      <c r="I3105" s="26"/>
    </row>
    <row r="3106" spans="6:9" x14ac:dyDescent="0.3">
      <c r="F3106" s="26"/>
      <c r="G3106" s="26"/>
      <c r="H3106" s="26"/>
      <c r="I3106" s="26"/>
    </row>
    <row r="3107" spans="6:9" x14ac:dyDescent="0.3">
      <c r="F3107" s="26"/>
      <c r="G3107" s="26"/>
      <c r="H3107" s="26"/>
      <c r="I3107" s="26"/>
    </row>
    <row r="3108" spans="6:9" x14ac:dyDescent="0.3">
      <c r="F3108" s="26"/>
      <c r="G3108" s="26"/>
      <c r="H3108" s="26"/>
      <c r="I3108" s="26"/>
    </row>
    <row r="3109" spans="6:9" x14ac:dyDescent="0.3">
      <c r="F3109" s="26"/>
      <c r="G3109" s="26"/>
      <c r="H3109" s="26"/>
      <c r="I3109" s="26"/>
    </row>
    <row r="3110" spans="6:9" x14ac:dyDescent="0.3">
      <c r="F3110" s="26"/>
      <c r="G3110" s="26"/>
      <c r="H3110" s="26"/>
      <c r="I3110" s="26"/>
    </row>
    <row r="3111" spans="6:9" x14ac:dyDescent="0.3">
      <c r="F3111" s="26"/>
      <c r="G3111" s="26"/>
      <c r="H3111" s="26"/>
      <c r="I3111" s="26"/>
    </row>
    <row r="3112" spans="6:9" x14ac:dyDescent="0.3">
      <c r="F3112" s="26"/>
      <c r="G3112" s="26"/>
      <c r="H3112" s="26"/>
      <c r="I3112" s="26"/>
    </row>
    <row r="3113" spans="6:9" x14ac:dyDescent="0.3">
      <c r="F3113" s="26"/>
      <c r="G3113" s="26"/>
      <c r="H3113" s="26"/>
      <c r="I3113" s="26"/>
    </row>
    <row r="3114" spans="6:9" x14ac:dyDescent="0.3">
      <c r="F3114" s="26"/>
      <c r="G3114" s="26"/>
      <c r="H3114" s="26"/>
      <c r="I3114" s="26"/>
    </row>
    <row r="3115" spans="6:9" x14ac:dyDescent="0.3">
      <c r="F3115" s="26"/>
      <c r="G3115" s="26"/>
      <c r="H3115" s="26"/>
      <c r="I3115" s="26"/>
    </row>
    <row r="3116" spans="6:9" x14ac:dyDescent="0.3">
      <c r="F3116" s="26"/>
      <c r="G3116" s="26"/>
      <c r="H3116" s="26"/>
      <c r="I3116" s="26"/>
    </row>
    <row r="3117" spans="6:9" x14ac:dyDescent="0.3">
      <c r="F3117" s="26"/>
      <c r="G3117" s="26"/>
      <c r="H3117" s="26"/>
      <c r="I3117" s="26"/>
    </row>
    <row r="3118" spans="6:9" x14ac:dyDescent="0.3">
      <c r="F3118" s="26"/>
      <c r="G3118" s="26"/>
      <c r="H3118" s="26"/>
      <c r="I3118" s="26"/>
    </row>
    <row r="3119" spans="6:9" x14ac:dyDescent="0.3">
      <c r="F3119" s="26"/>
      <c r="G3119" s="26"/>
      <c r="H3119" s="26"/>
      <c r="I3119" s="26"/>
    </row>
    <row r="3120" spans="6:9" x14ac:dyDescent="0.3">
      <c r="F3120" s="26"/>
      <c r="G3120" s="26"/>
      <c r="H3120" s="26"/>
      <c r="I3120" s="26"/>
    </row>
    <row r="3121" spans="6:9" x14ac:dyDescent="0.3">
      <c r="F3121" s="26"/>
      <c r="G3121" s="26"/>
      <c r="H3121" s="26"/>
      <c r="I3121" s="26"/>
    </row>
    <row r="3122" spans="6:9" x14ac:dyDescent="0.3">
      <c r="F3122" s="26"/>
      <c r="G3122" s="26"/>
      <c r="H3122" s="26"/>
      <c r="I3122" s="26"/>
    </row>
    <row r="3123" spans="6:9" x14ac:dyDescent="0.3">
      <c r="F3123" s="26"/>
      <c r="G3123" s="26"/>
      <c r="H3123" s="26"/>
      <c r="I3123" s="26"/>
    </row>
    <row r="3124" spans="6:9" x14ac:dyDescent="0.3">
      <c r="F3124" s="26"/>
      <c r="G3124" s="26"/>
      <c r="H3124" s="26"/>
      <c r="I3124" s="26"/>
    </row>
    <row r="3125" spans="6:9" x14ac:dyDescent="0.3">
      <c r="F3125" s="26"/>
      <c r="G3125" s="26"/>
      <c r="H3125" s="26"/>
      <c r="I3125" s="26"/>
    </row>
    <row r="3126" spans="6:9" x14ac:dyDescent="0.3">
      <c r="F3126" s="26"/>
      <c r="G3126" s="26"/>
      <c r="H3126" s="26"/>
      <c r="I3126" s="26"/>
    </row>
    <row r="3127" spans="6:9" x14ac:dyDescent="0.3">
      <c r="F3127" s="26"/>
      <c r="G3127" s="26"/>
      <c r="H3127" s="26"/>
      <c r="I3127" s="26"/>
    </row>
    <row r="3128" spans="6:9" x14ac:dyDescent="0.3">
      <c r="F3128" s="26"/>
      <c r="G3128" s="26"/>
      <c r="H3128" s="26"/>
      <c r="I3128" s="26"/>
    </row>
    <row r="3129" spans="6:9" x14ac:dyDescent="0.3">
      <c r="F3129" s="26"/>
      <c r="G3129" s="26"/>
      <c r="H3129" s="26"/>
      <c r="I3129" s="26"/>
    </row>
    <row r="3130" spans="6:9" x14ac:dyDescent="0.3">
      <c r="F3130" s="26"/>
      <c r="G3130" s="26"/>
      <c r="H3130" s="26"/>
      <c r="I3130" s="26"/>
    </row>
    <row r="3131" spans="6:9" x14ac:dyDescent="0.3">
      <c r="F3131" s="26"/>
      <c r="G3131" s="26"/>
      <c r="H3131" s="26"/>
      <c r="I3131" s="26"/>
    </row>
    <row r="3132" spans="6:9" x14ac:dyDescent="0.3">
      <c r="F3132" s="26"/>
      <c r="G3132" s="26"/>
      <c r="H3132" s="26"/>
      <c r="I3132" s="26"/>
    </row>
    <row r="3133" spans="6:9" x14ac:dyDescent="0.3">
      <c r="F3133" s="26"/>
      <c r="G3133" s="26"/>
      <c r="H3133" s="26"/>
      <c r="I3133" s="26"/>
    </row>
    <row r="3134" spans="6:9" x14ac:dyDescent="0.3">
      <c r="F3134" s="26"/>
      <c r="G3134" s="26"/>
      <c r="H3134" s="26"/>
      <c r="I3134" s="26"/>
    </row>
    <row r="3135" spans="6:9" x14ac:dyDescent="0.3">
      <c r="F3135" s="26"/>
      <c r="G3135" s="26"/>
      <c r="H3135" s="26"/>
      <c r="I3135" s="26"/>
    </row>
    <row r="3136" spans="6:9" x14ac:dyDescent="0.3">
      <c r="F3136" s="26"/>
      <c r="G3136" s="26"/>
      <c r="H3136" s="26"/>
      <c r="I3136" s="26"/>
    </row>
    <row r="3137" spans="6:9" x14ac:dyDescent="0.3">
      <c r="F3137" s="26"/>
      <c r="G3137" s="26"/>
      <c r="H3137" s="26"/>
      <c r="I3137" s="26"/>
    </row>
    <row r="3138" spans="6:9" x14ac:dyDescent="0.3">
      <c r="F3138" s="26"/>
      <c r="G3138" s="26"/>
      <c r="H3138" s="26"/>
      <c r="I3138" s="26"/>
    </row>
    <row r="3139" spans="6:9" x14ac:dyDescent="0.3">
      <c r="F3139" s="26"/>
      <c r="G3139" s="26"/>
      <c r="H3139" s="26"/>
      <c r="I3139" s="26"/>
    </row>
    <row r="3140" spans="6:9" x14ac:dyDescent="0.3">
      <c r="F3140" s="26"/>
      <c r="G3140" s="26"/>
      <c r="H3140" s="26"/>
      <c r="I3140" s="26"/>
    </row>
    <row r="3141" spans="6:9" x14ac:dyDescent="0.3">
      <c r="F3141" s="26"/>
      <c r="G3141" s="26"/>
      <c r="H3141" s="26"/>
      <c r="I3141" s="26"/>
    </row>
    <row r="3142" spans="6:9" x14ac:dyDescent="0.3">
      <c r="F3142" s="26"/>
      <c r="G3142" s="26"/>
      <c r="H3142" s="26"/>
      <c r="I3142" s="26"/>
    </row>
    <row r="3143" spans="6:9" x14ac:dyDescent="0.3">
      <c r="F3143" s="26"/>
      <c r="G3143" s="26"/>
      <c r="H3143" s="26"/>
      <c r="I3143" s="26"/>
    </row>
    <row r="3144" spans="6:9" x14ac:dyDescent="0.3">
      <c r="F3144" s="26"/>
      <c r="G3144" s="26"/>
      <c r="H3144" s="26"/>
      <c r="I3144" s="26"/>
    </row>
    <row r="3145" spans="6:9" x14ac:dyDescent="0.3">
      <c r="F3145" s="26"/>
      <c r="G3145" s="26"/>
      <c r="H3145" s="26"/>
      <c r="I3145" s="26"/>
    </row>
    <row r="3146" spans="6:9" x14ac:dyDescent="0.3">
      <c r="F3146" s="26"/>
      <c r="G3146" s="26"/>
      <c r="H3146" s="26"/>
      <c r="I3146" s="26"/>
    </row>
    <row r="3147" spans="6:9" x14ac:dyDescent="0.3">
      <c r="F3147" s="26"/>
      <c r="G3147" s="26"/>
      <c r="H3147" s="26"/>
      <c r="I3147" s="26"/>
    </row>
    <row r="3148" spans="6:9" x14ac:dyDescent="0.3">
      <c r="F3148" s="26"/>
      <c r="G3148" s="26"/>
      <c r="H3148" s="26"/>
      <c r="I3148" s="26"/>
    </row>
    <row r="3149" spans="6:9" x14ac:dyDescent="0.3">
      <c r="F3149" s="26"/>
      <c r="G3149" s="26"/>
      <c r="H3149" s="26"/>
      <c r="I3149" s="26"/>
    </row>
    <row r="3150" spans="6:9" x14ac:dyDescent="0.3">
      <c r="F3150" s="26"/>
      <c r="G3150" s="26"/>
      <c r="H3150" s="26"/>
      <c r="I3150" s="26"/>
    </row>
    <row r="3151" spans="6:9" x14ac:dyDescent="0.3">
      <c r="F3151" s="26"/>
      <c r="G3151" s="26"/>
      <c r="H3151" s="26"/>
      <c r="I3151" s="26"/>
    </row>
    <row r="3152" spans="6:9" x14ac:dyDescent="0.3">
      <c r="F3152" s="26"/>
      <c r="G3152" s="26"/>
      <c r="H3152" s="26"/>
      <c r="I3152" s="26"/>
    </row>
    <row r="3153" spans="6:9" x14ac:dyDescent="0.3">
      <c r="F3153" s="26"/>
      <c r="G3153" s="26"/>
      <c r="H3153" s="26"/>
      <c r="I3153" s="26"/>
    </row>
    <row r="3154" spans="6:9" x14ac:dyDescent="0.3">
      <c r="F3154" s="26"/>
      <c r="G3154" s="26"/>
      <c r="H3154" s="26"/>
      <c r="I3154" s="26"/>
    </row>
    <row r="3155" spans="6:9" x14ac:dyDescent="0.3">
      <c r="F3155" s="26"/>
      <c r="G3155" s="26"/>
      <c r="H3155" s="26"/>
      <c r="I3155" s="26"/>
    </row>
    <row r="3156" spans="6:9" x14ac:dyDescent="0.3">
      <c r="F3156" s="26"/>
      <c r="G3156" s="26"/>
      <c r="H3156" s="26"/>
      <c r="I3156" s="26"/>
    </row>
    <row r="3157" spans="6:9" x14ac:dyDescent="0.3">
      <c r="F3157" s="26"/>
      <c r="G3157" s="26"/>
      <c r="H3157" s="26"/>
      <c r="I3157" s="26"/>
    </row>
    <row r="3158" spans="6:9" x14ac:dyDescent="0.3">
      <c r="F3158" s="26"/>
      <c r="G3158" s="26"/>
      <c r="H3158" s="26"/>
      <c r="I3158" s="26"/>
    </row>
    <row r="3159" spans="6:9" x14ac:dyDescent="0.3">
      <c r="F3159" s="26"/>
      <c r="G3159" s="26"/>
      <c r="H3159" s="26"/>
      <c r="I3159" s="26"/>
    </row>
    <row r="3160" spans="6:9" x14ac:dyDescent="0.3">
      <c r="F3160" s="26"/>
      <c r="G3160" s="26"/>
      <c r="H3160" s="26"/>
      <c r="I3160" s="26"/>
    </row>
    <row r="3161" spans="6:9" x14ac:dyDescent="0.3">
      <c r="F3161" s="26"/>
      <c r="G3161" s="26"/>
      <c r="H3161" s="26"/>
      <c r="I3161" s="26"/>
    </row>
    <row r="3162" spans="6:9" x14ac:dyDescent="0.3">
      <c r="F3162" s="26"/>
      <c r="G3162" s="26"/>
      <c r="H3162" s="26"/>
      <c r="I3162" s="26"/>
    </row>
    <row r="3163" spans="6:9" x14ac:dyDescent="0.3">
      <c r="F3163" s="26"/>
      <c r="G3163" s="26"/>
      <c r="H3163" s="26"/>
      <c r="I3163" s="26"/>
    </row>
    <row r="3164" spans="6:9" x14ac:dyDescent="0.3">
      <c r="F3164" s="26"/>
      <c r="G3164" s="26"/>
      <c r="H3164" s="26"/>
      <c r="I3164" s="26"/>
    </row>
    <row r="3165" spans="6:9" x14ac:dyDescent="0.3">
      <c r="F3165" s="26"/>
      <c r="G3165" s="26"/>
      <c r="H3165" s="26"/>
      <c r="I3165" s="26"/>
    </row>
    <row r="3166" spans="6:9" x14ac:dyDescent="0.3">
      <c r="F3166" s="26"/>
      <c r="G3166" s="26"/>
      <c r="H3166" s="26"/>
      <c r="I3166" s="26"/>
    </row>
    <row r="3167" spans="6:9" x14ac:dyDescent="0.3">
      <c r="F3167" s="26"/>
      <c r="G3167" s="26"/>
      <c r="H3167" s="26"/>
      <c r="I3167" s="26"/>
    </row>
    <row r="3168" spans="6:9" x14ac:dyDescent="0.3">
      <c r="F3168" s="26"/>
      <c r="G3168" s="26"/>
      <c r="H3168" s="26"/>
      <c r="I3168" s="26"/>
    </row>
    <row r="3169" spans="6:9" x14ac:dyDescent="0.3">
      <c r="F3169" s="26"/>
      <c r="G3169" s="26"/>
      <c r="H3169" s="26"/>
      <c r="I3169" s="26"/>
    </row>
    <row r="3170" spans="6:9" x14ac:dyDescent="0.3">
      <c r="F3170" s="26"/>
      <c r="G3170" s="26"/>
      <c r="H3170" s="26"/>
      <c r="I3170" s="26"/>
    </row>
    <row r="3171" spans="6:9" x14ac:dyDescent="0.3">
      <c r="F3171" s="26"/>
      <c r="G3171" s="26"/>
      <c r="H3171" s="26"/>
      <c r="I3171" s="26"/>
    </row>
    <row r="3172" spans="6:9" x14ac:dyDescent="0.3">
      <c r="F3172" s="26"/>
      <c r="G3172" s="26"/>
      <c r="H3172" s="26"/>
      <c r="I3172" s="26"/>
    </row>
    <row r="3173" spans="6:9" x14ac:dyDescent="0.3">
      <c r="F3173" s="26"/>
      <c r="G3173" s="26"/>
      <c r="H3173" s="26"/>
      <c r="I3173" s="26"/>
    </row>
    <row r="3174" spans="6:9" x14ac:dyDescent="0.3">
      <c r="F3174" s="26"/>
      <c r="G3174" s="26"/>
      <c r="H3174" s="26"/>
      <c r="I3174" s="26"/>
    </row>
    <row r="3175" spans="6:9" x14ac:dyDescent="0.3">
      <c r="F3175" s="26"/>
      <c r="G3175" s="26"/>
      <c r="H3175" s="26"/>
      <c r="I3175" s="26"/>
    </row>
    <row r="3176" spans="6:9" x14ac:dyDescent="0.3">
      <c r="F3176" s="26"/>
      <c r="G3176" s="26"/>
      <c r="H3176" s="26"/>
      <c r="I3176" s="26"/>
    </row>
    <row r="3177" spans="6:9" x14ac:dyDescent="0.3">
      <c r="F3177" s="26"/>
      <c r="G3177" s="26"/>
      <c r="H3177" s="26"/>
      <c r="I3177" s="26"/>
    </row>
    <row r="3178" spans="6:9" x14ac:dyDescent="0.3">
      <c r="F3178" s="26"/>
      <c r="G3178" s="26"/>
      <c r="H3178" s="26"/>
      <c r="I3178" s="26"/>
    </row>
    <row r="3179" spans="6:9" x14ac:dyDescent="0.3">
      <c r="F3179" s="26"/>
      <c r="G3179" s="26"/>
      <c r="H3179" s="26"/>
      <c r="I3179" s="26"/>
    </row>
    <row r="3180" spans="6:9" x14ac:dyDescent="0.3">
      <c r="F3180" s="26"/>
      <c r="G3180" s="26"/>
      <c r="H3180" s="26"/>
      <c r="I3180" s="26"/>
    </row>
    <row r="3181" spans="6:9" x14ac:dyDescent="0.3">
      <c r="F3181" s="26"/>
      <c r="G3181" s="26"/>
      <c r="H3181" s="26"/>
      <c r="I3181" s="26"/>
    </row>
    <row r="3182" spans="6:9" x14ac:dyDescent="0.3">
      <c r="F3182" s="26"/>
      <c r="G3182" s="26"/>
      <c r="H3182" s="26"/>
      <c r="I3182" s="26"/>
    </row>
    <row r="3183" spans="6:9" x14ac:dyDescent="0.3">
      <c r="F3183" s="26"/>
      <c r="G3183" s="26"/>
      <c r="H3183" s="26"/>
      <c r="I3183" s="26"/>
    </row>
    <row r="3184" spans="6:9" x14ac:dyDescent="0.3">
      <c r="F3184" s="26"/>
      <c r="G3184" s="26"/>
      <c r="H3184" s="26"/>
      <c r="I3184" s="26"/>
    </row>
    <row r="3185" spans="6:9" x14ac:dyDescent="0.3">
      <c r="F3185" s="26"/>
      <c r="G3185" s="26"/>
      <c r="H3185" s="26"/>
      <c r="I3185" s="26"/>
    </row>
    <row r="3186" spans="6:9" x14ac:dyDescent="0.3">
      <c r="F3186" s="26"/>
      <c r="G3186" s="26"/>
      <c r="H3186" s="26"/>
      <c r="I3186" s="26"/>
    </row>
    <row r="3187" spans="6:9" x14ac:dyDescent="0.3">
      <c r="F3187" s="26"/>
      <c r="G3187" s="26"/>
      <c r="H3187" s="26"/>
      <c r="I3187" s="26"/>
    </row>
    <row r="3188" spans="6:9" x14ac:dyDescent="0.3">
      <c r="F3188" s="26"/>
      <c r="G3188" s="26"/>
      <c r="H3188" s="26"/>
      <c r="I3188" s="26"/>
    </row>
    <row r="3189" spans="6:9" x14ac:dyDescent="0.3">
      <c r="F3189" s="26"/>
      <c r="G3189" s="26"/>
      <c r="H3189" s="26"/>
      <c r="I3189" s="26"/>
    </row>
    <row r="3190" spans="6:9" x14ac:dyDescent="0.3">
      <c r="F3190" s="26"/>
      <c r="G3190" s="26"/>
      <c r="H3190" s="26"/>
      <c r="I3190" s="26"/>
    </row>
    <row r="3191" spans="6:9" x14ac:dyDescent="0.3">
      <c r="F3191" s="26"/>
      <c r="G3191" s="26"/>
      <c r="H3191" s="26"/>
      <c r="I3191" s="26"/>
    </row>
    <row r="3192" spans="6:9" x14ac:dyDescent="0.3">
      <c r="F3192" s="26"/>
      <c r="G3192" s="26"/>
      <c r="H3192" s="26"/>
      <c r="I3192" s="26"/>
    </row>
    <row r="3193" spans="6:9" x14ac:dyDescent="0.3">
      <c r="F3193" s="26"/>
      <c r="G3193" s="26"/>
      <c r="H3193" s="26"/>
      <c r="I3193" s="26"/>
    </row>
    <row r="3194" spans="6:9" x14ac:dyDescent="0.3">
      <c r="F3194" s="26"/>
      <c r="G3194" s="26"/>
      <c r="H3194" s="26"/>
      <c r="I3194" s="26"/>
    </row>
    <row r="3195" spans="6:9" x14ac:dyDescent="0.3">
      <c r="F3195" s="26"/>
      <c r="G3195" s="26"/>
      <c r="H3195" s="26"/>
      <c r="I3195" s="26"/>
    </row>
    <row r="3196" spans="6:9" x14ac:dyDescent="0.3">
      <c r="F3196" s="26"/>
      <c r="G3196" s="26"/>
      <c r="H3196" s="26"/>
      <c r="I3196" s="26"/>
    </row>
    <row r="3197" spans="6:9" x14ac:dyDescent="0.3">
      <c r="F3197" s="26"/>
      <c r="G3197" s="26"/>
      <c r="H3197" s="26"/>
      <c r="I3197" s="26"/>
    </row>
    <row r="3198" spans="6:9" x14ac:dyDescent="0.3">
      <c r="F3198" s="26"/>
      <c r="G3198" s="26"/>
      <c r="H3198" s="26"/>
      <c r="I3198" s="26"/>
    </row>
    <row r="3199" spans="6:9" x14ac:dyDescent="0.3">
      <c r="F3199" s="26"/>
      <c r="G3199" s="26"/>
      <c r="H3199" s="26"/>
      <c r="I3199" s="26"/>
    </row>
    <row r="3200" spans="6:9" x14ac:dyDescent="0.3">
      <c r="F3200" s="26"/>
      <c r="G3200" s="26"/>
      <c r="H3200" s="26"/>
      <c r="I3200" s="26"/>
    </row>
    <row r="3201" spans="6:9" x14ac:dyDescent="0.3">
      <c r="F3201" s="26"/>
      <c r="G3201" s="26"/>
      <c r="H3201" s="26"/>
      <c r="I3201" s="26"/>
    </row>
    <row r="3202" spans="6:9" x14ac:dyDescent="0.3">
      <c r="F3202" s="26"/>
      <c r="G3202" s="26"/>
      <c r="H3202" s="26"/>
      <c r="I3202" s="26"/>
    </row>
    <row r="3203" spans="6:9" x14ac:dyDescent="0.3">
      <c r="F3203" s="26"/>
      <c r="G3203" s="26"/>
      <c r="H3203" s="26"/>
      <c r="I3203" s="26"/>
    </row>
    <row r="3204" spans="6:9" x14ac:dyDescent="0.3">
      <c r="F3204" s="26"/>
      <c r="G3204" s="26"/>
      <c r="H3204" s="26"/>
      <c r="I3204" s="26"/>
    </row>
    <row r="3205" spans="6:9" x14ac:dyDescent="0.3">
      <c r="F3205" s="26"/>
      <c r="G3205" s="26"/>
      <c r="H3205" s="26"/>
      <c r="I3205" s="26"/>
    </row>
    <row r="3206" spans="6:9" x14ac:dyDescent="0.3">
      <c r="F3206" s="26"/>
      <c r="G3206" s="26"/>
      <c r="H3206" s="26"/>
      <c r="I3206" s="26"/>
    </row>
    <row r="3207" spans="6:9" x14ac:dyDescent="0.3">
      <c r="F3207" s="26"/>
      <c r="G3207" s="26"/>
      <c r="H3207" s="26"/>
      <c r="I3207" s="26"/>
    </row>
    <row r="3208" spans="6:9" x14ac:dyDescent="0.3">
      <c r="F3208" s="26"/>
      <c r="G3208" s="26"/>
      <c r="H3208" s="26"/>
      <c r="I3208" s="26"/>
    </row>
    <row r="3209" spans="6:9" x14ac:dyDescent="0.3">
      <c r="F3209" s="26"/>
      <c r="G3209" s="26"/>
      <c r="H3209" s="26"/>
      <c r="I3209" s="26"/>
    </row>
    <row r="3210" spans="6:9" x14ac:dyDescent="0.3">
      <c r="F3210" s="26"/>
      <c r="G3210" s="26"/>
      <c r="H3210" s="26"/>
      <c r="I3210" s="26"/>
    </row>
    <row r="3211" spans="6:9" x14ac:dyDescent="0.3">
      <c r="F3211" s="26"/>
      <c r="G3211" s="26"/>
      <c r="H3211" s="26"/>
      <c r="I3211" s="26"/>
    </row>
    <row r="3212" spans="6:9" x14ac:dyDescent="0.3">
      <c r="F3212" s="26"/>
      <c r="G3212" s="26"/>
      <c r="H3212" s="26"/>
      <c r="I3212" s="26"/>
    </row>
    <row r="3213" spans="6:9" x14ac:dyDescent="0.3">
      <c r="F3213" s="26"/>
      <c r="G3213" s="26"/>
      <c r="H3213" s="26"/>
      <c r="I3213" s="26"/>
    </row>
    <row r="3214" spans="6:9" x14ac:dyDescent="0.3">
      <c r="F3214" s="26"/>
      <c r="G3214" s="26"/>
      <c r="H3214" s="26"/>
      <c r="I3214" s="26"/>
    </row>
    <row r="3215" spans="6:9" x14ac:dyDescent="0.3">
      <c r="F3215" s="26"/>
      <c r="G3215" s="26"/>
      <c r="H3215" s="26"/>
      <c r="I3215" s="26"/>
    </row>
    <row r="3216" spans="6:9" x14ac:dyDescent="0.3">
      <c r="F3216" s="26"/>
      <c r="G3216" s="26"/>
      <c r="H3216" s="26"/>
      <c r="I3216" s="26"/>
    </row>
    <row r="3217" spans="6:9" x14ac:dyDescent="0.3">
      <c r="F3217" s="26"/>
      <c r="G3217" s="26"/>
      <c r="H3217" s="26"/>
      <c r="I3217" s="26"/>
    </row>
    <row r="3218" spans="6:9" x14ac:dyDescent="0.3">
      <c r="F3218" s="26"/>
      <c r="G3218" s="26"/>
      <c r="H3218" s="26"/>
      <c r="I3218" s="26"/>
    </row>
    <row r="3219" spans="6:9" x14ac:dyDescent="0.3">
      <c r="F3219" s="26"/>
      <c r="G3219" s="26"/>
      <c r="H3219" s="26"/>
      <c r="I3219" s="26"/>
    </row>
    <row r="3220" spans="6:9" x14ac:dyDescent="0.3">
      <c r="F3220" s="26"/>
      <c r="G3220" s="26"/>
      <c r="H3220" s="26"/>
      <c r="I3220" s="26"/>
    </row>
    <row r="3221" spans="6:9" x14ac:dyDescent="0.3">
      <c r="F3221" s="26"/>
      <c r="G3221" s="26"/>
      <c r="H3221" s="26"/>
      <c r="I3221" s="26"/>
    </row>
    <row r="3222" spans="6:9" x14ac:dyDescent="0.3">
      <c r="F3222" s="26"/>
      <c r="G3222" s="26"/>
      <c r="H3222" s="26"/>
      <c r="I3222" s="26"/>
    </row>
    <row r="3223" spans="6:9" x14ac:dyDescent="0.3">
      <c r="F3223" s="26"/>
      <c r="G3223" s="26"/>
      <c r="H3223" s="26"/>
      <c r="I3223" s="26"/>
    </row>
    <row r="3224" spans="6:9" x14ac:dyDescent="0.3">
      <c r="F3224" s="26"/>
      <c r="G3224" s="26"/>
      <c r="H3224" s="26"/>
      <c r="I3224" s="26"/>
    </row>
    <row r="3225" spans="6:9" x14ac:dyDescent="0.3">
      <c r="F3225" s="26"/>
      <c r="G3225" s="26"/>
      <c r="H3225" s="26"/>
      <c r="I3225" s="26"/>
    </row>
    <row r="3226" spans="6:9" x14ac:dyDescent="0.3">
      <c r="F3226" s="26"/>
      <c r="G3226" s="26"/>
      <c r="H3226" s="26"/>
      <c r="I3226" s="26"/>
    </row>
    <row r="3227" spans="6:9" x14ac:dyDescent="0.3">
      <c r="F3227" s="26"/>
      <c r="G3227" s="26"/>
      <c r="H3227" s="26"/>
      <c r="I3227" s="26"/>
    </row>
    <row r="3228" spans="6:9" x14ac:dyDescent="0.3">
      <c r="F3228" s="26"/>
      <c r="G3228" s="26"/>
      <c r="H3228" s="26"/>
      <c r="I3228" s="26"/>
    </row>
    <row r="3229" spans="6:9" x14ac:dyDescent="0.3">
      <c r="F3229" s="26"/>
      <c r="G3229" s="26"/>
      <c r="H3229" s="26"/>
      <c r="I3229" s="26"/>
    </row>
    <row r="3230" spans="6:9" x14ac:dyDescent="0.3">
      <c r="F3230" s="26"/>
      <c r="G3230" s="26"/>
      <c r="H3230" s="26"/>
      <c r="I3230" s="26"/>
    </row>
    <row r="3231" spans="6:9" x14ac:dyDescent="0.3">
      <c r="F3231" s="26"/>
      <c r="G3231" s="26"/>
      <c r="H3231" s="26"/>
      <c r="I3231" s="26"/>
    </row>
    <row r="3232" spans="6:9" x14ac:dyDescent="0.3">
      <c r="F3232" s="26"/>
      <c r="G3232" s="26"/>
      <c r="H3232" s="26"/>
      <c r="I3232" s="26"/>
    </row>
    <row r="3233" spans="6:9" x14ac:dyDescent="0.3">
      <c r="F3233" s="26"/>
      <c r="G3233" s="26"/>
      <c r="H3233" s="26"/>
      <c r="I3233" s="26"/>
    </row>
    <row r="3234" spans="6:9" x14ac:dyDescent="0.3">
      <c r="F3234" s="26"/>
      <c r="G3234" s="26"/>
      <c r="H3234" s="26"/>
      <c r="I3234" s="26"/>
    </row>
    <row r="3235" spans="6:9" x14ac:dyDescent="0.3">
      <c r="F3235" s="26"/>
      <c r="G3235" s="26"/>
      <c r="H3235" s="26"/>
      <c r="I3235" s="26"/>
    </row>
    <row r="3236" spans="6:9" x14ac:dyDescent="0.3">
      <c r="F3236" s="26"/>
      <c r="G3236" s="26"/>
      <c r="H3236" s="26"/>
      <c r="I3236" s="26"/>
    </row>
    <row r="3237" spans="6:9" x14ac:dyDescent="0.3">
      <c r="F3237" s="26"/>
      <c r="G3237" s="26"/>
      <c r="H3237" s="26"/>
      <c r="I3237" s="26"/>
    </row>
    <row r="3238" spans="6:9" x14ac:dyDescent="0.3">
      <c r="F3238" s="26"/>
      <c r="G3238" s="26"/>
      <c r="H3238" s="26"/>
      <c r="I3238" s="26"/>
    </row>
    <row r="3239" spans="6:9" x14ac:dyDescent="0.3">
      <c r="F3239" s="26"/>
      <c r="G3239" s="26"/>
      <c r="H3239" s="26"/>
      <c r="I3239" s="26"/>
    </row>
    <row r="3240" spans="6:9" x14ac:dyDescent="0.3">
      <c r="F3240" s="26"/>
      <c r="G3240" s="26"/>
      <c r="H3240" s="26"/>
      <c r="I3240" s="26"/>
    </row>
    <row r="3241" spans="6:9" x14ac:dyDescent="0.3">
      <c r="F3241" s="26"/>
      <c r="G3241" s="26"/>
      <c r="H3241" s="26"/>
      <c r="I3241" s="26"/>
    </row>
    <row r="3242" spans="6:9" x14ac:dyDescent="0.3">
      <c r="F3242" s="26"/>
      <c r="G3242" s="26"/>
      <c r="H3242" s="26"/>
      <c r="I3242" s="26"/>
    </row>
    <row r="3243" spans="6:9" x14ac:dyDescent="0.3">
      <c r="F3243" s="26"/>
      <c r="G3243" s="26"/>
      <c r="H3243" s="26"/>
      <c r="I3243" s="26"/>
    </row>
    <row r="3244" spans="6:9" x14ac:dyDescent="0.3">
      <c r="F3244" s="26"/>
      <c r="G3244" s="26"/>
      <c r="H3244" s="26"/>
      <c r="I3244" s="26"/>
    </row>
    <row r="3245" spans="6:9" x14ac:dyDescent="0.3">
      <c r="F3245" s="26"/>
      <c r="G3245" s="26"/>
      <c r="H3245" s="26"/>
      <c r="I3245" s="26"/>
    </row>
    <row r="3246" spans="6:9" x14ac:dyDescent="0.3">
      <c r="F3246" s="26"/>
      <c r="G3246" s="26"/>
      <c r="H3246" s="26"/>
      <c r="I3246" s="26"/>
    </row>
    <row r="3247" spans="6:9" x14ac:dyDescent="0.3">
      <c r="F3247" s="26"/>
      <c r="G3247" s="26"/>
      <c r="H3247" s="26"/>
      <c r="I3247" s="26"/>
    </row>
    <row r="3248" spans="6:9" x14ac:dyDescent="0.3">
      <c r="F3248" s="26"/>
      <c r="G3248" s="26"/>
      <c r="H3248" s="26"/>
      <c r="I3248" s="26"/>
    </row>
    <row r="3249" spans="6:9" x14ac:dyDescent="0.3">
      <c r="F3249" s="26"/>
      <c r="G3249" s="26"/>
      <c r="H3249" s="26"/>
      <c r="I3249" s="26"/>
    </row>
    <row r="3250" spans="6:9" x14ac:dyDescent="0.3">
      <c r="F3250" s="26"/>
      <c r="G3250" s="26"/>
      <c r="H3250" s="26"/>
      <c r="I3250" s="26"/>
    </row>
    <row r="3251" spans="6:9" x14ac:dyDescent="0.3">
      <c r="F3251" s="26"/>
      <c r="G3251" s="26"/>
      <c r="H3251" s="26"/>
      <c r="I3251" s="26"/>
    </row>
    <row r="3252" spans="6:9" x14ac:dyDescent="0.3">
      <c r="F3252" s="26"/>
      <c r="G3252" s="26"/>
      <c r="H3252" s="26"/>
      <c r="I3252" s="26"/>
    </row>
    <row r="3253" spans="6:9" x14ac:dyDescent="0.3">
      <c r="F3253" s="26"/>
      <c r="G3253" s="26"/>
      <c r="H3253" s="26"/>
      <c r="I3253" s="26"/>
    </row>
    <row r="3254" spans="6:9" x14ac:dyDescent="0.3">
      <c r="F3254" s="26"/>
      <c r="G3254" s="26"/>
      <c r="H3254" s="26"/>
      <c r="I3254" s="26"/>
    </row>
    <row r="3255" spans="6:9" x14ac:dyDescent="0.3">
      <c r="F3255" s="26"/>
      <c r="G3255" s="26"/>
      <c r="H3255" s="26"/>
      <c r="I3255" s="26"/>
    </row>
    <row r="3256" spans="6:9" x14ac:dyDescent="0.3">
      <c r="F3256" s="26"/>
      <c r="G3256" s="26"/>
      <c r="H3256" s="26"/>
      <c r="I3256" s="26"/>
    </row>
    <row r="3257" spans="6:9" x14ac:dyDescent="0.3">
      <c r="F3257" s="26"/>
      <c r="G3257" s="26"/>
      <c r="H3257" s="26"/>
      <c r="I3257" s="26"/>
    </row>
    <row r="3258" spans="6:9" x14ac:dyDescent="0.3">
      <c r="F3258" s="26"/>
      <c r="G3258" s="26"/>
      <c r="H3258" s="26"/>
      <c r="I3258" s="26"/>
    </row>
    <row r="3259" spans="6:9" x14ac:dyDescent="0.3">
      <c r="F3259" s="26"/>
      <c r="G3259" s="26"/>
      <c r="H3259" s="26"/>
      <c r="I3259" s="26"/>
    </row>
    <row r="3260" spans="6:9" x14ac:dyDescent="0.3">
      <c r="F3260" s="26"/>
      <c r="G3260" s="26"/>
      <c r="H3260" s="26"/>
      <c r="I3260" s="26"/>
    </row>
    <row r="3261" spans="6:9" x14ac:dyDescent="0.3">
      <c r="F3261" s="26"/>
      <c r="G3261" s="26"/>
      <c r="H3261" s="26"/>
      <c r="I3261" s="26"/>
    </row>
    <row r="3262" spans="6:9" x14ac:dyDescent="0.3">
      <c r="F3262" s="26"/>
      <c r="G3262" s="26"/>
      <c r="H3262" s="26"/>
      <c r="I3262" s="26"/>
    </row>
    <row r="3263" spans="6:9" x14ac:dyDescent="0.3">
      <c r="F3263" s="26"/>
      <c r="G3263" s="26"/>
      <c r="H3263" s="26"/>
      <c r="I3263" s="26"/>
    </row>
    <row r="3264" spans="6:9" x14ac:dyDescent="0.3">
      <c r="F3264" s="26"/>
      <c r="G3264" s="26"/>
      <c r="H3264" s="26"/>
      <c r="I3264" s="26"/>
    </row>
    <row r="3265" spans="6:9" x14ac:dyDescent="0.3">
      <c r="F3265" s="26"/>
      <c r="G3265" s="26"/>
      <c r="H3265" s="26"/>
      <c r="I3265" s="26"/>
    </row>
    <row r="3266" spans="6:9" x14ac:dyDescent="0.3">
      <c r="F3266" s="26"/>
      <c r="G3266" s="26"/>
      <c r="H3266" s="26"/>
      <c r="I3266" s="26"/>
    </row>
    <row r="3267" spans="6:9" x14ac:dyDescent="0.3">
      <c r="F3267" s="26"/>
      <c r="G3267" s="26"/>
      <c r="H3267" s="26"/>
      <c r="I3267" s="26"/>
    </row>
    <row r="3268" spans="6:9" x14ac:dyDescent="0.3">
      <c r="F3268" s="26"/>
      <c r="G3268" s="26"/>
      <c r="H3268" s="26"/>
      <c r="I3268" s="26"/>
    </row>
    <row r="3269" spans="6:9" x14ac:dyDescent="0.3">
      <c r="F3269" s="26"/>
      <c r="G3269" s="26"/>
      <c r="H3269" s="26"/>
      <c r="I3269" s="26"/>
    </row>
    <row r="3270" spans="6:9" x14ac:dyDescent="0.3">
      <c r="F3270" s="26"/>
      <c r="G3270" s="26"/>
      <c r="H3270" s="26"/>
      <c r="I3270" s="26"/>
    </row>
    <row r="3271" spans="6:9" x14ac:dyDescent="0.3">
      <c r="F3271" s="26"/>
      <c r="G3271" s="26"/>
      <c r="H3271" s="26"/>
      <c r="I3271" s="26"/>
    </row>
    <row r="3272" spans="6:9" x14ac:dyDescent="0.3">
      <c r="F3272" s="26"/>
      <c r="G3272" s="26"/>
      <c r="H3272" s="26"/>
      <c r="I3272" s="26"/>
    </row>
    <row r="3273" spans="6:9" x14ac:dyDescent="0.3">
      <c r="F3273" s="26"/>
      <c r="G3273" s="26"/>
      <c r="H3273" s="26"/>
      <c r="I3273" s="26"/>
    </row>
    <row r="3274" spans="6:9" x14ac:dyDescent="0.3">
      <c r="F3274" s="26"/>
      <c r="G3274" s="26"/>
      <c r="H3274" s="26"/>
      <c r="I3274" s="26"/>
    </row>
    <row r="3275" spans="6:9" x14ac:dyDescent="0.3">
      <c r="F3275" s="26"/>
      <c r="G3275" s="26"/>
      <c r="H3275" s="26"/>
      <c r="I3275" s="26"/>
    </row>
    <row r="3276" spans="6:9" x14ac:dyDescent="0.3">
      <c r="F3276" s="26"/>
      <c r="G3276" s="26"/>
      <c r="H3276" s="26"/>
      <c r="I3276" s="26"/>
    </row>
    <row r="3277" spans="6:9" x14ac:dyDescent="0.3">
      <c r="F3277" s="26"/>
      <c r="G3277" s="26"/>
      <c r="H3277" s="26"/>
      <c r="I3277" s="26"/>
    </row>
    <row r="3278" spans="6:9" x14ac:dyDescent="0.3">
      <c r="F3278" s="26"/>
      <c r="G3278" s="26"/>
      <c r="H3278" s="26"/>
      <c r="I3278" s="26"/>
    </row>
    <row r="3279" spans="6:9" x14ac:dyDescent="0.3">
      <c r="F3279" s="26"/>
      <c r="G3279" s="26"/>
      <c r="H3279" s="26"/>
      <c r="I3279" s="26"/>
    </row>
    <row r="3280" spans="6:9" x14ac:dyDescent="0.3">
      <c r="F3280" s="26"/>
      <c r="G3280" s="26"/>
      <c r="H3280" s="26"/>
      <c r="I3280" s="26"/>
    </row>
    <row r="3281" spans="6:9" x14ac:dyDescent="0.3">
      <c r="F3281" s="26"/>
      <c r="G3281" s="26"/>
      <c r="H3281" s="26"/>
      <c r="I3281" s="26"/>
    </row>
    <row r="3282" spans="6:9" x14ac:dyDescent="0.3">
      <c r="F3282" s="26"/>
      <c r="G3282" s="26"/>
      <c r="H3282" s="26"/>
      <c r="I3282" s="26"/>
    </row>
    <row r="3283" spans="6:9" x14ac:dyDescent="0.3">
      <c r="F3283" s="26"/>
      <c r="G3283" s="26"/>
      <c r="H3283" s="26"/>
      <c r="I3283" s="26"/>
    </row>
    <row r="3284" spans="6:9" x14ac:dyDescent="0.3">
      <c r="F3284" s="26"/>
      <c r="G3284" s="26"/>
      <c r="H3284" s="26"/>
      <c r="I3284" s="26"/>
    </row>
    <row r="3285" spans="6:9" x14ac:dyDescent="0.3">
      <c r="F3285" s="26"/>
      <c r="G3285" s="26"/>
      <c r="H3285" s="26"/>
      <c r="I3285" s="26"/>
    </row>
    <row r="3286" spans="6:9" x14ac:dyDescent="0.3">
      <c r="F3286" s="26"/>
      <c r="G3286" s="26"/>
      <c r="H3286" s="26"/>
      <c r="I3286" s="26"/>
    </row>
    <row r="3287" spans="6:9" x14ac:dyDescent="0.3">
      <c r="F3287" s="26"/>
      <c r="G3287" s="26"/>
      <c r="H3287" s="26"/>
      <c r="I3287" s="26"/>
    </row>
    <row r="3288" spans="6:9" x14ac:dyDescent="0.3">
      <c r="F3288" s="26"/>
      <c r="G3288" s="26"/>
      <c r="H3288" s="26"/>
      <c r="I3288" s="26"/>
    </row>
    <row r="3289" spans="6:9" x14ac:dyDescent="0.3">
      <c r="F3289" s="26"/>
      <c r="G3289" s="26"/>
      <c r="H3289" s="26"/>
      <c r="I3289" s="26"/>
    </row>
    <row r="3290" spans="6:9" x14ac:dyDescent="0.3">
      <c r="F3290" s="26"/>
      <c r="G3290" s="26"/>
      <c r="H3290" s="26"/>
      <c r="I3290" s="26"/>
    </row>
    <row r="3291" spans="6:9" x14ac:dyDescent="0.3">
      <c r="F3291" s="26"/>
      <c r="G3291" s="26"/>
      <c r="H3291" s="26"/>
      <c r="I3291" s="26"/>
    </row>
    <row r="3292" spans="6:9" x14ac:dyDescent="0.3">
      <c r="F3292" s="26"/>
      <c r="G3292" s="26"/>
      <c r="H3292" s="26"/>
      <c r="I3292" s="26"/>
    </row>
    <row r="3293" spans="6:9" x14ac:dyDescent="0.3">
      <c r="F3293" s="26"/>
      <c r="G3293" s="26"/>
      <c r="H3293" s="26"/>
      <c r="I3293" s="26"/>
    </row>
    <row r="3294" spans="6:9" x14ac:dyDescent="0.3">
      <c r="F3294" s="26"/>
      <c r="G3294" s="26"/>
      <c r="H3294" s="26"/>
      <c r="I3294" s="26"/>
    </row>
    <row r="3295" spans="6:9" x14ac:dyDescent="0.3">
      <c r="F3295" s="26"/>
      <c r="G3295" s="26"/>
      <c r="H3295" s="26"/>
      <c r="I3295" s="26"/>
    </row>
    <row r="3296" spans="6:9" x14ac:dyDescent="0.3">
      <c r="F3296" s="26"/>
      <c r="G3296" s="26"/>
      <c r="H3296" s="26"/>
      <c r="I3296" s="26"/>
    </row>
    <row r="3297" spans="6:9" x14ac:dyDescent="0.3">
      <c r="F3297" s="26"/>
      <c r="G3297" s="26"/>
      <c r="H3297" s="26"/>
      <c r="I3297" s="26"/>
    </row>
    <row r="3298" spans="6:9" x14ac:dyDescent="0.3">
      <c r="F3298" s="26"/>
      <c r="G3298" s="26"/>
      <c r="H3298" s="26"/>
      <c r="I3298" s="26"/>
    </row>
    <row r="3299" spans="6:9" x14ac:dyDescent="0.3">
      <c r="F3299" s="26"/>
      <c r="G3299" s="26"/>
      <c r="H3299" s="26"/>
      <c r="I3299" s="26"/>
    </row>
    <row r="3300" spans="6:9" x14ac:dyDescent="0.3">
      <c r="F3300" s="26"/>
      <c r="G3300" s="26"/>
      <c r="H3300" s="26"/>
      <c r="I3300" s="26"/>
    </row>
    <row r="3301" spans="6:9" x14ac:dyDescent="0.3">
      <c r="F3301" s="26"/>
      <c r="G3301" s="26"/>
      <c r="H3301" s="26"/>
      <c r="I3301" s="26"/>
    </row>
    <row r="3302" spans="6:9" x14ac:dyDescent="0.3">
      <c r="F3302" s="26"/>
      <c r="G3302" s="26"/>
      <c r="H3302" s="26"/>
      <c r="I3302" s="26"/>
    </row>
    <row r="3303" spans="6:9" x14ac:dyDescent="0.3">
      <c r="F3303" s="26"/>
      <c r="G3303" s="26"/>
      <c r="H3303" s="26"/>
      <c r="I3303" s="26"/>
    </row>
    <row r="3304" spans="6:9" x14ac:dyDescent="0.3">
      <c r="F3304" s="26"/>
      <c r="G3304" s="26"/>
      <c r="H3304" s="26"/>
      <c r="I3304" s="26"/>
    </row>
    <row r="3305" spans="6:9" x14ac:dyDescent="0.3">
      <c r="F3305" s="26"/>
      <c r="G3305" s="26"/>
      <c r="H3305" s="26"/>
      <c r="I3305" s="26"/>
    </row>
    <row r="3306" spans="6:9" x14ac:dyDescent="0.3">
      <c r="F3306" s="26"/>
      <c r="G3306" s="26"/>
      <c r="H3306" s="26"/>
      <c r="I3306" s="26"/>
    </row>
    <row r="3307" spans="6:9" x14ac:dyDescent="0.3">
      <c r="F3307" s="26"/>
      <c r="G3307" s="26"/>
      <c r="H3307" s="26"/>
      <c r="I3307" s="26"/>
    </row>
    <row r="3308" spans="6:9" x14ac:dyDescent="0.3">
      <c r="F3308" s="26"/>
      <c r="G3308" s="26"/>
      <c r="H3308" s="26"/>
      <c r="I3308" s="26"/>
    </row>
    <row r="3309" spans="6:9" x14ac:dyDescent="0.3">
      <c r="F3309" s="26"/>
      <c r="G3309" s="26"/>
      <c r="H3309" s="26"/>
      <c r="I3309" s="26"/>
    </row>
    <row r="3310" spans="6:9" x14ac:dyDescent="0.3">
      <c r="F3310" s="26"/>
      <c r="G3310" s="26"/>
      <c r="H3310" s="26"/>
      <c r="I3310" s="26"/>
    </row>
    <row r="3311" spans="6:9" x14ac:dyDescent="0.3">
      <c r="F3311" s="26"/>
      <c r="G3311" s="26"/>
      <c r="H3311" s="26"/>
      <c r="I3311" s="26"/>
    </row>
    <row r="3312" spans="6:9" x14ac:dyDescent="0.3">
      <c r="F3312" s="26"/>
      <c r="G3312" s="26"/>
      <c r="H3312" s="26"/>
      <c r="I3312" s="26"/>
    </row>
    <row r="3313" spans="6:9" x14ac:dyDescent="0.3">
      <c r="F3313" s="26"/>
      <c r="G3313" s="26"/>
      <c r="H3313" s="26"/>
      <c r="I3313" s="26"/>
    </row>
    <row r="3314" spans="6:9" x14ac:dyDescent="0.3">
      <c r="F3314" s="26"/>
      <c r="G3314" s="26"/>
      <c r="H3314" s="26"/>
      <c r="I3314" s="26"/>
    </row>
    <row r="3315" spans="6:9" x14ac:dyDescent="0.3">
      <c r="F3315" s="26"/>
      <c r="G3315" s="26"/>
      <c r="H3315" s="26"/>
      <c r="I3315" s="26"/>
    </row>
    <row r="3316" spans="6:9" x14ac:dyDescent="0.3">
      <c r="F3316" s="26"/>
      <c r="G3316" s="26"/>
      <c r="H3316" s="26"/>
      <c r="I3316" s="26"/>
    </row>
    <row r="3317" spans="6:9" x14ac:dyDescent="0.3">
      <c r="F3317" s="26"/>
      <c r="G3317" s="26"/>
      <c r="H3317" s="26"/>
      <c r="I3317" s="26"/>
    </row>
    <row r="3318" spans="6:9" x14ac:dyDescent="0.3">
      <c r="F3318" s="26"/>
      <c r="G3318" s="26"/>
      <c r="H3318" s="26"/>
      <c r="I3318" s="26"/>
    </row>
    <row r="3319" spans="6:9" x14ac:dyDescent="0.3">
      <c r="F3319" s="26"/>
      <c r="G3319" s="26"/>
      <c r="H3319" s="26"/>
      <c r="I3319" s="26"/>
    </row>
    <row r="3320" spans="6:9" x14ac:dyDescent="0.3">
      <c r="F3320" s="26"/>
      <c r="G3320" s="26"/>
      <c r="H3320" s="26"/>
      <c r="I3320" s="26"/>
    </row>
    <row r="3321" spans="6:9" x14ac:dyDescent="0.3">
      <c r="F3321" s="26"/>
      <c r="G3321" s="26"/>
      <c r="H3321" s="26"/>
      <c r="I3321" s="26"/>
    </row>
    <row r="3322" spans="6:9" x14ac:dyDescent="0.3">
      <c r="F3322" s="26"/>
      <c r="G3322" s="26"/>
      <c r="H3322" s="26"/>
      <c r="I3322" s="26"/>
    </row>
    <row r="3323" spans="6:9" x14ac:dyDescent="0.3">
      <c r="F3323" s="26"/>
      <c r="G3323" s="26"/>
      <c r="H3323" s="26"/>
      <c r="I3323" s="26"/>
    </row>
    <row r="3324" spans="6:9" x14ac:dyDescent="0.3">
      <c r="F3324" s="26"/>
      <c r="G3324" s="26"/>
      <c r="H3324" s="26"/>
      <c r="I3324" s="26"/>
    </row>
    <row r="3325" spans="6:9" x14ac:dyDescent="0.3">
      <c r="F3325" s="26"/>
      <c r="G3325" s="26"/>
      <c r="H3325" s="26"/>
      <c r="I3325" s="26"/>
    </row>
    <row r="3326" spans="6:9" x14ac:dyDescent="0.3">
      <c r="F3326" s="26"/>
      <c r="G3326" s="26"/>
      <c r="H3326" s="26"/>
      <c r="I3326" s="26"/>
    </row>
    <row r="3327" spans="6:9" x14ac:dyDescent="0.3">
      <c r="F3327" s="26"/>
      <c r="G3327" s="26"/>
      <c r="H3327" s="26"/>
      <c r="I3327" s="26"/>
    </row>
    <row r="3328" spans="6:9" x14ac:dyDescent="0.3">
      <c r="F3328" s="26"/>
      <c r="G3328" s="26"/>
      <c r="H3328" s="26"/>
      <c r="I3328" s="26"/>
    </row>
    <row r="3329" spans="6:9" x14ac:dyDescent="0.3">
      <c r="F3329" s="26"/>
      <c r="G3329" s="26"/>
      <c r="H3329" s="26"/>
      <c r="I3329" s="26"/>
    </row>
    <row r="3330" spans="6:9" x14ac:dyDescent="0.3">
      <c r="F3330" s="26"/>
      <c r="G3330" s="26"/>
      <c r="H3330" s="26"/>
      <c r="I3330" s="26"/>
    </row>
    <row r="3331" spans="6:9" x14ac:dyDescent="0.3">
      <c r="F3331" s="26"/>
      <c r="G3331" s="26"/>
      <c r="H3331" s="26"/>
      <c r="I3331" s="26"/>
    </row>
    <row r="3332" spans="6:9" x14ac:dyDescent="0.3">
      <c r="F3332" s="26"/>
      <c r="G3332" s="26"/>
      <c r="H3332" s="26"/>
      <c r="I3332" s="26"/>
    </row>
    <row r="3333" spans="6:9" x14ac:dyDescent="0.3">
      <c r="F3333" s="26"/>
      <c r="G3333" s="26"/>
      <c r="H3333" s="26"/>
      <c r="I3333" s="26"/>
    </row>
    <row r="3334" spans="6:9" x14ac:dyDescent="0.3">
      <c r="F3334" s="26"/>
      <c r="G3334" s="26"/>
      <c r="H3334" s="26"/>
      <c r="I3334" s="26"/>
    </row>
    <row r="3335" spans="6:9" x14ac:dyDescent="0.3">
      <c r="F3335" s="26"/>
      <c r="G3335" s="26"/>
      <c r="H3335" s="26"/>
      <c r="I3335" s="26"/>
    </row>
    <row r="3336" spans="6:9" x14ac:dyDescent="0.3">
      <c r="F3336" s="26"/>
      <c r="G3336" s="26"/>
      <c r="H3336" s="26"/>
      <c r="I3336" s="26"/>
    </row>
    <row r="3337" spans="6:9" x14ac:dyDescent="0.3">
      <c r="F3337" s="26"/>
      <c r="G3337" s="26"/>
      <c r="H3337" s="26"/>
      <c r="I3337" s="26"/>
    </row>
    <row r="3338" spans="6:9" x14ac:dyDescent="0.3">
      <c r="F3338" s="26"/>
      <c r="G3338" s="26"/>
      <c r="H3338" s="26"/>
      <c r="I3338" s="26"/>
    </row>
    <row r="3339" spans="6:9" x14ac:dyDescent="0.3">
      <c r="F3339" s="26"/>
      <c r="G3339" s="26"/>
      <c r="H3339" s="26"/>
      <c r="I3339" s="26"/>
    </row>
    <row r="3340" spans="6:9" x14ac:dyDescent="0.3">
      <c r="F3340" s="26"/>
      <c r="G3340" s="26"/>
      <c r="H3340" s="26"/>
      <c r="I3340" s="26"/>
    </row>
    <row r="3341" spans="6:9" x14ac:dyDescent="0.3">
      <c r="F3341" s="26"/>
      <c r="G3341" s="26"/>
      <c r="H3341" s="26"/>
      <c r="I3341" s="26"/>
    </row>
    <row r="3342" spans="6:9" x14ac:dyDescent="0.3">
      <c r="F3342" s="26"/>
      <c r="G3342" s="26"/>
      <c r="H3342" s="26"/>
      <c r="I3342" s="26"/>
    </row>
    <row r="3343" spans="6:9" x14ac:dyDescent="0.3">
      <c r="F3343" s="26"/>
      <c r="G3343" s="26"/>
      <c r="H3343" s="26"/>
      <c r="I3343" s="26"/>
    </row>
    <row r="3344" spans="6:9" x14ac:dyDescent="0.3">
      <c r="F3344" s="26"/>
      <c r="G3344" s="26"/>
      <c r="H3344" s="26"/>
      <c r="I3344" s="26"/>
    </row>
    <row r="3345" spans="6:9" x14ac:dyDescent="0.3">
      <c r="F3345" s="26"/>
      <c r="G3345" s="26"/>
      <c r="H3345" s="26"/>
      <c r="I3345" s="26"/>
    </row>
    <row r="3346" spans="6:9" x14ac:dyDescent="0.3">
      <c r="F3346" s="26"/>
      <c r="G3346" s="26"/>
      <c r="H3346" s="26"/>
      <c r="I3346" s="26"/>
    </row>
    <row r="3347" spans="6:9" x14ac:dyDescent="0.3">
      <c r="F3347" s="26"/>
      <c r="G3347" s="26"/>
      <c r="H3347" s="26"/>
      <c r="I3347" s="26"/>
    </row>
    <row r="3348" spans="6:9" x14ac:dyDescent="0.3">
      <c r="F3348" s="26"/>
      <c r="G3348" s="26"/>
      <c r="H3348" s="26"/>
      <c r="I3348" s="26"/>
    </row>
    <row r="3349" spans="6:9" x14ac:dyDescent="0.3">
      <c r="F3349" s="26"/>
      <c r="G3349" s="26"/>
      <c r="H3349" s="26"/>
      <c r="I3349" s="26"/>
    </row>
    <row r="3350" spans="6:9" x14ac:dyDescent="0.3">
      <c r="F3350" s="26"/>
      <c r="G3350" s="26"/>
      <c r="H3350" s="26"/>
      <c r="I3350" s="26"/>
    </row>
    <row r="3351" spans="6:9" x14ac:dyDescent="0.3">
      <c r="F3351" s="26"/>
      <c r="G3351" s="26"/>
      <c r="H3351" s="26"/>
      <c r="I3351" s="26"/>
    </row>
    <row r="3352" spans="6:9" x14ac:dyDescent="0.3">
      <c r="F3352" s="26"/>
      <c r="G3352" s="26"/>
      <c r="H3352" s="26"/>
      <c r="I3352" s="26"/>
    </row>
    <row r="3353" spans="6:9" x14ac:dyDescent="0.3">
      <c r="F3353" s="26"/>
      <c r="G3353" s="26"/>
      <c r="H3353" s="26"/>
      <c r="I3353" s="26"/>
    </row>
    <row r="3354" spans="6:9" x14ac:dyDescent="0.3">
      <c r="F3354" s="26"/>
      <c r="G3354" s="26"/>
      <c r="H3354" s="26"/>
      <c r="I3354" s="26"/>
    </row>
    <row r="3355" spans="6:9" x14ac:dyDescent="0.3">
      <c r="F3355" s="26"/>
      <c r="G3355" s="26"/>
      <c r="H3355" s="26"/>
      <c r="I3355" s="26"/>
    </row>
    <row r="3356" spans="6:9" x14ac:dyDescent="0.3">
      <c r="F3356" s="26"/>
      <c r="G3356" s="26"/>
      <c r="H3356" s="26"/>
      <c r="I3356" s="26"/>
    </row>
    <row r="3357" spans="6:9" x14ac:dyDescent="0.3">
      <c r="F3357" s="26"/>
      <c r="G3357" s="26"/>
      <c r="H3357" s="26"/>
      <c r="I3357" s="26"/>
    </row>
    <row r="3358" spans="6:9" x14ac:dyDescent="0.3">
      <c r="F3358" s="26"/>
      <c r="G3358" s="26"/>
      <c r="H3358" s="26"/>
      <c r="I3358" s="26"/>
    </row>
    <row r="3359" spans="6:9" x14ac:dyDescent="0.3">
      <c r="F3359" s="26"/>
      <c r="G3359" s="26"/>
      <c r="H3359" s="26"/>
      <c r="I3359" s="26"/>
    </row>
    <row r="3360" spans="6:9" x14ac:dyDescent="0.3">
      <c r="F3360" s="26"/>
      <c r="G3360" s="26"/>
      <c r="H3360" s="26"/>
      <c r="I3360" s="26"/>
    </row>
    <row r="3361" spans="6:9" x14ac:dyDescent="0.3">
      <c r="F3361" s="26"/>
      <c r="G3361" s="26"/>
      <c r="H3361" s="26"/>
      <c r="I3361" s="26"/>
    </row>
    <row r="3362" spans="6:9" x14ac:dyDescent="0.3">
      <c r="F3362" s="26"/>
      <c r="G3362" s="26"/>
      <c r="H3362" s="26"/>
      <c r="I3362" s="26"/>
    </row>
    <row r="3363" spans="6:9" x14ac:dyDescent="0.3">
      <c r="F3363" s="26"/>
      <c r="G3363" s="26"/>
      <c r="H3363" s="26"/>
      <c r="I3363" s="26"/>
    </row>
    <row r="3364" spans="6:9" x14ac:dyDescent="0.3">
      <c r="F3364" s="26"/>
      <c r="G3364" s="26"/>
      <c r="H3364" s="26"/>
      <c r="I3364" s="26"/>
    </row>
    <row r="3365" spans="6:9" x14ac:dyDescent="0.3">
      <c r="F3365" s="26"/>
      <c r="G3365" s="26"/>
      <c r="H3365" s="26"/>
      <c r="I3365" s="26"/>
    </row>
    <row r="3366" spans="6:9" x14ac:dyDescent="0.3">
      <c r="F3366" s="26"/>
      <c r="G3366" s="26"/>
      <c r="H3366" s="26"/>
      <c r="I3366" s="26"/>
    </row>
    <row r="3367" spans="6:9" x14ac:dyDescent="0.3">
      <c r="F3367" s="26"/>
      <c r="G3367" s="26"/>
      <c r="H3367" s="26"/>
      <c r="I3367" s="26"/>
    </row>
    <row r="3368" spans="6:9" x14ac:dyDescent="0.3">
      <c r="F3368" s="26"/>
      <c r="G3368" s="26"/>
      <c r="H3368" s="26"/>
      <c r="I3368" s="26"/>
    </row>
    <row r="3369" spans="6:9" x14ac:dyDescent="0.3">
      <c r="F3369" s="26"/>
      <c r="G3369" s="26"/>
      <c r="H3369" s="26"/>
      <c r="I3369" s="26"/>
    </row>
    <row r="3370" spans="6:9" x14ac:dyDescent="0.3">
      <c r="F3370" s="26"/>
      <c r="G3370" s="26"/>
      <c r="H3370" s="26"/>
      <c r="I3370" s="26"/>
    </row>
    <row r="3371" spans="6:9" x14ac:dyDescent="0.3">
      <c r="F3371" s="26"/>
      <c r="G3371" s="26"/>
      <c r="H3371" s="26"/>
      <c r="I3371" s="26"/>
    </row>
    <row r="3372" spans="6:9" x14ac:dyDescent="0.3">
      <c r="F3372" s="26"/>
      <c r="G3372" s="26"/>
      <c r="H3372" s="26"/>
      <c r="I3372" s="26"/>
    </row>
    <row r="3373" spans="6:9" x14ac:dyDescent="0.3">
      <c r="F3373" s="26"/>
      <c r="G3373" s="26"/>
      <c r="H3373" s="26"/>
      <c r="I3373" s="26"/>
    </row>
    <row r="3374" spans="6:9" x14ac:dyDescent="0.3">
      <c r="F3374" s="26"/>
      <c r="G3374" s="26"/>
      <c r="H3374" s="26"/>
      <c r="I3374" s="26"/>
    </row>
    <row r="3375" spans="6:9" x14ac:dyDescent="0.3">
      <c r="F3375" s="26"/>
      <c r="G3375" s="26"/>
      <c r="H3375" s="26"/>
      <c r="I3375" s="26"/>
    </row>
    <row r="3376" spans="6:9" x14ac:dyDescent="0.3">
      <c r="F3376" s="26"/>
      <c r="G3376" s="26"/>
      <c r="H3376" s="26"/>
      <c r="I3376" s="26"/>
    </row>
    <row r="3377" spans="6:9" x14ac:dyDescent="0.3">
      <c r="F3377" s="26"/>
      <c r="G3377" s="26"/>
      <c r="H3377" s="26"/>
      <c r="I3377" s="26"/>
    </row>
    <row r="3378" spans="6:9" x14ac:dyDescent="0.3">
      <c r="F3378" s="26"/>
      <c r="G3378" s="26"/>
      <c r="H3378" s="26"/>
      <c r="I3378" s="26"/>
    </row>
    <row r="3379" spans="6:9" x14ac:dyDescent="0.3">
      <c r="F3379" s="26"/>
      <c r="G3379" s="26"/>
      <c r="H3379" s="26"/>
      <c r="I3379" s="26"/>
    </row>
    <row r="3380" spans="6:9" x14ac:dyDescent="0.3">
      <c r="F3380" s="26"/>
      <c r="G3380" s="26"/>
      <c r="H3380" s="26"/>
      <c r="I3380" s="26"/>
    </row>
    <row r="3381" spans="6:9" x14ac:dyDescent="0.3">
      <c r="F3381" s="26"/>
      <c r="G3381" s="26"/>
      <c r="H3381" s="26"/>
      <c r="I3381" s="26"/>
    </row>
    <row r="3382" spans="6:9" x14ac:dyDescent="0.3">
      <c r="F3382" s="26"/>
      <c r="G3382" s="26"/>
      <c r="H3382" s="26"/>
      <c r="I3382" s="26"/>
    </row>
    <row r="3383" spans="6:9" x14ac:dyDescent="0.3">
      <c r="F3383" s="26"/>
      <c r="G3383" s="26"/>
      <c r="H3383" s="26"/>
      <c r="I3383" s="26"/>
    </row>
    <row r="3384" spans="6:9" x14ac:dyDescent="0.3">
      <c r="F3384" s="26"/>
      <c r="G3384" s="26"/>
      <c r="H3384" s="26"/>
      <c r="I3384" s="26"/>
    </row>
    <row r="3385" spans="6:9" x14ac:dyDescent="0.3">
      <c r="F3385" s="26"/>
      <c r="G3385" s="26"/>
      <c r="H3385" s="26"/>
      <c r="I3385" s="26"/>
    </row>
    <row r="3386" spans="6:9" x14ac:dyDescent="0.3">
      <c r="F3386" s="26"/>
      <c r="G3386" s="26"/>
      <c r="H3386" s="26"/>
      <c r="I3386" s="26"/>
    </row>
    <row r="3387" spans="6:9" x14ac:dyDescent="0.3">
      <c r="F3387" s="26"/>
      <c r="G3387" s="26"/>
      <c r="H3387" s="26"/>
      <c r="I3387" s="26"/>
    </row>
    <row r="3388" spans="6:9" x14ac:dyDescent="0.3">
      <c r="F3388" s="26"/>
      <c r="G3388" s="26"/>
      <c r="H3388" s="26"/>
      <c r="I3388" s="26"/>
    </row>
    <row r="3389" spans="6:9" x14ac:dyDescent="0.3">
      <c r="F3389" s="26"/>
      <c r="G3389" s="26"/>
      <c r="H3389" s="26"/>
      <c r="I3389" s="26"/>
    </row>
    <row r="3390" spans="6:9" x14ac:dyDescent="0.3">
      <c r="F3390" s="26"/>
      <c r="G3390" s="26"/>
      <c r="H3390" s="26"/>
      <c r="I3390" s="26"/>
    </row>
    <row r="3391" spans="6:9" x14ac:dyDescent="0.3">
      <c r="F3391" s="26"/>
      <c r="G3391" s="26"/>
      <c r="H3391" s="26"/>
      <c r="I3391" s="26"/>
    </row>
    <row r="3392" spans="6:9" x14ac:dyDescent="0.3">
      <c r="F3392" s="26"/>
      <c r="G3392" s="26"/>
      <c r="H3392" s="26"/>
      <c r="I3392" s="26"/>
    </row>
    <row r="3393" spans="6:9" x14ac:dyDescent="0.3">
      <c r="F3393" s="26"/>
      <c r="G3393" s="26"/>
      <c r="H3393" s="26"/>
      <c r="I3393" s="26"/>
    </row>
    <row r="3394" spans="6:9" x14ac:dyDescent="0.3">
      <c r="F3394" s="26"/>
      <c r="G3394" s="26"/>
      <c r="H3394" s="26"/>
      <c r="I3394" s="26"/>
    </row>
    <row r="3395" spans="6:9" x14ac:dyDescent="0.3">
      <c r="F3395" s="26"/>
      <c r="G3395" s="26"/>
      <c r="H3395" s="26"/>
      <c r="I3395" s="26"/>
    </row>
    <row r="3396" spans="6:9" x14ac:dyDescent="0.3">
      <c r="F3396" s="26"/>
      <c r="G3396" s="26"/>
      <c r="H3396" s="26"/>
      <c r="I3396" s="26"/>
    </row>
    <row r="3397" spans="6:9" x14ac:dyDescent="0.3">
      <c r="F3397" s="26"/>
      <c r="G3397" s="26"/>
      <c r="H3397" s="26"/>
      <c r="I3397" s="26"/>
    </row>
    <row r="3398" spans="6:9" x14ac:dyDescent="0.3">
      <c r="F3398" s="26"/>
      <c r="G3398" s="26"/>
      <c r="H3398" s="26"/>
      <c r="I3398" s="26"/>
    </row>
    <row r="3399" spans="6:9" x14ac:dyDescent="0.3">
      <c r="F3399" s="26"/>
      <c r="G3399" s="26"/>
      <c r="H3399" s="26"/>
      <c r="I3399" s="26"/>
    </row>
    <row r="3400" spans="6:9" x14ac:dyDescent="0.3">
      <c r="F3400" s="26"/>
      <c r="G3400" s="26"/>
      <c r="H3400" s="26"/>
      <c r="I3400" s="26"/>
    </row>
    <row r="3401" spans="6:9" x14ac:dyDescent="0.3">
      <c r="F3401" s="26"/>
      <c r="G3401" s="26"/>
      <c r="H3401" s="26"/>
      <c r="I3401" s="26"/>
    </row>
    <row r="3402" spans="6:9" x14ac:dyDescent="0.3">
      <c r="F3402" s="26"/>
      <c r="G3402" s="26"/>
      <c r="H3402" s="26"/>
      <c r="I3402" s="26"/>
    </row>
    <row r="3403" spans="6:9" x14ac:dyDescent="0.3">
      <c r="F3403" s="26"/>
      <c r="G3403" s="26"/>
      <c r="H3403" s="26"/>
      <c r="I3403" s="26"/>
    </row>
    <row r="3404" spans="6:9" x14ac:dyDescent="0.3">
      <c r="F3404" s="26"/>
      <c r="G3404" s="26"/>
      <c r="H3404" s="26"/>
      <c r="I3404" s="26"/>
    </row>
    <row r="3405" spans="6:9" x14ac:dyDescent="0.3">
      <c r="F3405" s="26"/>
      <c r="G3405" s="26"/>
      <c r="H3405" s="26"/>
      <c r="I3405" s="26"/>
    </row>
    <row r="3406" spans="6:9" x14ac:dyDescent="0.3">
      <c r="F3406" s="26"/>
      <c r="G3406" s="26"/>
      <c r="H3406" s="26"/>
      <c r="I3406" s="26"/>
    </row>
    <row r="3407" spans="6:9" x14ac:dyDescent="0.3">
      <c r="F3407" s="26"/>
      <c r="G3407" s="26"/>
      <c r="H3407" s="26"/>
      <c r="I3407" s="26"/>
    </row>
    <row r="3408" spans="6:9" x14ac:dyDescent="0.3">
      <c r="F3408" s="26"/>
      <c r="G3408" s="26"/>
      <c r="H3408" s="26"/>
      <c r="I3408" s="26"/>
    </row>
    <row r="3409" spans="6:9" x14ac:dyDescent="0.3">
      <c r="F3409" s="26"/>
      <c r="G3409" s="26"/>
      <c r="H3409" s="26"/>
      <c r="I3409" s="26"/>
    </row>
    <row r="3410" spans="6:9" x14ac:dyDescent="0.3">
      <c r="F3410" s="26"/>
      <c r="G3410" s="26"/>
      <c r="H3410" s="26"/>
      <c r="I3410" s="26"/>
    </row>
    <row r="3411" spans="6:9" x14ac:dyDescent="0.3">
      <c r="F3411" s="26"/>
      <c r="G3411" s="26"/>
      <c r="H3411" s="26"/>
      <c r="I3411" s="26"/>
    </row>
    <row r="3412" spans="6:9" x14ac:dyDescent="0.3">
      <c r="F3412" s="26"/>
      <c r="G3412" s="26"/>
      <c r="H3412" s="26"/>
      <c r="I3412" s="26"/>
    </row>
    <row r="3413" spans="6:9" x14ac:dyDescent="0.3">
      <c r="F3413" s="26"/>
      <c r="G3413" s="26"/>
      <c r="H3413" s="26"/>
      <c r="I3413" s="26"/>
    </row>
    <row r="3414" spans="6:9" x14ac:dyDescent="0.3">
      <c r="F3414" s="26"/>
      <c r="G3414" s="26"/>
      <c r="H3414" s="26"/>
      <c r="I3414" s="26"/>
    </row>
    <row r="3415" spans="6:9" x14ac:dyDescent="0.3">
      <c r="F3415" s="26"/>
      <c r="G3415" s="26"/>
      <c r="H3415" s="26"/>
      <c r="I3415" s="26"/>
    </row>
    <row r="3416" spans="6:9" x14ac:dyDescent="0.3">
      <c r="F3416" s="26"/>
      <c r="G3416" s="26"/>
      <c r="H3416" s="26"/>
      <c r="I3416" s="26"/>
    </row>
    <row r="3417" spans="6:9" x14ac:dyDescent="0.3">
      <c r="F3417" s="26"/>
      <c r="G3417" s="26"/>
      <c r="H3417" s="26"/>
      <c r="I3417" s="26"/>
    </row>
    <row r="3418" spans="6:9" x14ac:dyDescent="0.3">
      <c r="F3418" s="26"/>
      <c r="G3418" s="26"/>
      <c r="H3418" s="26"/>
      <c r="I3418" s="26"/>
    </row>
    <row r="3419" spans="6:9" x14ac:dyDescent="0.3">
      <c r="F3419" s="26"/>
      <c r="G3419" s="26"/>
      <c r="H3419" s="26"/>
      <c r="I3419" s="26"/>
    </row>
    <row r="3420" spans="6:9" x14ac:dyDescent="0.3">
      <c r="F3420" s="26"/>
      <c r="G3420" s="26"/>
      <c r="H3420" s="26"/>
      <c r="I3420" s="26"/>
    </row>
    <row r="3421" spans="6:9" x14ac:dyDescent="0.3">
      <c r="F3421" s="26"/>
      <c r="G3421" s="26"/>
      <c r="H3421" s="26"/>
      <c r="I3421" s="26"/>
    </row>
    <row r="3422" spans="6:9" x14ac:dyDescent="0.3">
      <c r="F3422" s="26"/>
      <c r="G3422" s="26"/>
      <c r="H3422" s="26"/>
      <c r="I3422" s="26"/>
    </row>
    <row r="3423" spans="6:9" x14ac:dyDescent="0.3">
      <c r="F3423" s="26"/>
      <c r="G3423" s="26"/>
      <c r="H3423" s="26"/>
      <c r="I3423" s="26"/>
    </row>
    <row r="3424" spans="6:9" x14ac:dyDescent="0.3">
      <c r="F3424" s="26"/>
      <c r="G3424" s="26"/>
      <c r="H3424" s="26"/>
      <c r="I3424" s="26"/>
    </row>
    <row r="3425" spans="6:9" x14ac:dyDescent="0.3">
      <c r="F3425" s="26"/>
      <c r="G3425" s="26"/>
      <c r="H3425" s="26"/>
      <c r="I3425" s="26"/>
    </row>
    <row r="3426" spans="6:9" x14ac:dyDescent="0.3">
      <c r="F3426" s="26"/>
      <c r="G3426" s="26"/>
      <c r="H3426" s="26"/>
      <c r="I3426" s="26"/>
    </row>
    <row r="3427" spans="6:9" x14ac:dyDescent="0.3">
      <c r="F3427" s="26"/>
      <c r="G3427" s="26"/>
      <c r="H3427" s="26"/>
      <c r="I3427" s="26"/>
    </row>
    <row r="3428" spans="6:9" x14ac:dyDescent="0.3">
      <c r="F3428" s="26"/>
      <c r="G3428" s="26"/>
      <c r="H3428" s="26"/>
      <c r="I3428" s="26"/>
    </row>
    <row r="3429" spans="6:9" x14ac:dyDescent="0.3">
      <c r="F3429" s="26"/>
      <c r="G3429" s="26"/>
      <c r="H3429" s="26"/>
      <c r="I3429" s="26"/>
    </row>
    <row r="3430" spans="6:9" x14ac:dyDescent="0.3">
      <c r="F3430" s="26"/>
      <c r="G3430" s="26"/>
      <c r="H3430" s="26"/>
      <c r="I3430" s="26"/>
    </row>
    <row r="3431" spans="6:9" x14ac:dyDescent="0.3">
      <c r="F3431" s="26"/>
      <c r="G3431" s="26"/>
      <c r="H3431" s="26"/>
      <c r="I3431" s="26"/>
    </row>
    <row r="3432" spans="6:9" x14ac:dyDescent="0.3">
      <c r="F3432" s="26"/>
      <c r="G3432" s="26"/>
      <c r="H3432" s="26"/>
      <c r="I3432" s="26"/>
    </row>
    <row r="3433" spans="6:9" x14ac:dyDescent="0.3">
      <c r="F3433" s="26"/>
      <c r="G3433" s="26"/>
      <c r="H3433" s="26"/>
      <c r="I3433" s="26"/>
    </row>
    <row r="3434" spans="6:9" x14ac:dyDescent="0.3">
      <c r="F3434" s="26"/>
      <c r="G3434" s="26"/>
      <c r="H3434" s="26"/>
      <c r="I3434" s="26"/>
    </row>
    <row r="3435" spans="6:9" x14ac:dyDescent="0.3">
      <c r="F3435" s="26"/>
      <c r="G3435" s="26"/>
      <c r="H3435" s="26"/>
      <c r="I3435" s="26"/>
    </row>
    <row r="3436" spans="6:9" x14ac:dyDescent="0.3">
      <c r="F3436" s="26"/>
      <c r="G3436" s="26"/>
      <c r="H3436" s="26"/>
      <c r="I3436" s="26"/>
    </row>
    <row r="3437" spans="6:9" x14ac:dyDescent="0.3">
      <c r="F3437" s="26"/>
      <c r="G3437" s="26"/>
      <c r="H3437" s="26"/>
      <c r="I3437" s="26"/>
    </row>
    <row r="3438" spans="6:9" x14ac:dyDescent="0.3">
      <c r="F3438" s="26"/>
      <c r="G3438" s="26"/>
      <c r="H3438" s="26"/>
      <c r="I3438" s="26"/>
    </row>
    <row r="3439" spans="6:9" x14ac:dyDescent="0.3">
      <c r="F3439" s="26"/>
      <c r="G3439" s="26"/>
      <c r="H3439" s="26"/>
      <c r="I3439" s="26"/>
    </row>
    <row r="3440" spans="6:9" x14ac:dyDescent="0.3">
      <c r="F3440" s="26"/>
      <c r="G3440" s="26"/>
      <c r="H3440" s="26"/>
      <c r="I3440" s="26"/>
    </row>
    <row r="3441" spans="6:9" x14ac:dyDescent="0.3">
      <c r="F3441" s="26"/>
      <c r="G3441" s="26"/>
      <c r="H3441" s="26"/>
      <c r="I3441" s="26"/>
    </row>
    <row r="3442" spans="6:9" x14ac:dyDescent="0.3">
      <c r="F3442" s="26"/>
      <c r="G3442" s="26"/>
      <c r="H3442" s="26"/>
      <c r="I3442" s="26"/>
    </row>
    <row r="3443" spans="6:9" x14ac:dyDescent="0.3">
      <c r="F3443" s="26"/>
      <c r="G3443" s="26"/>
      <c r="H3443" s="26"/>
      <c r="I3443" s="26"/>
    </row>
    <row r="3444" spans="6:9" x14ac:dyDescent="0.3">
      <c r="F3444" s="26"/>
      <c r="G3444" s="26"/>
      <c r="H3444" s="26"/>
      <c r="I3444" s="26"/>
    </row>
    <row r="3445" spans="6:9" x14ac:dyDescent="0.3">
      <c r="F3445" s="26"/>
      <c r="G3445" s="26"/>
      <c r="H3445" s="26"/>
      <c r="I3445" s="26"/>
    </row>
    <row r="3446" spans="6:9" x14ac:dyDescent="0.3">
      <c r="F3446" s="26"/>
      <c r="G3446" s="26"/>
      <c r="H3446" s="26"/>
      <c r="I3446" s="26"/>
    </row>
    <row r="3447" spans="6:9" x14ac:dyDescent="0.3">
      <c r="F3447" s="26"/>
      <c r="G3447" s="26"/>
      <c r="H3447" s="26"/>
      <c r="I3447" s="26"/>
    </row>
    <row r="3448" spans="6:9" x14ac:dyDescent="0.3">
      <c r="F3448" s="26"/>
      <c r="G3448" s="26"/>
      <c r="H3448" s="26"/>
      <c r="I3448" s="26"/>
    </row>
    <row r="3449" spans="6:9" x14ac:dyDescent="0.3">
      <c r="F3449" s="26"/>
      <c r="G3449" s="26"/>
      <c r="H3449" s="26"/>
      <c r="I3449" s="26"/>
    </row>
    <row r="3450" spans="6:9" x14ac:dyDescent="0.3">
      <c r="F3450" s="26"/>
      <c r="G3450" s="26"/>
      <c r="H3450" s="26"/>
      <c r="I3450" s="26"/>
    </row>
    <row r="3451" spans="6:9" x14ac:dyDescent="0.3">
      <c r="F3451" s="26"/>
      <c r="G3451" s="26"/>
      <c r="H3451" s="26"/>
      <c r="I3451" s="26"/>
    </row>
    <row r="3452" spans="6:9" x14ac:dyDescent="0.3">
      <c r="F3452" s="26"/>
      <c r="G3452" s="26"/>
      <c r="H3452" s="26"/>
      <c r="I3452" s="26"/>
    </row>
    <row r="3453" spans="6:9" x14ac:dyDescent="0.3">
      <c r="F3453" s="26"/>
      <c r="G3453" s="26"/>
      <c r="H3453" s="26"/>
      <c r="I3453" s="26"/>
    </row>
    <row r="3454" spans="6:9" x14ac:dyDescent="0.3">
      <c r="F3454" s="26"/>
      <c r="G3454" s="26"/>
      <c r="H3454" s="26"/>
      <c r="I3454" s="26"/>
    </row>
    <row r="3455" spans="6:9" x14ac:dyDescent="0.3">
      <c r="F3455" s="26"/>
      <c r="G3455" s="26"/>
      <c r="H3455" s="26"/>
      <c r="I3455" s="26"/>
    </row>
    <row r="3456" spans="6:9" x14ac:dyDescent="0.3">
      <c r="F3456" s="26"/>
      <c r="G3456" s="26"/>
      <c r="H3456" s="26"/>
      <c r="I3456" s="26"/>
    </row>
    <row r="3457" spans="6:9" x14ac:dyDescent="0.3">
      <c r="F3457" s="26"/>
      <c r="G3457" s="26"/>
      <c r="H3457" s="26"/>
      <c r="I3457" s="26"/>
    </row>
    <row r="3458" spans="6:9" x14ac:dyDescent="0.3">
      <c r="F3458" s="26"/>
      <c r="G3458" s="26"/>
      <c r="H3458" s="26"/>
      <c r="I3458" s="26"/>
    </row>
    <row r="3459" spans="6:9" x14ac:dyDescent="0.3">
      <c r="F3459" s="26"/>
      <c r="G3459" s="26"/>
      <c r="H3459" s="26"/>
      <c r="I3459" s="26"/>
    </row>
    <row r="3460" spans="6:9" x14ac:dyDescent="0.3">
      <c r="F3460" s="26"/>
      <c r="G3460" s="26"/>
      <c r="H3460" s="26"/>
      <c r="I3460" s="26"/>
    </row>
    <row r="3461" spans="6:9" x14ac:dyDescent="0.3">
      <c r="F3461" s="26"/>
      <c r="G3461" s="26"/>
      <c r="H3461" s="26"/>
      <c r="I3461" s="26"/>
    </row>
    <row r="3462" spans="6:9" x14ac:dyDescent="0.3">
      <c r="F3462" s="26"/>
      <c r="G3462" s="26"/>
      <c r="H3462" s="26"/>
      <c r="I3462" s="26"/>
    </row>
    <row r="3463" spans="6:9" x14ac:dyDescent="0.3">
      <c r="F3463" s="26"/>
      <c r="G3463" s="26"/>
      <c r="H3463" s="26"/>
      <c r="I3463" s="26"/>
    </row>
    <row r="3464" spans="6:9" x14ac:dyDescent="0.3">
      <c r="F3464" s="26"/>
      <c r="G3464" s="26"/>
      <c r="H3464" s="26"/>
      <c r="I3464" s="26"/>
    </row>
    <row r="3465" spans="6:9" x14ac:dyDescent="0.3">
      <c r="F3465" s="26"/>
      <c r="G3465" s="26"/>
      <c r="H3465" s="26"/>
      <c r="I3465" s="26"/>
    </row>
    <row r="3466" spans="6:9" x14ac:dyDescent="0.3">
      <c r="F3466" s="26"/>
      <c r="G3466" s="26"/>
      <c r="H3466" s="26"/>
      <c r="I3466" s="26"/>
    </row>
    <row r="3467" spans="6:9" x14ac:dyDescent="0.3">
      <c r="F3467" s="26"/>
      <c r="G3467" s="26"/>
      <c r="H3467" s="26"/>
      <c r="I3467" s="26"/>
    </row>
    <row r="3468" spans="6:9" x14ac:dyDescent="0.3">
      <c r="F3468" s="26"/>
      <c r="G3468" s="26"/>
      <c r="H3468" s="26"/>
      <c r="I3468" s="26"/>
    </row>
    <row r="3469" spans="6:9" x14ac:dyDescent="0.3">
      <c r="F3469" s="26"/>
      <c r="G3469" s="26"/>
      <c r="H3469" s="26"/>
      <c r="I3469" s="26"/>
    </row>
    <row r="3470" spans="6:9" x14ac:dyDescent="0.3">
      <c r="F3470" s="26"/>
      <c r="G3470" s="26"/>
      <c r="H3470" s="26"/>
      <c r="I3470" s="26"/>
    </row>
    <row r="3471" spans="6:9" x14ac:dyDescent="0.3">
      <c r="F3471" s="26"/>
      <c r="G3471" s="26"/>
      <c r="H3471" s="26"/>
      <c r="I3471" s="26"/>
    </row>
    <row r="3472" spans="6:9" x14ac:dyDescent="0.3">
      <c r="F3472" s="26"/>
      <c r="G3472" s="26"/>
      <c r="H3472" s="26"/>
      <c r="I3472" s="26"/>
    </row>
    <row r="3473" spans="6:9" x14ac:dyDescent="0.3">
      <c r="F3473" s="26"/>
      <c r="G3473" s="26"/>
      <c r="H3473" s="26"/>
      <c r="I3473" s="26"/>
    </row>
    <row r="3474" spans="6:9" x14ac:dyDescent="0.3">
      <c r="F3474" s="26"/>
      <c r="G3474" s="26"/>
      <c r="H3474" s="26"/>
      <c r="I3474" s="26"/>
    </row>
    <row r="3475" spans="6:9" x14ac:dyDescent="0.3">
      <c r="F3475" s="26"/>
      <c r="G3475" s="26"/>
      <c r="H3475" s="26"/>
      <c r="I3475" s="26"/>
    </row>
    <row r="3476" spans="6:9" x14ac:dyDescent="0.3">
      <c r="F3476" s="26"/>
      <c r="G3476" s="26"/>
      <c r="H3476" s="26"/>
      <c r="I3476" s="26"/>
    </row>
    <row r="3477" spans="6:9" x14ac:dyDescent="0.3">
      <c r="F3477" s="26"/>
      <c r="G3477" s="26"/>
      <c r="H3477" s="26"/>
      <c r="I3477" s="26"/>
    </row>
    <row r="3478" spans="6:9" x14ac:dyDescent="0.3">
      <c r="F3478" s="26"/>
      <c r="G3478" s="26"/>
      <c r="H3478" s="26"/>
      <c r="I3478" s="26"/>
    </row>
    <row r="3479" spans="6:9" x14ac:dyDescent="0.3">
      <c r="F3479" s="26"/>
      <c r="G3479" s="26"/>
      <c r="H3479" s="26"/>
      <c r="I3479" s="26"/>
    </row>
    <row r="3480" spans="6:9" x14ac:dyDescent="0.3">
      <c r="F3480" s="26"/>
      <c r="G3480" s="26"/>
      <c r="H3480" s="26"/>
      <c r="I3480" s="26"/>
    </row>
    <row r="3481" spans="6:9" x14ac:dyDescent="0.3">
      <c r="F3481" s="26"/>
      <c r="G3481" s="26"/>
      <c r="H3481" s="26"/>
      <c r="I3481" s="26"/>
    </row>
    <row r="3482" spans="6:9" x14ac:dyDescent="0.3">
      <c r="F3482" s="26"/>
      <c r="G3482" s="26"/>
      <c r="H3482" s="26"/>
      <c r="I3482" s="26"/>
    </row>
    <row r="3483" spans="6:9" x14ac:dyDescent="0.3">
      <c r="F3483" s="26"/>
      <c r="G3483" s="26"/>
      <c r="H3483" s="26"/>
      <c r="I3483" s="26"/>
    </row>
    <row r="3484" spans="6:9" x14ac:dyDescent="0.3">
      <c r="F3484" s="26"/>
      <c r="G3484" s="26"/>
      <c r="H3484" s="26"/>
      <c r="I3484" s="26"/>
    </row>
    <row r="3485" spans="6:9" x14ac:dyDescent="0.3">
      <c r="F3485" s="26"/>
      <c r="G3485" s="26"/>
      <c r="H3485" s="26"/>
      <c r="I3485" s="26"/>
    </row>
    <row r="3486" spans="6:9" x14ac:dyDescent="0.3">
      <c r="F3486" s="26"/>
      <c r="G3486" s="26"/>
      <c r="H3486" s="26"/>
      <c r="I3486" s="26"/>
    </row>
    <row r="3487" spans="6:9" x14ac:dyDescent="0.3">
      <c r="F3487" s="26"/>
      <c r="G3487" s="26"/>
      <c r="H3487" s="26"/>
      <c r="I3487" s="26"/>
    </row>
    <row r="3488" spans="6:9" x14ac:dyDescent="0.3">
      <c r="F3488" s="26"/>
      <c r="G3488" s="26"/>
      <c r="H3488" s="26"/>
      <c r="I3488" s="26"/>
    </row>
    <row r="3489" spans="6:9" x14ac:dyDescent="0.3">
      <c r="F3489" s="26"/>
      <c r="G3489" s="26"/>
      <c r="H3489" s="26"/>
      <c r="I3489" s="26"/>
    </row>
    <row r="3490" spans="6:9" x14ac:dyDescent="0.3">
      <c r="F3490" s="26"/>
      <c r="G3490" s="26"/>
      <c r="H3490" s="26"/>
      <c r="I3490" s="26"/>
    </row>
    <row r="3491" spans="6:9" x14ac:dyDescent="0.3">
      <c r="F3491" s="26"/>
      <c r="G3491" s="26"/>
      <c r="H3491" s="26"/>
      <c r="I3491" s="26"/>
    </row>
    <row r="3492" spans="6:9" x14ac:dyDescent="0.3">
      <c r="F3492" s="26"/>
      <c r="G3492" s="26"/>
      <c r="H3492" s="26"/>
      <c r="I3492" s="26"/>
    </row>
    <row r="3493" spans="6:9" x14ac:dyDescent="0.3">
      <c r="F3493" s="26"/>
      <c r="G3493" s="26"/>
      <c r="H3493" s="26"/>
      <c r="I3493" s="26"/>
    </row>
    <row r="3494" spans="6:9" x14ac:dyDescent="0.3">
      <c r="F3494" s="26"/>
      <c r="G3494" s="26"/>
      <c r="H3494" s="26"/>
      <c r="I3494" s="26"/>
    </row>
    <row r="3495" spans="6:9" x14ac:dyDescent="0.3">
      <c r="F3495" s="26"/>
      <c r="G3495" s="26"/>
      <c r="H3495" s="26"/>
      <c r="I3495" s="26"/>
    </row>
    <row r="3496" spans="6:9" x14ac:dyDescent="0.3">
      <c r="F3496" s="26"/>
      <c r="G3496" s="26"/>
      <c r="H3496" s="26"/>
      <c r="I3496" s="26"/>
    </row>
    <row r="3497" spans="6:9" x14ac:dyDescent="0.3">
      <c r="F3497" s="26"/>
      <c r="G3497" s="26"/>
      <c r="H3497" s="26"/>
      <c r="I3497" s="26"/>
    </row>
    <row r="3498" spans="6:9" x14ac:dyDescent="0.3">
      <c r="F3498" s="26"/>
      <c r="G3498" s="26"/>
      <c r="H3498" s="26"/>
      <c r="I3498" s="26"/>
    </row>
    <row r="3499" spans="6:9" x14ac:dyDescent="0.3">
      <c r="F3499" s="26"/>
      <c r="G3499" s="26"/>
      <c r="H3499" s="26"/>
      <c r="I3499" s="26"/>
    </row>
    <row r="3500" spans="6:9" x14ac:dyDescent="0.3">
      <c r="F3500" s="26"/>
      <c r="G3500" s="26"/>
      <c r="H3500" s="26"/>
      <c r="I3500" s="26"/>
    </row>
    <row r="3501" spans="6:9" x14ac:dyDescent="0.3">
      <c r="F3501" s="26"/>
      <c r="G3501" s="26"/>
      <c r="H3501" s="26"/>
      <c r="I3501" s="26"/>
    </row>
    <row r="3502" spans="6:9" x14ac:dyDescent="0.3">
      <c r="F3502" s="26"/>
      <c r="G3502" s="26"/>
      <c r="H3502" s="26"/>
      <c r="I3502" s="26"/>
    </row>
    <row r="3503" spans="6:9" x14ac:dyDescent="0.3">
      <c r="F3503" s="26"/>
      <c r="G3503" s="26"/>
      <c r="H3503" s="26"/>
      <c r="I3503" s="26"/>
    </row>
    <row r="3504" spans="6:9" x14ac:dyDescent="0.3">
      <c r="F3504" s="26"/>
      <c r="G3504" s="26"/>
      <c r="H3504" s="26"/>
      <c r="I3504" s="26"/>
    </row>
    <row r="3505" spans="6:9" x14ac:dyDescent="0.3">
      <c r="F3505" s="26"/>
      <c r="G3505" s="26"/>
      <c r="H3505" s="26"/>
      <c r="I3505" s="26"/>
    </row>
    <row r="3506" spans="6:9" x14ac:dyDescent="0.3">
      <c r="F3506" s="26"/>
      <c r="G3506" s="26"/>
      <c r="H3506" s="26"/>
      <c r="I3506" s="26"/>
    </row>
    <row r="3507" spans="6:9" x14ac:dyDescent="0.3">
      <c r="F3507" s="26"/>
      <c r="G3507" s="26"/>
      <c r="H3507" s="26"/>
      <c r="I3507" s="26"/>
    </row>
    <row r="3508" spans="6:9" x14ac:dyDescent="0.3">
      <c r="F3508" s="26"/>
      <c r="G3508" s="26"/>
      <c r="H3508" s="26"/>
      <c r="I3508" s="26"/>
    </row>
    <row r="3509" spans="6:9" x14ac:dyDescent="0.3">
      <c r="F3509" s="26"/>
      <c r="G3509" s="26"/>
      <c r="H3509" s="26"/>
      <c r="I3509" s="26"/>
    </row>
    <row r="3510" spans="6:9" x14ac:dyDescent="0.3">
      <c r="F3510" s="26"/>
      <c r="G3510" s="26"/>
      <c r="H3510" s="26"/>
      <c r="I3510" s="26"/>
    </row>
    <row r="3511" spans="6:9" x14ac:dyDescent="0.3">
      <c r="F3511" s="26"/>
      <c r="G3511" s="26"/>
      <c r="H3511" s="26"/>
      <c r="I3511" s="26"/>
    </row>
    <row r="3512" spans="6:9" x14ac:dyDescent="0.3">
      <c r="F3512" s="26"/>
      <c r="G3512" s="26"/>
      <c r="H3512" s="26"/>
      <c r="I3512" s="26"/>
    </row>
    <row r="3513" spans="6:9" x14ac:dyDescent="0.3">
      <c r="F3513" s="26"/>
      <c r="G3513" s="26"/>
      <c r="H3513" s="26"/>
      <c r="I3513" s="26"/>
    </row>
    <row r="3514" spans="6:9" x14ac:dyDescent="0.3">
      <c r="F3514" s="26"/>
      <c r="G3514" s="26"/>
      <c r="H3514" s="26"/>
      <c r="I3514" s="26"/>
    </row>
    <row r="3515" spans="6:9" x14ac:dyDescent="0.3">
      <c r="F3515" s="26"/>
      <c r="G3515" s="26"/>
      <c r="H3515" s="26"/>
      <c r="I3515" s="26"/>
    </row>
    <row r="3516" spans="6:9" x14ac:dyDescent="0.3">
      <c r="F3516" s="26"/>
      <c r="G3516" s="26"/>
      <c r="H3516" s="26"/>
      <c r="I3516" s="26"/>
    </row>
    <row r="3517" spans="6:9" x14ac:dyDescent="0.3">
      <c r="F3517" s="26"/>
      <c r="G3517" s="26"/>
      <c r="H3517" s="26"/>
      <c r="I3517" s="26"/>
    </row>
    <row r="3518" spans="6:9" x14ac:dyDescent="0.3">
      <c r="F3518" s="26"/>
      <c r="G3518" s="26"/>
      <c r="H3518" s="26"/>
      <c r="I3518" s="26"/>
    </row>
    <row r="3519" spans="6:9" x14ac:dyDescent="0.3">
      <c r="F3519" s="26"/>
      <c r="G3519" s="26"/>
      <c r="H3519" s="26"/>
      <c r="I3519" s="26"/>
    </row>
    <row r="3520" spans="6:9" x14ac:dyDescent="0.3">
      <c r="F3520" s="26"/>
      <c r="G3520" s="26"/>
      <c r="H3520" s="26"/>
      <c r="I3520" s="26"/>
    </row>
    <row r="3521" spans="6:9" x14ac:dyDescent="0.3">
      <c r="F3521" s="26"/>
      <c r="G3521" s="26"/>
      <c r="H3521" s="26"/>
      <c r="I3521" s="26"/>
    </row>
    <row r="3522" spans="6:9" x14ac:dyDescent="0.3">
      <c r="F3522" s="26"/>
      <c r="G3522" s="26"/>
      <c r="H3522" s="26"/>
      <c r="I3522" s="26"/>
    </row>
    <row r="3523" spans="6:9" x14ac:dyDescent="0.3">
      <c r="F3523" s="26"/>
      <c r="G3523" s="26"/>
      <c r="H3523" s="26"/>
      <c r="I3523" s="26"/>
    </row>
    <row r="3524" spans="6:9" x14ac:dyDescent="0.3">
      <c r="F3524" s="26"/>
      <c r="G3524" s="26"/>
      <c r="H3524" s="26"/>
      <c r="I3524" s="26"/>
    </row>
    <row r="3525" spans="6:9" x14ac:dyDescent="0.3">
      <c r="F3525" s="26"/>
      <c r="G3525" s="26"/>
      <c r="H3525" s="26"/>
      <c r="I3525" s="26"/>
    </row>
    <row r="3526" spans="6:9" x14ac:dyDescent="0.3">
      <c r="F3526" s="26"/>
      <c r="G3526" s="26"/>
      <c r="H3526" s="26"/>
      <c r="I3526" s="26"/>
    </row>
    <row r="3527" spans="6:9" x14ac:dyDescent="0.3">
      <c r="F3527" s="26"/>
      <c r="G3527" s="26"/>
      <c r="H3527" s="26"/>
      <c r="I3527" s="26"/>
    </row>
    <row r="3528" spans="6:9" x14ac:dyDescent="0.3">
      <c r="F3528" s="26"/>
      <c r="G3528" s="26"/>
      <c r="H3528" s="26"/>
      <c r="I3528" s="26"/>
    </row>
    <row r="3529" spans="6:9" x14ac:dyDescent="0.3">
      <c r="F3529" s="26"/>
      <c r="G3529" s="26"/>
      <c r="H3529" s="26"/>
      <c r="I3529" s="26"/>
    </row>
    <row r="3530" spans="6:9" x14ac:dyDescent="0.3">
      <c r="F3530" s="26"/>
      <c r="G3530" s="26"/>
      <c r="H3530" s="26"/>
      <c r="I3530" s="26"/>
    </row>
    <row r="3531" spans="6:9" x14ac:dyDescent="0.3">
      <c r="F3531" s="26"/>
      <c r="G3531" s="26"/>
      <c r="H3531" s="26"/>
      <c r="I3531" s="26"/>
    </row>
    <row r="3532" spans="6:9" x14ac:dyDescent="0.3">
      <c r="F3532" s="26"/>
      <c r="G3532" s="26"/>
      <c r="H3532" s="26"/>
      <c r="I3532" s="26"/>
    </row>
    <row r="3533" spans="6:9" x14ac:dyDescent="0.3">
      <c r="F3533" s="26"/>
      <c r="G3533" s="26"/>
      <c r="H3533" s="26"/>
      <c r="I3533" s="26"/>
    </row>
    <row r="3534" spans="6:9" x14ac:dyDescent="0.3">
      <c r="F3534" s="26"/>
      <c r="G3534" s="26"/>
      <c r="H3534" s="26"/>
      <c r="I3534" s="26"/>
    </row>
    <row r="3535" spans="6:9" x14ac:dyDescent="0.3">
      <c r="F3535" s="26"/>
      <c r="G3535" s="26"/>
      <c r="H3535" s="26"/>
      <c r="I3535" s="26"/>
    </row>
    <row r="3536" spans="6:9" x14ac:dyDescent="0.3">
      <c r="F3536" s="26"/>
      <c r="G3536" s="26"/>
      <c r="H3536" s="26"/>
      <c r="I3536" s="26"/>
    </row>
    <row r="3537" spans="6:9" x14ac:dyDescent="0.3">
      <c r="F3537" s="26"/>
      <c r="G3537" s="26"/>
      <c r="H3537" s="26"/>
      <c r="I3537" s="26"/>
    </row>
    <row r="3538" spans="6:9" x14ac:dyDescent="0.3">
      <c r="F3538" s="26"/>
      <c r="G3538" s="26"/>
      <c r="H3538" s="26"/>
      <c r="I3538" s="26"/>
    </row>
    <row r="3539" spans="6:9" x14ac:dyDescent="0.3">
      <c r="F3539" s="26"/>
      <c r="G3539" s="26"/>
      <c r="H3539" s="26"/>
      <c r="I3539" s="26"/>
    </row>
    <row r="3540" spans="6:9" x14ac:dyDescent="0.3">
      <c r="F3540" s="26"/>
      <c r="G3540" s="26"/>
      <c r="H3540" s="26"/>
      <c r="I3540" s="26"/>
    </row>
    <row r="3541" spans="6:9" x14ac:dyDescent="0.3">
      <c r="F3541" s="26"/>
      <c r="G3541" s="26"/>
      <c r="H3541" s="26"/>
      <c r="I3541" s="26"/>
    </row>
    <row r="3542" spans="6:9" x14ac:dyDescent="0.3">
      <c r="F3542" s="26"/>
      <c r="G3542" s="26"/>
      <c r="H3542" s="26"/>
      <c r="I3542" s="26"/>
    </row>
    <row r="3543" spans="6:9" x14ac:dyDescent="0.3">
      <c r="F3543" s="26"/>
      <c r="G3543" s="26"/>
      <c r="H3543" s="26"/>
      <c r="I3543" s="26"/>
    </row>
    <row r="3544" spans="6:9" x14ac:dyDescent="0.3">
      <c r="F3544" s="26"/>
      <c r="G3544" s="26"/>
      <c r="H3544" s="26"/>
      <c r="I3544" s="26"/>
    </row>
    <row r="3545" spans="6:9" x14ac:dyDescent="0.3">
      <c r="F3545" s="26"/>
      <c r="G3545" s="26"/>
      <c r="H3545" s="26"/>
      <c r="I3545" s="26"/>
    </row>
    <row r="3546" spans="6:9" x14ac:dyDescent="0.3">
      <c r="F3546" s="26"/>
      <c r="G3546" s="26"/>
      <c r="H3546" s="26"/>
      <c r="I3546" s="26"/>
    </row>
    <row r="3547" spans="6:9" x14ac:dyDescent="0.3">
      <c r="F3547" s="26"/>
      <c r="G3547" s="26"/>
      <c r="H3547" s="26"/>
      <c r="I3547" s="26"/>
    </row>
    <row r="3548" spans="6:9" x14ac:dyDescent="0.3">
      <c r="F3548" s="26"/>
      <c r="G3548" s="26"/>
      <c r="H3548" s="26"/>
      <c r="I3548" s="26"/>
    </row>
    <row r="3549" spans="6:9" x14ac:dyDescent="0.3">
      <c r="F3549" s="26"/>
      <c r="G3549" s="26"/>
      <c r="H3549" s="26"/>
      <c r="I3549" s="26"/>
    </row>
    <row r="3550" spans="6:9" x14ac:dyDescent="0.3">
      <c r="F3550" s="26"/>
      <c r="G3550" s="26"/>
      <c r="H3550" s="26"/>
      <c r="I3550" s="26"/>
    </row>
    <row r="3551" spans="6:9" x14ac:dyDescent="0.3">
      <c r="F3551" s="26"/>
      <c r="G3551" s="26"/>
      <c r="H3551" s="26"/>
      <c r="I3551" s="26"/>
    </row>
    <row r="3552" spans="6:9" x14ac:dyDescent="0.3">
      <c r="F3552" s="26"/>
      <c r="G3552" s="26"/>
      <c r="H3552" s="26"/>
      <c r="I3552" s="26"/>
    </row>
    <row r="3553" spans="6:9" x14ac:dyDescent="0.3">
      <c r="F3553" s="26"/>
      <c r="G3553" s="26"/>
      <c r="H3553" s="26"/>
      <c r="I3553" s="26"/>
    </row>
    <row r="3554" spans="6:9" x14ac:dyDescent="0.3">
      <c r="F3554" s="26"/>
      <c r="G3554" s="26"/>
      <c r="H3554" s="26"/>
      <c r="I3554" s="26"/>
    </row>
    <row r="3555" spans="6:9" x14ac:dyDescent="0.3">
      <c r="F3555" s="26"/>
      <c r="G3555" s="26"/>
      <c r="H3555" s="26"/>
      <c r="I3555" s="26"/>
    </row>
    <row r="3556" spans="6:9" x14ac:dyDescent="0.3">
      <c r="F3556" s="26"/>
      <c r="G3556" s="26"/>
      <c r="H3556" s="26"/>
      <c r="I3556" s="26"/>
    </row>
    <row r="3557" spans="6:9" x14ac:dyDescent="0.3">
      <c r="F3557" s="26"/>
      <c r="G3557" s="26"/>
      <c r="H3557" s="26"/>
      <c r="I3557" s="26"/>
    </row>
    <row r="3558" spans="6:9" x14ac:dyDescent="0.3">
      <c r="F3558" s="26"/>
      <c r="G3558" s="26"/>
      <c r="H3558" s="26"/>
      <c r="I3558" s="26"/>
    </row>
    <row r="3559" spans="6:9" x14ac:dyDescent="0.3">
      <c r="F3559" s="26"/>
      <c r="G3559" s="26"/>
      <c r="H3559" s="26"/>
      <c r="I3559" s="26"/>
    </row>
    <row r="3560" spans="6:9" x14ac:dyDescent="0.3">
      <c r="F3560" s="26"/>
      <c r="G3560" s="26"/>
      <c r="H3560" s="26"/>
      <c r="I3560" s="26"/>
    </row>
    <row r="3561" spans="6:9" x14ac:dyDescent="0.3">
      <c r="F3561" s="26"/>
      <c r="G3561" s="26"/>
      <c r="H3561" s="26"/>
      <c r="I3561" s="26"/>
    </row>
    <row r="3562" spans="6:9" x14ac:dyDescent="0.3">
      <c r="F3562" s="26"/>
      <c r="G3562" s="26"/>
      <c r="H3562" s="26"/>
      <c r="I3562" s="26"/>
    </row>
    <row r="3563" spans="6:9" x14ac:dyDescent="0.3">
      <c r="F3563" s="26"/>
      <c r="G3563" s="26"/>
      <c r="H3563" s="26"/>
      <c r="I3563" s="26"/>
    </row>
    <row r="3564" spans="6:9" x14ac:dyDescent="0.3">
      <c r="F3564" s="26"/>
      <c r="G3564" s="26"/>
      <c r="H3564" s="26"/>
      <c r="I3564" s="26"/>
    </row>
    <row r="3565" spans="6:9" x14ac:dyDescent="0.3">
      <c r="F3565" s="26"/>
      <c r="G3565" s="26"/>
      <c r="H3565" s="26"/>
      <c r="I3565" s="26"/>
    </row>
    <row r="3566" spans="6:9" x14ac:dyDescent="0.3">
      <c r="F3566" s="26"/>
      <c r="G3566" s="26"/>
      <c r="H3566" s="26"/>
      <c r="I3566" s="26"/>
    </row>
    <row r="3567" spans="6:9" x14ac:dyDescent="0.3">
      <c r="F3567" s="26"/>
      <c r="G3567" s="26"/>
      <c r="H3567" s="26"/>
      <c r="I3567" s="26"/>
    </row>
    <row r="3568" spans="6:9" x14ac:dyDescent="0.3">
      <c r="F3568" s="26"/>
      <c r="G3568" s="26"/>
      <c r="H3568" s="26"/>
      <c r="I3568" s="26"/>
    </row>
    <row r="3569" spans="6:9" x14ac:dyDescent="0.3">
      <c r="F3569" s="26"/>
      <c r="G3569" s="26"/>
      <c r="H3569" s="26"/>
      <c r="I3569" s="26"/>
    </row>
    <row r="3570" spans="6:9" x14ac:dyDescent="0.3">
      <c r="F3570" s="26"/>
      <c r="G3570" s="26"/>
      <c r="H3570" s="26"/>
      <c r="I3570" s="26"/>
    </row>
    <row r="3571" spans="6:9" x14ac:dyDescent="0.3">
      <c r="F3571" s="26"/>
      <c r="G3571" s="26"/>
      <c r="H3571" s="26"/>
      <c r="I3571" s="26"/>
    </row>
    <row r="3572" spans="6:9" x14ac:dyDescent="0.3">
      <c r="F3572" s="26"/>
      <c r="G3572" s="26"/>
      <c r="H3572" s="26"/>
      <c r="I3572" s="26"/>
    </row>
    <row r="3573" spans="6:9" x14ac:dyDescent="0.3">
      <c r="F3573" s="26"/>
      <c r="G3573" s="26"/>
      <c r="H3573" s="26"/>
      <c r="I3573" s="26"/>
    </row>
    <row r="3574" spans="6:9" x14ac:dyDescent="0.3">
      <c r="F3574" s="26"/>
      <c r="G3574" s="26"/>
      <c r="H3574" s="26"/>
      <c r="I3574" s="26"/>
    </row>
    <row r="3575" spans="6:9" x14ac:dyDescent="0.3">
      <c r="F3575" s="26"/>
      <c r="G3575" s="26"/>
      <c r="H3575" s="26"/>
      <c r="I3575" s="26"/>
    </row>
    <row r="3576" spans="6:9" x14ac:dyDescent="0.3">
      <c r="F3576" s="26"/>
      <c r="G3576" s="26"/>
      <c r="H3576" s="26"/>
      <c r="I3576" s="26"/>
    </row>
    <row r="3577" spans="6:9" x14ac:dyDescent="0.3">
      <c r="F3577" s="26"/>
      <c r="G3577" s="26"/>
      <c r="H3577" s="26"/>
      <c r="I3577" s="26"/>
    </row>
    <row r="3578" spans="6:9" x14ac:dyDescent="0.3">
      <c r="F3578" s="26"/>
      <c r="G3578" s="26"/>
      <c r="H3578" s="26"/>
      <c r="I3578" s="26"/>
    </row>
    <row r="3579" spans="6:9" x14ac:dyDescent="0.3">
      <c r="F3579" s="26"/>
      <c r="G3579" s="26"/>
      <c r="H3579" s="26"/>
      <c r="I3579" s="26"/>
    </row>
    <row r="3580" spans="6:9" x14ac:dyDescent="0.3">
      <c r="F3580" s="26"/>
      <c r="G3580" s="26"/>
      <c r="H3580" s="26"/>
      <c r="I3580" s="26"/>
    </row>
    <row r="3581" spans="6:9" x14ac:dyDescent="0.3">
      <c r="F3581" s="26"/>
      <c r="G3581" s="26"/>
      <c r="H3581" s="26"/>
      <c r="I3581" s="26"/>
    </row>
    <row r="3582" spans="6:9" x14ac:dyDescent="0.3">
      <c r="F3582" s="26"/>
      <c r="G3582" s="26"/>
      <c r="H3582" s="26"/>
      <c r="I3582" s="26"/>
    </row>
    <row r="3583" spans="6:9" x14ac:dyDescent="0.3">
      <c r="F3583" s="26"/>
      <c r="G3583" s="26"/>
      <c r="H3583" s="26"/>
      <c r="I3583" s="26"/>
    </row>
    <row r="3584" spans="6:9" x14ac:dyDescent="0.3">
      <c r="F3584" s="26"/>
      <c r="G3584" s="26"/>
      <c r="H3584" s="26"/>
      <c r="I3584" s="26"/>
    </row>
    <row r="3585" spans="6:9" x14ac:dyDescent="0.3">
      <c r="F3585" s="26"/>
      <c r="G3585" s="26"/>
      <c r="H3585" s="26"/>
      <c r="I3585" s="26"/>
    </row>
    <row r="3586" spans="6:9" x14ac:dyDescent="0.3">
      <c r="F3586" s="26"/>
      <c r="G3586" s="26"/>
      <c r="H3586" s="26"/>
      <c r="I3586" s="26"/>
    </row>
    <row r="3587" spans="6:9" x14ac:dyDescent="0.3">
      <c r="F3587" s="26"/>
      <c r="G3587" s="26"/>
      <c r="H3587" s="26"/>
      <c r="I3587" s="26"/>
    </row>
    <row r="3588" spans="6:9" x14ac:dyDescent="0.3">
      <c r="F3588" s="26"/>
      <c r="G3588" s="26"/>
      <c r="H3588" s="26"/>
      <c r="I3588" s="26"/>
    </row>
    <row r="3589" spans="6:9" x14ac:dyDescent="0.3">
      <c r="F3589" s="26"/>
      <c r="G3589" s="26"/>
      <c r="H3589" s="26"/>
      <c r="I3589" s="26"/>
    </row>
    <row r="3590" spans="6:9" x14ac:dyDescent="0.3">
      <c r="F3590" s="26"/>
      <c r="G3590" s="26"/>
      <c r="H3590" s="26"/>
      <c r="I3590" s="26"/>
    </row>
    <row r="3591" spans="6:9" x14ac:dyDescent="0.3">
      <c r="F3591" s="26"/>
      <c r="G3591" s="26"/>
      <c r="H3591" s="26"/>
      <c r="I3591" s="26"/>
    </row>
    <row r="3592" spans="6:9" x14ac:dyDescent="0.3">
      <c r="F3592" s="26"/>
      <c r="G3592" s="26"/>
      <c r="H3592" s="26"/>
      <c r="I3592" s="26"/>
    </row>
    <row r="3593" spans="6:9" x14ac:dyDescent="0.3">
      <c r="F3593" s="26"/>
      <c r="G3593" s="26"/>
      <c r="H3593" s="26"/>
      <c r="I3593" s="26"/>
    </row>
    <row r="3594" spans="6:9" x14ac:dyDescent="0.3">
      <c r="F3594" s="26"/>
      <c r="G3594" s="26"/>
      <c r="H3594" s="26"/>
      <c r="I3594" s="26"/>
    </row>
    <row r="3595" spans="6:9" x14ac:dyDescent="0.3">
      <c r="F3595" s="26"/>
      <c r="G3595" s="26"/>
      <c r="H3595" s="26"/>
      <c r="I3595" s="26"/>
    </row>
    <row r="3596" spans="6:9" x14ac:dyDescent="0.3">
      <c r="F3596" s="26"/>
      <c r="G3596" s="26"/>
      <c r="H3596" s="26"/>
      <c r="I3596" s="26"/>
    </row>
    <row r="3597" spans="6:9" x14ac:dyDescent="0.3">
      <c r="F3597" s="26"/>
      <c r="G3597" s="26"/>
      <c r="H3597" s="26"/>
      <c r="I3597" s="26"/>
    </row>
    <row r="3598" spans="6:9" x14ac:dyDescent="0.3">
      <c r="F3598" s="26"/>
      <c r="G3598" s="26"/>
      <c r="H3598" s="26"/>
      <c r="I3598" s="26"/>
    </row>
    <row r="3599" spans="6:9" x14ac:dyDescent="0.3">
      <c r="F3599" s="26"/>
      <c r="G3599" s="26"/>
      <c r="H3599" s="26"/>
      <c r="I3599" s="26"/>
    </row>
    <row r="3600" spans="6:9" x14ac:dyDescent="0.3">
      <c r="F3600" s="26"/>
      <c r="G3600" s="26"/>
      <c r="H3600" s="26"/>
      <c r="I3600" s="26"/>
    </row>
    <row r="3601" spans="6:9" x14ac:dyDescent="0.3">
      <c r="F3601" s="26"/>
      <c r="G3601" s="26"/>
      <c r="H3601" s="26"/>
      <c r="I3601" s="26"/>
    </row>
    <row r="3602" spans="6:9" x14ac:dyDescent="0.3">
      <c r="F3602" s="26"/>
      <c r="G3602" s="26"/>
      <c r="H3602" s="26"/>
      <c r="I3602" s="26"/>
    </row>
    <row r="3603" spans="6:9" x14ac:dyDescent="0.3">
      <c r="F3603" s="26"/>
      <c r="G3603" s="26"/>
      <c r="H3603" s="26"/>
      <c r="I3603" s="26"/>
    </row>
    <row r="3604" spans="6:9" x14ac:dyDescent="0.3">
      <c r="F3604" s="26"/>
      <c r="G3604" s="26"/>
      <c r="H3604" s="26"/>
      <c r="I3604" s="26"/>
    </row>
    <row r="3605" spans="6:9" x14ac:dyDescent="0.3">
      <c r="F3605" s="26"/>
      <c r="G3605" s="26"/>
      <c r="H3605" s="26"/>
      <c r="I3605" s="26"/>
    </row>
    <row r="3606" spans="6:9" x14ac:dyDescent="0.3">
      <c r="F3606" s="26"/>
      <c r="G3606" s="26"/>
      <c r="H3606" s="26"/>
      <c r="I3606" s="26"/>
    </row>
    <row r="3607" spans="6:9" x14ac:dyDescent="0.3">
      <c r="F3607" s="26"/>
      <c r="G3607" s="26"/>
      <c r="H3607" s="26"/>
      <c r="I3607" s="26"/>
    </row>
    <row r="3608" spans="6:9" x14ac:dyDescent="0.3">
      <c r="F3608" s="26"/>
      <c r="G3608" s="26"/>
      <c r="H3608" s="26"/>
      <c r="I3608" s="26"/>
    </row>
    <row r="3609" spans="6:9" x14ac:dyDescent="0.3">
      <c r="F3609" s="26"/>
      <c r="G3609" s="26"/>
      <c r="H3609" s="26"/>
      <c r="I3609" s="26"/>
    </row>
    <row r="3610" spans="6:9" x14ac:dyDescent="0.3">
      <c r="F3610" s="26"/>
      <c r="G3610" s="26"/>
      <c r="H3610" s="26"/>
      <c r="I3610" s="26"/>
    </row>
    <row r="3611" spans="6:9" x14ac:dyDescent="0.3">
      <c r="F3611" s="26"/>
      <c r="G3611" s="26"/>
      <c r="H3611" s="26"/>
      <c r="I3611" s="26"/>
    </row>
    <row r="3612" spans="6:9" x14ac:dyDescent="0.3">
      <c r="F3612" s="26"/>
      <c r="G3612" s="26"/>
      <c r="H3612" s="26"/>
      <c r="I3612" s="26"/>
    </row>
    <row r="3613" spans="6:9" x14ac:dyDescent="0.3">
      <c r="F3613" s="26"/>
      <c r="G3613" s="26"/>
      <c r="H3613" s="26"/>
      <c r="I3613" s="26"/>
    </row>
    <row r="3614" spans="6:9" x14ac:dyDescent="0.3">
      <c r="F3614" s="26"/>
      <c r="G3614" s="26"/>
      <c r="H3614" s="26"/>
      <c r="I3614" s="26"/>
    </row>
    <row r="3615" spans="6:9" x14ac:dyDescent="0.3">
      <c r="F3615" s="26"/>
      <c r="G3615" s="26"/>
      <c r="H3615" s="26"/>
      <c r="I3615" s="26"/>
    </row>
    <row r="3616" spans="6:9" x14ac:dyDescent="0.3">
      <c r="F3616" s="26"/>
      <c r="G3616" s="26"/>
      <c r="H3616" s="26"/>
      <c r="I3616" s="26"/>
    </row>
    <row r="3617" spans="6:9" x14ac:dyDescent="0.3">
      <c r="F3617" s="26"/>
      <c r="G3617" s="26"/>
      <c r="H3617" s="26"/>
      <c r="I3617" s="26"/>
    </row>
    <row r="3618" spans="6:9" x14ac:dyDescent="0.3">
      <c r="F3618" s="26"/>
      <c r="G3618" s="26"/>
      <c r="H3618" s="26"/>
      <c r="I3618" s="26"/>
    </row>
    <row r="3619" spans="6:9" x14ac:dyDescent="0.3">
      <c r="F3619" s="26"/>
      <c r="G3619" s="26"/>
      <c r="H3619" s="26"/>
      <c r="I3619" s="26"/>
    </row>
    <row r="3620" spans="6:9" x14ac:dyDescent="0.3">
      <c r="F3620" s="26"/>
      <c r="G3620" s="26"/>
      <c r="H3620" s="26"/>
      <c r="I3620" s="26"/>
    </row>
    <row r="3621" spans="6:9" x14ac:dyDescent="0.3">
      <c r="F3621" s="26"/>
      <c r="G3621" s="26"/>
      <c r="H3621" s="26"/>
      <c r="I3621" s="26"/>
    </row>
    <row r="3622" spans="6:9" x14ac:dyDescent="0.3">
      <c r="F3622" s="26"/>
      <c r="G3622" s="26"/>
      <c r="H3622" s="26"/>
      <c r="I3622" s="26"/>
    </row>
    <row r="3623" spans="6:9" x14ac:dyDescent="0.3">
      <c r="F3623" s="26"/>
      <c r="G3623" s="26"/>
      <c r="H3623" s="26"/>
      <c r="I3623" s="26"/>
    </row>
    <row r="3624" spans="6:9" x14ac:dyDescent="0.3">
      <c r="F3624" s="26"/>
      <c r="G3624" s="26"/>
      <c r="H3624" s="26"/>
      <c r="I3624" s="26"/>
    </row>
    <row r="3625" spans="6:9" x14ac:dyDescent="0.3">
      <c r="F3625" s="26"/>
      <c r="G3625" s="26"/>
      <c r="H3625" s="26"/>
      <c r="I3625" s="26"/>
    </row>
    <row r="3626" spans="6:9" x14ac:dyDescent="0.3">
      <c r="F3626" s="26"/>
      <c r="G3626" s="26"/>
      <c r="H3626" s="26"/>
      <c r="I3626" s="26"/>
    </row>
    <row r="3627" spans="6:9" x14ac:dyDescent="0.3">
      <c r="F3627" s="26"/>
      <c r="G3627" s="26"/>
      <c r="H3627" s="26"/>
      <c r="I3627" s="26"/>
    </row>
    <row r="3628" spans="6:9" x14ac:dyDescent="0.3">
      <c r="F3628" s="26"/>
      <c r="G3628" s="26"/>
      <c r="H3628" s="26"/>
      <c r="I3628" s="26"/>
    </row>
    <row r="3629" spans="6:9" x14ac:dyDescent="0.3">
      <c r="F3629" s="26"/>
      <c r="G3629" s="26"/>
      <c r="H3629" s="26"/>
      <c r="I3629" s="26"/>
    </row>
    <row r="3630" spans="6:9" x14ac:dyDescent="0.3">
      <c r="F3630" s="26"/>
      <c r="G3630" s="26"/>
      <c r="H3630" s="26"/>
      <c r="I3630" s="26"/>
    </row>
    <row r="3631" spans="6:9" x14ac:dyDescent="0.3">
      <c r="F3631" s="26"/>
      <c r="G3631" s="26"/>
      <c r="H3631" s="26"/>
      <c r="I3631" s="26"/>
    </row>
    <row r="3632" spans="6:9" x14ac:dyDescent="0.3">
      <c r="F3632" s="26"/>
      <c r="G3632" s="26"/>
      <c r="H3632" s="26"/>
      <c r="I3632" s="26"/>
    </row>
    <row r="3633" spans="6:9" x14ac:dyDescent="0.3">
      <c r="F3633" s="26"/>
      <c r="G3633" s="26"/>
      <c r="H3633" s="26"/>
      <c r="I3633" s="26"/>
    </row>
    <row r="3634" spans="6:9" x14ac:dyDescent="0.3">
      <c r="F3634" s="26"/>
      <c r="G3634" s="26"/>
      <c r="H3634" s="26"/>
      <c r="I3634" s="26"/>
    </row>
    <row r="3635" spans="6:9" x14ac:dyDescent="0.3">
      <c r="F3635" s="26"/>
      <c r="G3635" s="26"/>
      <c r="H3635" s="26"/>
      <c r="I3635" s="26"/>
    </row>
    <row r="3636" spans="6:9" x14ac:dyDescent="0.3">
      <c r="F3636" s="26"/>
      <c r="G3636" s="26"/>
      <c r="H3636" s="26"/>
      <c r="I3636" s="26"/>
    </row>
    <row r="3637" spans="6:9" x14ac:dyDescent="0.3">
      <c r="F3637" s="26"/>
      <c r="G3637" s="26"/>
      <c r="H3637" s="26"/>
      <c r="I3637" s="26"/>
    </row>
    <row r="3638" spans="6:9" x14ac:dyDescent="0.3">
      <c r="F3638" s="26"/>
      <c r="G3638" s="26"/>
      <c r="H3638" s="26"/>
      <c r="I3638" s="26"/>
    </row>
    <row r="3639" spans="6:9" x14ac:dyDescent="0.3">
      <c r="F3639" s="26"/>
      <c r="G3639" s="26"/>
      <c r="H3639" s="26"/>
      <c r="I3639" s="26"/>
    </row>
    <row r="3640" spans="6:9" x14ac:dyDescent="0.3">
      <c r="F3640" s="26"/>
      <c r="G3640" s="26"/>
      <c r="H3640" s="26"/>
      <c r="I3640" s="26"/>
    </row>
    <row r="3641" spans="6:9" x14ac:dyDescent="0.3">
      <c r="F3641" s="26"/>
      <c r="G3641" s="26"/>
      <c r="H3641" s="26"/>
      <c r="I3641" s="26"/>
    </row>
    <row r="3642" spans="6:9" x14ac:dyDescent="0.3">
      <c r="F3642" s="26"/>
      <c r="G3642" s="26"/>
      <c r="H3642" s="26"/>
      <c r="I3642" s="26"/>
    </row>
    <row r="3643" spans="6:9" x14ac:dyDescent="0.3">
      <c r="F3643" s="26"/>
      <c r="G3643" s="26"/>
      <c r="H3643" s="26"/>
      <c r="I3643" s="26"/>
    </row>
    <row r="3644" spans="6:9" x14ac:dyDescent="0.3">
      <c r="F3644" s="26"/>
      <c r="G3644" s="26"/>
      <c r="H3644" s="26"/>
      <c r="I3644" s="26"/>
    </row>
    <row r="3645" spans="6:9" x14ac:dyDescent="0.3">
      <c r="F3645" s="26"/>
      <c r="G3645" s="26"/>
      <c r="H3645" s="26"/>
      <c r="I3645" s="26"/>
    </row>
    <row r="3646" spans="6:9" x14ac:dyDescent="0.3">
      <c r="F3646" s="26"/>
      <c r="G3646" s="26"/>
      <c r="H3646" s="26"/>
      <c r="I3646" s="26"/>
    </row>
    <row r="3647" spans="6:9" x14ac:dyDescent="0.3">
      <c r="F3647" s="26"/>
      <c r="G3647" s="26"/>
      <c r="H3647" s="26"/>
      <c r="I3647" s="26"/>
    </row>
    <row r="3648" spans="6:9" x14ac:dyDescent="0.3">
      <c r="F3648" s="26"/>
      <c r="G3648" s="26"/>
      <c r="H3648" s="26"/>
      <c r="I3648" s="26"/>
    </row>
    <row r="3649" spans="6:9" x14ac:dyDescent="0.3">
      <c r="F3649" s="26"/>
      <c r="G3649" s="26"/>
      <c r="H3649" s="26"/>
      <c r="I3649" s="26"/>
    </row>
    <row r="3650" spans="6:9" x14ac:dyDescent="0.3">
      <c r="F3650" s="26"/>
      <c r="G3650" s="26"/>
      <c r="H3650" s="26"/>
      <c r="I3650" s="26"/>
    </row>
    <row r="3651" spans="6:9" x14ac:dyDescent="0.3">
      <c r="F3651" s="26"/>
      <c r="G3651" s="26"/>
      <c r="H3651" s="26"/>
      <c r="I3651" s="26"/>
    </row>
    <row r="3652" spans="6:9" x14ac:dyDescent="0.3">
      <c r="F3652" s="26"/>
      <c r="G3652" s="26"/>
      <c r="H3652" s="26"/>
      <c r="I3652" s="26"/>
    </row>
    <row r="3653" spans="6:9" x14ac:dyDescent="0.3">
      <c r="F3653" s="26"/>
      <c r="G3653" s="26"/>
      <c r="H3653" s="26"/>
      <c r="I3653" s="26"/>
    </row>
    <row r="3654" spans="6:9" x14ac:dyDescent="0.3">
      <c r="F3654" s="26"/>
      <c r="G3654" s="26"/>
      <c r="H3654" s="26"/>
      <c r="I3654" s="26"/>
    </row>
    <row r="3655" spans="6:9" x14ac:dyDescent="0.3">
      <c r="F3655" s="26"/>
      <c r="G3655" s="26"/>
      <c r="H3655" s="26"/>
      <c r="I3655" s="26"/>
    </row>
    <row r="3656" spans="6:9" x14ac:dyDescent="0.3">
      <c r="F3656" s="26"/>
      <c r="G3656" s="26"/>
      <c r="H3656" s="26"/>
      <c r="I3656" s="26"/>
    </row>
    <row r="3657" spans="6:9" x14ac:dyDescent="0.3">
      <c r="F3657" s="26"/>
      <c r="G3657" s="26"/>
      <c r="H3657" s="26"/>
      <c r="I3657" s="26"/>
    </row>
    <row r="3658" spans="6:9" x14ac:dyDescent="0.3">
      <c r="F3658" s="26"/>
      <c r="G3658" s="26"/>
      <c r="H3658" s="26"/>
      <c r="I3658" s="26"/>
    </row>
    <row r="3659" spans="6:9" x14ac:dyDescent="0.3">
      <c r="F3659" s="26"/>
      <c r="G3659" s="26"/>
      <c r="H3659" s="26"/>
      <c r="I3659" s="26"/>
    </row>
    <row r="3660" spans="6:9" x14ac:dyDescent="0.3">
      <c r="F3660" s="26"/>
      <c r="G3660" s="26"/>
      <c r="H3660" s="26"/>
      <c r="I3660" s="26"/>
    </row>
    <row r="3661" spans="6:9" x14ac:dyDescent="0.3">
      <c r="F3661" s="26"/>
      <c r="G3661" s="26"/>
      <c r="H3661" s="26"/>
      <c r="I3661" s="26"/>
    </row>
    <row r="3662" spans="6:9" x14ac:dyDescent="0.3">
      <c r="F3662" s="26"/>
      <c r="G3662" s="26"/>
      <c r="H3662" s="26"/>
      <c r="I3662" s="26"/>
    </row>
    <row r="3663" spans="6:9" x14ac:dyDescent="0.3">
      <c r="F3663" s="26"/>
      <c r="G3663" s="26"/>
      <c r="H3663" s="26"/>
      <c r="I3663" s="26"/>
    </row>
    <row r="3664" spans="6:9" x14ac:dyDescent="0.3">
      <c r="F3664" s="26"/>
      <c r="G3664" s="26"/>
      <c r="H3664" s="26"/>
      <c r="I3664" s="26"/>
    </row>
    <row r="3665" spans="6:9" x14ac:dyDescent="0.3">
      <c r="F3665" s="26"/>
      <c r="G3665" s="26"/>
      <c r="H3665" s="26"/>
      <c r="I3665" s="26"/>
    </row>
    <row r="3666" spans="6:9" x14ac:dyDescent="0.3">
      <c r="F3666" s="26"/>
      <c r="G3666" s="26"/>
      <c r="H3666" s="26"/>
      <c r="I3666" s="26"/>
    </row>
    <row r="3667" spans="6:9" x14ac:dyDescent="0.3">
      <c r="F3667" s="26"/>
      <c r="G3667" s="26"/>
      <c r="H3667" s="26"/>
      <c r="I3667" s="26"/>
    </row>
    <row r="3668" spans="6:9" x14ac:dyDescent="0.3">
      <c r="F3668" s="26"/>
      <c r="G3668" s="26"/>
      <c r="H3668" s="26"/>
      <c r="I3668" s="26"/>
    </row>
    <row r="3669" spans="6:9" x14ac:dyDescent="0.3">
      <c r="F3669" s="26"/>
      <c r="G3669" s="26"/>
      <c r="H3669" s="26"/>
      <c r="I3669" s="26"/>
    </row>
    <row r="3670" spans="6:9" x14ac:dyDescent="0.3">
      <c r="F3670" s="26"/>
      <c r="G3670" s="26"/>
      <c r="H3670" s="26"/>
      <c r="I3670" s="26"/>
    </row>
    <row r="3671" spans="6:9" x14ac:dyDescent="0.3">
      <c r="F3671" s="26"/>
      <c r="G3671" s="26"/>
      <c r="H3671" s="26"/>
      <c r="I3671" s="26"/>
    </row>
    <row r="3672" spans="6:9" x14ac:dyDescent="0.3">
      <c r="F3672" s="26"/>
      <c r="G3672" s="26"/>
      <c r="H3672" s="26"/>
      <c r="I3672" s="26"/>
    </row>
    <row r="3673" spans="6:9" x14ac:dyDescent="0.3">
      <c r="F3673" s="26"/>
      <c r="G3673" s="26"/>
      <c r="H3673" s="26"/>
      <c r="I3673" s="26"/>
    </row>
    <row r="3674" spans="6:9" x14ac:dyDescent="0.3">
      <c r="F3674" s="26"/>
      <c r="G3674" s="26"/>
      <c r="H3674" s="26"/>
      <c r="I3674" s="26"/>
    </row>
    <row r="3675" spans="6:9" x14ac:dyDescent="0.3">
      <c r="F3675" s="26"/>
      <c r="G3675" s="26"/>
      <c r="H3675" s="26"/>
      <c r="I3675" s="26"/>
    </row>
    <row r="3676" spans="6:9" x14ac:dyDescent="0.3">
      <c r="F3676" s="26"/>
      <c r="G3676" s="26"/>
      <c r="H3676" s="26"/>
      <c r="I3676" s="26"/>
    </row>
    <row r="3677" spans="6:9" x14ac:dyDescent="0.3">
      <c r="F3677" s="26"/>
      <c r="G3677" s="26"/>
      <c r="H3677" s="26"/>
      <c r="I3677" s="26"/>
    </row>
    <row r="3678" spans="6:9" x14ac:dyDescent="0.3">
      <c r="F3678" s="26"/>
      <c r="G3678" s="26"/>
      <c r="H3678" s="26"/>
      <c r="I3678" s="26"/>
    </row>
    <row r="3679" spans="6:9" x14ac:dyDescent="0.3">
      <c r="F3679" s="26"/>
      <c r="G3679" s="26"/>
      <c r="H3679" s="26"/>
      <c r="I3679" s="26"/>
    </row>
    <row r="3680" spans="6:9" x14ac:dyDescent="0.3">
      <c r="F3680" s="26"/>
      <c r="G3680" s="26"/>
      <c r="H3680" s="26"/>
      <c r="I3680" s="26"/>
    </row>
    <row r="3681" spans="6:9" x14ac:dyDescent="0.3">
      <c r="F3681" s="26"/>
      <c r="G3681" s="26"/>
      <c r="H3681" s="26"/>
      <c r="I3681" s="26"/>
    </row>
    <row r="3682" spans="6:9" x14ac:dyDescent="0.3">
      <c r="F3682" s="26"/>
      <c r="G3682" s="26"/>
      <c r="H3682" s="26"/>
      <c r="I3682" s="26"/>
    </row>
    <row r="3683" spans="6:9" x14ac:dyDescent="0.3">
      <c r="F3683" s="26"/>
      <c r="G3683" s="26"/>
      <c r="H3683" s="26"/>
      <c r="I3683" s="26"/>
    </row>
    <row r="3684" spans="6:9" x14ac:dyDescent="0.3">
      <c r="F3684" s="26"/>
      <c r="G3684" s="26"/>
      <c r="H3684" s="26"/>
      <c r="I3684" s="26"/>
    </row>
    <row r="3685" spans="6:9" x14ac:dyDescent="0.3">
      <c r="F3685" s="26"/>
      <c r="G3685" s="26"/>
      <c r="H3685" s="26"/>
      <c r="I3685" s="26"/>
    </row>
    <row r="3686" spans="6:9" x14ac:dyDescent="0.3">
      <c r="F3686" s="26"/>
      <c r="G3686" s="26"/>
      <c r="H3686" s="26"/>
      <c r="I3686" s="26"/>
    </row>
    <row r="3687" spans="6:9" x14ac:dyDescent="0.3">
      <c r="F3687" s="26"/>
      <c r="G3687" s="26"/>
      <c r="H3687" s="26"/>
      <c r="I3687" s="26"/>
    </row>
    <row r="3688" spans="6:9" x14ac:dyDescent="0.3">
      <c r="F3688" s="26"/>
      <c r="G3688" s="26"/>
      <c r="H3688" s="26"/>
      <c r="I3688" s="26"/>
    </row>
    <row r="3689" spans="6:9" x14ac:dyDescent="0.3">
      <c r="F3689" s="26"/>
      <c r="G3689" s="26"/>
      <c r="H3689" s="26"/>
      <c r="I3689" s="26"/>
    </row>
    <row r="3690" spans="6:9" x14ac:dyDescent="0.3">
      <c r="F3690" s="26"/>
      <c r="G3690" s="26"/>
      <c r="H3690" s="26"/>
      <c r="I3690" s="26"/>
    </row>
    <row r="3691" spans="6:9" x14ac:dyDescent="0.3">
      <c r="F3691" s="26"/>
      <c r="G3691" s="26"/>
      <c r="H3691" s="26"/>
      <c r="I3691" s="26"/>
    </row>
    <row r="3692" spans="6:9" x14ac:dyDescent="0.3">
      <c r="F3692" s="26"/>
      <c r="G3692" s="26"/>
      <c r="H3692" s="26"/>
      <c r="I3692" s="26"/>
    </row>
    <row r="3693" spans="6:9" x14ac:dyDescent="0.3">
      <c r="F3693" s="26"/>
      <c r="G3693" s="26"/>
      <c r="H3693" s="26"/>
      <c r="I3693" s="26"/>
    </row>
    <row r="3694" spans="6:9" x14ac:dyDescent="0.3">
      <c r="F3694" s="26"/>
      <c r="G3694" s="26"/>
      <c r="H3694" s="26"/>
      <c r="I3694" s="26"/>
    </row>
    <row r="3695" spans="6:9" x14ac:dyDescent="0.3">
      <c r="F3695" s="26"/>
      <c r="G3695" s="26"/>
      <c r="H3695" s="26"/>
      <c r="I3695" s="26"/>
    </row>
    <row r="3696" spans="6:9" x14ac:dyDescent="0.3">
      <c r="F3696" s="26"/>
      <c r="G3696" s="26"/>
      <c r="H3696" s="26"/>
      <c r="I3696" s="26"/>
    </row>
    <row r="3697" spans="6:9" x14ac:dyDescent="0.3">
      <c r="F3697" s="26"/>
      <c r="G3697" s="26"/>
      <c r="H3697" s="26"/>
      <c r="I3697" s="26"/>
    </row>
    <row r="3698" spans="6:9" x14ac:dyDescent="0.3">
      <c r="F3698" s="26"/>
      <c r="G3698" s="26"/>
      <c r="H3698" s="26"/>
      <c r="I3698" s="26"/>
    </row>
    <row r="3699" spans="6:9" x14ac:dyDescent="0.3">
      <c r="F3699" s="26"/>
      <c r="G3699" s="26"/>
      <c r="H3699" s="26"/>
      <c r="I3699" s="26"/>
    </row>
    <row r="3700" spans="6:9" x14ac:dyDescent="0.3">
      <c r="F3700" s="26"/>
      <c r="G3700" s="26"/>
      <c r="H3700" s="26"/>
      <c r="I3700" s="26"/>
    </row>
    <row r="3701" spans="6:9" x14ac:dyDescent="0.3">
      <c r="F3701" s="26"/>
      <c r="G3701" s="26"/>
      <c r="H3701" s="26"/>
      <c r="I3701" s="26"/>
    </row>
    <row r="3702" spans="6:9" x14ac:dyDescent="0.3">
      <c r="F3702" s="26"/>
      <c r="G3702" s="26"/>
      <c r="H3702" s="26"/>
      <c r="I3702" s="26"/>
    </row>
    <row r="3703" spans="6:9" x14ac:dyDescent="0.3">
      <c r="F3703" s="26"/>
      <c r="G3703" s="26"/>
      <c r="H3703" s="26"/>
      <c r="I3703" s="26"/>
    </row>
    <row r="3704" spans="6:9" x14ac:dyDescent="0.3">
      <c r="F3704" s="26"/>
      <c r="G3704" s="26"/>
      <c r="H3704" s="26"/>
      <c r="I3704" s="26"/>
    </row>
    <row r="3705" spans="6:9" x14ac:dyDescent="0.3">
      <c r="F3705" s="26"/>
      <c r="G3705" s="26"/>
      <c r="H3705" s="26"/>
      <c r="I3705" s="26"/>
    </row>
    <row r="3706" spans="6:9" x14ac:dyDescent="0.3">
      <c r="F3706" s="26"/>
      <c r="G3706" s="26"/>
      <c r="H3706" s="26"/>
      <c r="I3706" s="26"/>
    </row>
    <row r="3707" spans="6:9" x14ac:dyDescent="0.3">
      <c r="F3707" s="26"/>
      <c r="G3707" s="26"/>
      <c r="H3707" s="26"/>
      <c r="I3707" s="26"/>
    </row>
    <row r="3708" spans="6:9" x14ac:dyDescent="0.3">
      <c r="F3708" s="26"/>
      <c r="G3708" s="26"/>
      <c r="H3708" s="26"/>
      <c r="I3708" s="26"/>
    </row>
    <row r="3709" spans="6:9" x14ac:dyDescent="0.3">
      <c r="F3709" s="26"/>
      <c r="G3709" s="26"/>
      <c r="H3709" s="26"/>
      <c r="I3709" s="26"/>
    </row>
    <row r="3710" spans="6:9" x14ac:dyDescent="0.3">
      <c r="F3710" s="26"/>
      <c r="G3710" s="26"/>
      <c r="H3710" s="26"/>
      <c r="I3710" s="26"/>
    </row>
    <row r="3711" spans="6:9" x14ac:dyDescent="0.3">
      <c r="F3711" s="26"/>
      <c r="G3711" s="26"/>
      <c r="H3711" s="26"/>
      <c r="I3711" s="26"/>
    </row>
    <row r="3712" spans="6:9" x14ac:dyDescent="0.3">
      <c r="F3712" s="26"/>
      <c r="G3712" s="26"/>
      <c r="H3712" s="26"/>
      <c r="I3712" s="26"/>
    </row>
    <row r="3713" spans="6:9" x14ac:dyDescent="0.3">
      <c r="F3713" s="26"/>
      <c r="G3713" s="26"/>
      <c r="H3713" s="26"/>
      <c r="I3713" s="26"/>
    </row>
    <row r="3714" spans="6:9" x14ac:dyDescent="0.3">
      <c r="F3714" s="26"/>
      <c r="G3714" s="26"/>
      <c r="H3714" s="26"/>
      <c r="I3714" s="26"/>
    </row>
    <row r="3715" spans="6:9" x14ac:dyDescent="0.3">
      <c r="F3715" s="26"/>
      <c r="G3715" s="26"/>
      <c r="H3715" s="26"/>
      <c r="I3715" s="26"/>
    </row>
    <row r="3716" spans="6:9" x14ac:dyDescent="0.3">
      <c r="F3716" s="26"/>
      <c r="G3716" s="26"/>
      <c r="H3716" s="26"/>
      <c r="I3716" s="26"/>
    </row>
    <row r="3717" spans="6:9" x14ac:dyDescent="0.3">
      <c r="F3717" s="26"/>
      <c r="G3717" s="26"/>
      <c r="H3717" s="26"/>
      <c r="I3717" s="26"/>
    </row>
    <row r="3718" spans="6:9" x14ac:dyDescent="0.3">
      <c r="F3718" s="26"/>
      <c r="G3718" s="26"/>
      <c r="H3718" s="26"/>
      <c r="I3718" s="26"/>
    </row>
    <row r="3719" spans="6:9" x14ac:dyDescent="0.3">
      <c r="F3719" s="26"/>
      <c r="G3719" s="26"/>
      <c r="H3719" s="26"/>
      <c r="I3719" s="26"/>
    </row>
    <row r="3720" spans="6:9" x14ac:dyDescent="0.3">
      <c r="F3720" s="26"/>
      <c r="G3720" s="26"/>
      <c r="H3720" s="26"/>
      <c r="I3720" s="26"/>
    </row>
    <row r="3721" spans="6:9" x14ac:dyDescent="0.3">
      <c r="F3721" s="26"/>
      <c r="G3721" s="26"/>
      <c r="H3721" s="26"/>
      <c r="I3721" s="26"/>
    </row>
    <row r="3722" spans="6:9" x14ac:dyDescent="0.3">
      <c r="F3722" s="26"/>
      <c r="G3722" s="26"/>
      <c r="H3722" s="26"/>
      <c r="I3722" s="26"/>
    </row>
    <row r="3723" spans="6:9" x14ac:dyDescent="0.3">
      <c r="F3723" s="26"/>
      <c r="G3723" s="26"/>
      <c r="H3723" s="26"/>
      <c r="I3723" s="26"/>
    </row>
    <row r="3724" spans="6:9" x14ac:dyDescent="0.3">
      <c r="F3724" s="26"/>
      <c r="G3724" s="26"/>
      <c r="H3724" s="26"/>
      <c r="I3724" s="26"/>
    </row>
    <row r="3725" spans="6:9" x14ac:dyDescent="0.3">
      <c r="F3725" s="26"/>
      <c r="G3725" s="26"/>
      <c r="H3725" s="26"/>
      <c r="I3725" s="26"/>
    </row>
    <row r="3726" spans="6:9" x14ac:dyDescent="0.3">
      <c r="F3726" s="26"/>
      <c r="G3726" s="26"/>
      <c r="H3726" s="26"/>
      <c r="I3726" s="26"/>
    </row>
    <row r="3727" spans="6:9" x14ac:dyDescent="0.3">
      <c r="F3727" s="26"/>
      <c r="G3727" s="26"/>
      <c r="H3727" s="26"/>
      <c r="I3727" s="26"/>
    </row>
    <row r="3728" spans="6:9" x14ac:dyDescent="0.3">
      <c r="F3728" s="26"/>
      <c r="G3728" s="26"/>
      <c r="H3728" s="26"/>
      <c r="I3728" s="26"/>
    </row>
    <row r="3729" spans="6:9" x14ac:dyDescent="0.3">
      <c r="F3729" s="26"/>
      <c r="G3729" s="26"/>
      <c r="H3729" s="26"/>
      <c r="I3729" s="26"/>
    </row>
    <row r="3730" spans="6:9" x14ac:dyDescent="0.3">
      <c r="F3730" s="26"/>
      <c r="G3730" s="26"/>
      <c r="H3730" s="26"/>
      <c r="I3730" s="26"/>
    </row>
    <row r="3731" spans="6:9" x14ac:dyDescent="0.3">
      <c r="F3731" s="26"/>
      <c r="G3731" s="26"/>
      <c r="H3731" s="26"/>
      <c r="I3731" s="26"/>
    </row>
    <row r="3732" spans="6:9" x14ac:dyDescent="0.3">
      <c r="F3732" s="26"/>
      <c r="G3732" s="26"/>
      <c r="H3732" s="26"/>
      <c r="I3732" s="26"/>
    </row>
    <row r="3733" spans="6:9" x14ac:dyDescent="0.3">
      <c r="F3733" s="26"/>
      <c r="G3733" s="26"/>
      <c r="H3733" s="26"/>
      <c r="I3733" s="26"/>
    </row>
    <row r="3734" spans="6:9" x14ac:dyDescent="0.3">
      <c r="F3734" s="26"/>
      <c r="G3734" s="26"/>
      <c r="H3734" s="26"/>
      <c r="I3734" s="26"/>
    </row>
    <row r="3735" spans="6:9" x14ac:dyDescent="0.3">
      <c r="F3735" s="26"/>
      <c r="G3735" s="26"/>
      <c r="H3735" s="26"/>
      <c r="I3735" s="26"/>
    </row>
    <row r="3736" spans="6:9" x14ac:dyDescent="0.3">
      <c r="F3736" s="26"/>
      <c r="G3736" s="26"/>
      <c r="H3736" s="26"/>
      <c r="I3736" s="26"/>
    </row>
    <row r="3737" spans="6:9" x14ac:dyDescent="0.3">
      <c r="F3737" s="26"/>
      <c r="G3737" s="26"/>
      <c r="H3737" s="26"/>
      <c r="I3737" s="26"/>
    </row>
    <row r="3738" spans="6:9" x14ac:dyDescent="0.3">
      <c r="F3738" s="26"/>
      <c r="G3738" s="26"/>
      <c r="H3738" s="26"/>
      <c r="I3738" s="26"/>
    </row>
    <row r="3739" spans="6:9" x14ac:dyDescent="0.3">
      <c r="F3739" s="26"/>
      <c r="G3739" s="26"/>
      <c r="H3739" s="26"/>
      <c r="I3739" s="26"/>
    </row>
    <row r="3740" spans="6:9" x14ac:dyDescent="0.3">
      <c r="F3740" s="26"/>
      <c r="G3740" s="26"/>
      <c r="H3740" s="26"/>
      <c r="I3740" s="26"/>
    </row>
    <row r="3741" spans="6:9" x14ac:dyDescent="0.3">
      <c r="F3741" s="26"/>
      <c r="G3741" s="26"/>
      <c r="H3741" s="26"/>
      <c r="I3741" s="26"/>
    </row>
    <row r="3742" spans="6:9" x14ac:dyDescent="0.3">
      <c r="F3742" s="26"/>
      <c r="G3742" s="26"/>
      <c r="H3742" s="26"/>
      <c r="I3742" s="26"/>
    </row>
    <row r="3743" spans="6:9" x14ac:dyDescent="0.3">
      <c r="F3743" s="26"/>
      <c r="G3743" s="26"/>
      <c r="H3743" s="26"/>
      <c r="I3743" s="26"/>
    </row>
    <row r="3744" spans="6:9" x14ac:dyDescent="0.3">
      <c r="F3744" s="26"/>
      <c r="G3744" s="26"/>
      <c r="H3744" s="26"/>
      <c r="I3744" s="26"/>
    </row>
    <row r="3745" spans="6:9" x14ac:dyDescent="0.3">
      <c r="F3745" s="26"/>
      <c r="G3745" s="26"/>
      <c r="H3745" s="26"/>
      <c r="I3745" s="26"/>
    </row>
    <row r="3746" spans="6:9" x14ac:dyDescent="0.3">
      <c r="F3746" s="26"/>
      <c r="G3746" s="26"/>
      <c r="H3746" s="26"/>
      <c r="I3746" s="26"/>
    </row>
    <row r="3747" spans="6:9" x14ac:dyDescent="0.3">
      <c r="F3747" s="26"/>
      <c r="G3747" s="26"/>
      <c r="H3747" s="26"/>
      <c r="I3747" s="26"/>
    </row>
    <row r="3748" spans="6:9" x14ac:dyDescent="0.3">
      <c r="F3748" s="26"/>
      <c r="G3748" s="26"/>
      <c r="H3748" s="26"/>
      <c r="I3748" s="26"/>
    </row>
    <row r="3749" spans="6:9" x14ac:dyDescent="0.3">
      <c r="F3749" s="26"/>
      <c r="G3749" s="26"/>
      <c r="H3749" s="26"/>
      <c r="I3749" s="26"/>
    </row>
    <row r="3750" spans="6:9" x14ac:dyDescent="0.3">
      <c r="F3750" s="26"/>
      <c r="G3750" s="26"/>
      <c r="H3750" s="26"/>
      <c r="I3750" s="26"/>
    </row>
    <row r="3751" spans="6:9" x14ac:dyDescent="0.3">
      <c r="F3751" s="26"/>
      <c r="G3751" s="26"/>
      <c r="H3751" s="26"/>
      <c r="I3751" s="26"/>
    </row>
    <row r="3752" spans="6:9" x14ac:dyDescent="0.3">
      <c r="F3752" s="26"/>
      <c r="G3752" s="26"/>
      <c r="H3752" s="26"/>
      <c r="I3752" s="26"/>
    </row>
    <row r="3753" spans="6:9" x14ac:dyDescent="0.3">
      <c r="F3753" s="26"/>
      <c r="G3753" s="26"/>
      <c r="H3753" s="26"/>
      <c r="I3753" s="26"/>
    </row>
    <row r="3754" spans="6:9" x14ac:dyDescent="0.3">
      <c r="F3754" s="26"/>
      <c r="G3754" s="26"/>
      <c r="H3754" s="26"/>
      <c r="I3754" s="26"/>
    </row>
    <row r="3755" spans="6:9" x14ac:dyDescent="0.3">
      <c r="F3755" s="26"/>
      <c r="G3755" s="26"/>
      <c r="H3755" s="26"/>
      <c r="I3755" s="26"/>
    </row>
    <row r="3756" spans="6:9" x14ac:dyDescent="0.3">
      <c r="F3756" s="26"/>
      <c r="G3756" s="26"/>
      <c r="H3756" s="26"/>
      <c r="I3756" s="26"/>
    </row>
    <row r="3757" spans="6:9" x14ac:dyDescent="0.3">
      <c r="F3757" s="26"/>
      <c r="G3757" s="26"/>
      <c r="H3757" s="26"/>
      <c r="I3757" s="26"/>
    </row>
    <row r="3758" spans="6:9" x14ac:dyDescent="0.3">
      <c r="F3758" s="26"/>
      <c r="G3758" s="26"/>
      <c r="H3758" s="26"/>
      <c r="I3758" s="26"/>
    </row>
    <row r="3759" spans="6:9" x14ac:dyDescent="0.3">
      <c r="F3759" s="26"/>
      <c r="G3759" s="26"/>
      <c r="H3759" s="26"/>
      <c r="I3759" s="26"/>
    </row>
    <row r="3760" spans="6:9" x14ac:dyDescent="0.3">
      <c r="F3760" s="26"/>
      <c r="G3760" s="26"/>
      <c r="H3760" s="26"/>
      <c r="I3760" s="26"/>
    </row>
    <row r="3761" spans="6:9" x14ac:dyDescent="0.3">
      <c r="F3761" s="26"/>
      <c r="G3761" s="26"/>
      <c r="H3761" s="26"/>
      <c r="I3761" s="26"/>
    </row>
    <row r="3762" spans="6:9" x14ac:dyDescent="0.3">
      <c r="F3762" s="26"/>
      <c r="G3762" s="26"/>
      <c r="H3762" s="26"/>
      <c r="I3762" s="26"/>
    </row>
    <row r="3763" spans="6:9" x14ac:dyDescent="0.3">
      <c r="F3763" s="26"/>
      <c r="G3763" s="26"/>
      <c r="H3763" s="26"/>
      <c r="I3763" s="26"/>
    </row>
    <row r="3764" spans="6:9" x14ac:dyDescent="0.3">
      <c r="F3764" s="26"/>
      <c r="G3764" s="26"/>
      <c r="H3764" s="26"/>
      <c r="I3764" s="26"/>
    </row>
    <row r="3765" spans="6:9" x14ac:dyDescent="0.3">
      <c r="F3765" s="26"/>
      <c r="G3765" s="26"/>
      <c r="H3765" s="26"/>
      <c r="I3765" s="26"/>
    </row>
    <row r="3766" spans="6:9" x14ac:dyDescent="0.3">
      <c r="F3766" s="26"/>
      <c r="G3766" s="26"/>
      <c r="H3766" s="26"/>
      <c r="I3766" s="26"/>
    </row>
    <row r="3767" spans="6:9" x14ac:dyDescent="0.3">
      <c r="F3767" s="26"/>
      <c r="G3767" s="26"/>
      <c r="H3767" s="26"/>
      <c r="I3767" s="26"/>
    </row>
    <row r="3768" spans="6:9" x14ac:dyDescent="0.3">
      <c r="F3768" s="26"/>
      <c r="G3768" s="26"/>
      <c r="H3768" s="26"/>
      <c r="I3768" s="26"/>
    </row>
    <row r="3769" spans="6:9" x14ac:dyDescent="0.3">
      <c r="F3769" s="26"/>
      <c r="G3769" s="26"/>
      <c r="H3769" s="26"/>
      <c r="I3769" s="26"/>
    </row>
    <row r="3770" spans="6:9" x14ac:dyDescent="0.3">
      <c r="F3770" s="26"/>
      <c r="G3770" s="26"/>
      <c r="H3770" s="26"/>
      <c r="I3770" s="26"/>
    </row>
    <row r="3771" spans="6:9" x14ac:dyDescent="0.3">
      <c r="F3771" s="26"/>
      <c r="G3771" s="26"/>
      <c r="H3771" s="26"/>
      <c r="I3771" s="26"/>
    </row>
    <row r="3772" spans="6:9" x14ac:dyDescent="0.3">
      <c r="F3772" s="26"/>
      <c r="G3772" s="26"/>
      <c r="H3772" s="26"/>
      <c r="I3772" s="26"/>
    </row>
    <row r="3773" spans="6:9" x14ac:dyDescent="0.3">
      <c r="F3773" s="26"/>
      <c r="G3773" s="26"/>
      <c r="H3773" s="26"/>
      <c r="I3773" s="26"/>
    </row>
    <row r="3774" spans="6:9" x14ac:dyDescent="0.3">
      <c r="F3774" s="26"/>
      <c r="G3774" s="26"/>
      <c r="H3774" s="26"/>
      <c r="I3774" s="26"/>
    </row>
    <row r="3775" spans="6:9" x14ac:dyDescent="0.3">
      <c r="F3775" s="26"/>
      <c r="G3775" s="26"/>
      <c r="H3775" s="26"/>
      <c r="I3775" s="26"/>
    </row>
    <row r="3776" spans="6:9" x14ac:dyDescent="0.3">
      <c r="F3776" s="26"/>
      <c r="G3776" s="26"/>
      <c r="H3776" s="26"/>
      <c r="I3776" s="26"/>
    </row>
    <row r="3777" spans="6:9" x14ac:dyDescent="0.3">
      <c r="F3777" s="26"/>
      <c r="G3777" s="26"/>
      <c r="H3777" s="26"/>
      <c r="I3777" s="26"/>
    </row>
    <row r="3778" spans="6:9" x14ac:dyDescent="0.3">
      <c r="F3778" s="26"/>
      <c r="G3778" s="26"/>
      <c r="H3778" s="26"/>
      <c r="I3778" s="26"/>
    </row>
    <row r="3779" spans="6:9" x14ac:dyDescent="0.3">
      <c r="F3779" s="26"/>
      <c r="G3779" s="26"/>
      <c r="H3779" s="26"/>
      <c r="I3779" s="26"/>
    </row>
    <row r="3780" spans="6:9" x14ac:dyDescent="0.3">
      <c r="F3780" s="26"/>
      <c r="G3780" s="26"/>
      <c r="H3780" s="26"/>
      <c r="I3780" s="26"/>
    </row>
    <row r="3781" spans="6:9" x14ac:dyDescent="0.3">
      <c r="F3781" s="26"/>
      <c r="G3781" s="26"/>
      <c r="H3781" s="26"/>
      <c r="I3781" s="26"/>
    </row>
    <row r="3782" spans="6:9" x14ac:dyDescent="0.3">
      <c r="F3782" s="26"/>
      <c r="G3782" s="26"/>
      <c r="H3782" s="26"/>
      <c r="I3782" s="26"/>
    </row>
    <row r="3783" spans="6:9" x14ac:dyDescent="0.3">
      <c r="F3783" s="26"/>
      <c r="G3783" s="26"/>
      <c r="H3783" s="26"/>
      <c r="I3783" s="26"/>
    </row>
    <row r="3784" spans="6:9" x14ac:dyDescent="0.3">
      <c r="F3784" s="26"/>
      <c r="G3784" s="26"/>
      <c r="H3784" s="26"/>
      <c r="I3784" s="26"/>
    </row>
    <row r="3785" spans="6:9" x14ac:dyDescent="0.3">
      <c r="F3785" s="26"/>
      <c r="G3785" s="26"/>
      <c r="H3785" s="26"/>
      <c r="I3785" s="26"/>
    </row>
    <row r="3786" spans="6:9" x14ac:dyDescent="0.3">
      <c r="F3786" s="26"/>
      <c r="G3786" s="26"/>
      <c r="H3786" s="26"/>
      <c r="I3786" s="26"/>
    </row>
    <row r="3787" spans="6:9" x14ac:dyDescent="0.3">
      <c r="F3787" s="26"/>
      <c r="G3787" s="26"/>
      <c r="H3787" s="26"/>
      <c r="I3787" s="26"/>
    </row>
    <row r="3788" spans="6:9" x14ac:dyDescent="0.3">
      <c r="F3788" s="26"/>
      <c r="G3788" s="26"/>
      <c r="H3788" s="26"/>
      <c r="I3788" s="26"/>
    </row>
    <row r="3789" spans="6:9" x14ac:dyDescent="0.3">
      <c r="F3789" s="26"/>
      <c r="G3789" s="26"/>
      <c r="H3789" s="26"/>
      <c r="I3789" s="26"/>
    </row>
    <row r="3790" spans="6:9" x14ac:dyDescent="0.3">
      <c r="F3790" s="26"/>
      <c r="G3790" s="26"/>
      <c r="H3790" s="26"/>
      <c r="I3790" s="26"/>
    </row>
    <row r="3791" spans="6:9" x14ac:dyDescent="0.3">
      <c r="F3791" s="26"/>
      <c r="G3791" s="26"/>
      <c r="H3791" s="26"/>
      <c r="I3791" s="26"/>
    </row>
    <row r="3792" spans="6:9" x14ac:dyDescent="0.3">
      <c r="F3792" s="26"/>
      <c r="G3792" s="26"/>
      <c r="H3792" s="26"/>
      <c r="I3792" s="26"/>
    </row>
    <row r="3793" spans="6:9" x14ac:dyDescent="0.3">
      <c r="F3793" s="26"/>
      <c r="G3793" s="26"/>
      <c r="H3793" s="26"/>
      <c r="I3793" s="26"/>
    </row>
    <row r="3794" spans="6:9" x14ac:dyDescent="0.3">
      <c r="F3794" s="26"/>
      <c r="G3794" s="26"/>
      <c r="H3794" s="26"/>
      <c r="I3794" s="26"/>
    </row>
    <row r="3795" spans="6:9" x14ac:dyDescent="0.3">
      <c r="F3795" s="26"/>
      <c r="G3795" s="26"/>
      <c r="H3795" s="26"/>
      <c r="I3795" s="26"/>
    </row>
    <row r="3796" spans="6:9" x14ac:dyDescent="0.3">
      <c r="F3796" s="26"/>
      <c r="G3796" s="26"/>
      <c r="H3796" s="26"/>
      <c r="I3796" s="26"/>
    </row>
    <row r="3797" spans="6:9" x14ac:dyDescent="0.3">
      <c r="F3797" s="26"/>
      <c r="G3797" s="26"/>
      <c r="H3797" s="26"/>
      <c r="I3797" s="26"/>
    </row>
    <row r="3798" spans="6:9" x14ac:dyDescent="0.3">
      <c r="F3798" s="26"/>
      <c r="G3798" s="26"/>
      <c r="H3798" s="26"/>
      <c r="I3798" s="26"/>
    </row>
    <row r="3799" spans="6:9" x14ac:dyDescent="0.3">
      <c r="F3799" s="26"/>
      <c r="G3799" s="26"/>
      <c r="H3799" s="26"/>
      <c r="I3799" s="26"/>
    </row>
    <row r="3800" spans="6:9" x14ac:dyDescent="0.3">
      <c r="F3800" s="26"/>
      <c r="G3800" s="26"/>
      <c r="H3800" s="26"/>
      <c r="I3800" s="26"/>
    </row>
    <row r="3801" spans="6:9" x14ac:dyDescent="0.3">
      <c r="F3801" s="26"/>
      <c r="G3801" s="26"/>
      <c r="H3801" s="26"/>
      <c r="I3801" s="26"/>
    </row>
    <row r="3802" spans="6:9" x14ac:dyDescent="0.3">
      <c r="F3802" s="26"/>
      <c r="G3802" s="26"/>
      <c r="H3802" s="26"/>
      <c r="I3802" s="26"/>
    </row>
    <row r="3803" spans="6:9" x14ac:dyDescent="0.3">
      <c r="F3803" s="26"/>
      <c r="G3803" s="26"/>
      <c r="H3803" s="26"/>
      <c r="I3803" s="26"/>
    </row>
    <row r="3804" spans="6:9" x14ac:dyDescent="0.3">
      <c r="F3804" s="26"/>
      <c r="G3804" s="26"/>
      <c r="H3804" s="26"/>
      <c r="I3804" s="26"/>
    </row>
    <row r="3805" spans="6:9" x14ac:dyDescent="0.3">
      <c r="F3805" s="26"/>
      <c r="G3805" s="26"/>
      <c r="H3805" s="26"/>
      <c r="I3805" s="26"/>
    </row>
    <row r="3806" spans="6:9" x14ac:dyDescent="0.3">
      <c r="F3806" s="26"/>
      <c r="G3806" s="26"/>
      <c r="H3806" s="26"/>
      <c r="I3806" s="26"/>
    </row>
    <row r="3807" spans="6:9" x14ac:dyDescent="0.3">
      <c r="F3807" s="26"/>
      <c r="G3807" s="26"/>
      <c r="H3807" s="26"/>
      <c r="I3807" s="26"/>
    </row>
    <row r="3808" spans="6:9" x14ac:dyDescent="0.3">
      <c r="F3808" s="26"/>
      <c r="G3808" s="26"/>
      <c r="H3808" s="26"/>
      <c r="I3808" s="26"/>
    </row>
    <row r="3809" spans="6:9" x14ac:dyDescent="0.3">
      <c r="F3809" s="26"/>
      <c r="G3809" s="26"/>
      <c r="H3809" s="26"/>
      <c r="I3809" s="26"/>
    </row>
    <row r="3810" spans="6:9" x14ac:dyDescent="0.3">
      <c r="F3810" s="26"/>
      <c r="G3810" s="26"/>
      <c r="H3810" s="26"/>
      <c r="I3810" s="26"/>
    </row>
    <row r="3811" spans="6:9" x14ac:dyDescent="0.3">
      <c r="F3811" s="26"/>
      <c r="G3811" s="26"/>
      <c r="H3811" s="26"/>
      <c r="I3811" s="26"/>
    </row>
    <row r="3812" spans="6:9" x14ac:dyDescent="0.3">
      <c r="F3812" s="26"/>
      <c r="G3812" s="26"/>
      <c r="H3812" s="26"/>
      <c r="I3812" s="26"/>
    </row>
    <row r="3813" spans="6:9" x14ac:dyDescent="0.3">
      <c r="F3813" s="26"/>
      <c r="G3813" s="26"/>
      <c r="H3813" s="26"/>
      <c r="I3813" s="26"/>
    </row>
    <row r="3814" spans="6:9" x14ac:dyDescent="0.3">
      <c r="F3814" s="26"/>
      <c r="G3814" s="26"/>
      <c r="H3814" s="26"/>
      <c r="I3814" s="26"/>
    </row>
    <row r="3815" spans="6:9" x14ac:dyDescent="0.3">
      <c r="F3815" s="26"/>
      <c r="G3815" s="26"/>
      <c r="H3815" s="26"/>
      <c r="I3815" s="26"/>
    </row>
    <row r="3816" spans="6:9" x14ac:dyDescent="0.3">
      <c r="F3816" s="26"/>
      <c r="G3816" s="26"/>
      <c r="H3816" s="26"/>
      <c r="I3816" s="26"/>
    </row>
    <row r="3817" spans="6:9" x14ac:dyDescent="0.3">
      <c r="F3817" s="26"/>
      <c r="G3817" s="26"/>
      <c r="H3817" s="26"/>
      <c r="I3817" s="26"/>
    </row>
    <row r="3818" spans="6:9" x14ac:dyDescent="0.3">
      <c r="F3818" s="26"/>
      <c r="G3818" s="26"/>
      <c r="H3818" s="26"/>
      <c r="I3818" s="26"/>
    </row>
    <row r="3819" spans="6:9" x14ac:dyDescent="0.3">
      <c r="F3819" s="26"/>
      <c r="G3819" s="26"/>
      <c r="H3819" s="26"/>
      <c r="I3819" s="26"/>
    </row>
    <row r="3820" spans="6:9" x14ac:dyDescent="0.3">
      <c r="F3820" s="26"/>
      <c r="G3820" s="26"/>
      <c r="H3820" s="26"/>
      <c r="I3820" s="26"/>
    </row>
    <row r="3821" spans="6:9" x14ac:dyDescent="0.3">
      <c r="F3821" s="26"/>
      <c r="G3821" s="26"/>
      <c r="H3821" s="26"/>
      <c r="I3821" s="26"/>
    </row>
    <row r="3822" spans="6:9" x14ac:dyDescent="0.3">
      <c r="F3822" s="26"/>
      <c r="G3822" s="26"/>
      <c r="H3822" s="26"/>
      <c r="I3822" s="26"/>
    </row>
    <row r="3823" spans="6:9" x14ac:dyDescent="0.3">
      <c r="F3823" s="26"/>
      <c r="G3823" s="26"/>
      <c r="H3823" s="26"/>
      <c r="I3823" s="26"/>
    </row>
    <row r="3824" spans="6:9" x14ac:dyDescent="0.3">
      <c r="F3824" s="26"/>
      <c r="G3824" s="26"/>
      <c r="H3824" s="26"/>
      <c r="I3824" s="26"/>
    </row>
    <row r="3825" spans="6:9" x14ac:dyDescent="0.3">
      <c r="F3825" s="26"/>
      <c r="G3825" s="26"/>
      <c r="H3825" s="26"/>
      <c r="I3825" s="26"/>
    </row>
    <row r="3826" spans="6:9" x14ac:dyDescent="0.3">
      <c r="F3826" s="26"/>
      <c r="G3826" s="26"/>
      <c r="H3826" s="26"/>
      <c r="I3826" s="26"/>
    </row>
    <row r="3827" spans="6:9" x14ac:dyDescent="0.3">
      <c r="F3827" s="26"/>
      <c r="G3827" s="26"/>
      <c r="H3827" s="26"/>
      <c r="I3827" s="26"/>
    </row>
    <row r="3828" spans="6:9" x14ac:dyDescent="0.3">
      <c r="F3828" s="26"/>
      <c r="G3828" s="26"/>
      <c r="H3828" s="26"/>
      <c r="I3828" s="26"/>
    </row>
    <row r="3829" spans="6:9" x14ac:dyDescent="0.3">
      <c r="F3829" s="26"/>
      <c r="G3829" s="26"/>
      <c r="H3829" s="26"/>
      <c r="I3829" s="26"/>
    </row>
    <row r="3830" spans="6:9" x14ac:dyDescent="0.3">
      <c r="F3830" s="26"/>
      <c r="G3830" s="26"/>
      <c r="H3830" s="26"/>
      <c r="I3830" s="26"/>
    </row>
    <row r="3831" spans="6:9" x14ac:dyDescent="0.3">
      <c r="F3831" s="26"/>
      <c r="G3831" s="26"/>
      <c r="H3831" s="26"/>
      <c r="I3831" s="26"/>
    </row>
    <row r="3832" spans="6:9" x14ac:dyDescent="0.3">
      <c r="F3832" s="26"/>
      <c r="G3832" s="26"/>
      <c r="H3832" s="26"/>
      <c r="I3832" s="26"/>
    </row>
    <row r="3833" spans="6:9" x14ac:dyDescent="0.3">
      <c r="F3833" s="26"/>
      <c r="G3833" s="26"/>
      <c r="H3833" s="26"/>
      <c r="I3833" s="26"/>
    </row>
    <row r="3834" spans="6:9" x14ac:dyDescent="0.3">
      <c r="F3834" s="26"/>
      <c r="G3834" s="26"/>
      <c r="H3834" s="26"/>
      <c r="I3834" s="26"/>
    </row>
    <row r="3835" spans="6:9" x14ac:dyDescent="0.3">
      <c r="F3835" s="26"/>
      <c r="G3835" s="26"/>
      <c r="H3835" s="26"/>
      <c r="I3835" s="26"/>
    </row>
    <row r="3836" spans="6:9" x14ac:dyDescent="0.3">
      <c r="F3836" s="26"/>
      <c r="G3836" s="26"/>
      <c r="H3836" s="26"/>
      <c r="I3836" s="26"/>
    </row>
    <row r="3837" spans="6:9" x14ac:dyDescent="0.3">
      <c r="F3837" s="26"/>
      <c r="G3837" s="26"/>
      <c r="H3837" s="26"/>
      <c r="I3837" s="26"/>
    </row>
    <row r="3838" spans="6:9" x14ac:dyDescent="0.3">
      <c r="F3838" s="26"/>
      <c r="G3838" s="26"/>
      <c r="H3838" s="26"/>
      <c r="I3838" s="26"/>
    </row>
    <row r="3839" spans="6:9" x14ac:dyDescent="0.3">
      <c r="F3839" s="26"/>
      <c r="G3839" s="26"/>
      <c r="H3839" s="26"/>
      <c r="I3839" s="26"/>
    </row>
    <row r="3840" spans="6:9" x14ac:dyDescent="0.3">
      <c r="F3840" s="26"/>
      <c r="G3840" s="26"/>
      <c r="H3840" s="26"/>
      <c r="I3840" s="26"/>
    </row>
    <row r="3841" spans="6:9" x14ac:dyDescent="0.3">
      <c r="F3841" s="26"/>
      <c r="G3841" s="26"/>
      <c r="H3841" s="26"/>
      <c r="I3841" s="26"/>
    </row>
    <row r="3842" spans="6:9" x14ac:dyDescent="0.3">
      <c r="F3842" s="26"/>
      <c r="G3842" s="26"/>
      <c r="H3842" s="26"/>
      <c r="I3842" s="26"/>
    </row>
    <row r="3843" spans="6:9" x14ac:dyDescent="0.3">
      <c r="F3843" s="26"/>
      <c r="G3843" s="26"/>
      <c r="H3843" s="26"/>
      <c r="I3843" s="26"/>
    </row>
    <row r="3844" spans="6:9" x14ac:dyDescent="0.3">
      <c r="F3844" s="26"/>
      <c r="G3844" s="26"/>
      <c r="H3844" s="26"/>
      <c r="I3844" s="26"/>
    </row>
    <row r="3845" spans="6:9" x14ac:dyDescent="0.3">
      <c r="F3845" s="26"/>
      <c r="G3845" s="26"/>
      <c r="H3845" s="26"/>
      <c r="I3845" s="26"/>
    </row>
    <row r="3846" spans="6:9" x14ac:dyDescent="0.3">
      <c r="F3846" s="26"/>
      <c r="G3846" s="26"/>
      <c r="H3846" s="26"/>
      <c r="I3846" s="26"/>
    </row>
    <row r="3847" spans="6:9" x14ac:dyDescent="0.3">
      <c r="F3847" s="26"/>
      <c r="G3847" s="26"/>
      <c r="H3847" s="26"/>
      <c r="I3847" s="26"/>
    </row>
    <row r="3848" spans="6:9" x14ac:dyDescent="0.3">
      <c r="F3848" s="26"/>
      <c r="G3848" s="26"/>
      <c r="H3848" s="26"/>
      <c r="I3848" s="26"/>
    </row>
    <row r="3849" spans="6:9" x14ac:dyDescent="0.3">
      <c r="F3849" s="26"/>
      <c r="G3849" s="26"/>
      <c r="H3849" s="26"/>
      <c r="I3849" s="26"/>
    </row>
    <row r="3850" spans="6:9" x14ac:dyDescent="0.3">
      <c r="F3850" s="26"/>
      <c r="G3850" s="26"/>
      <c r="H3850" s="26"/>
      <c r="I3850" s="26"/>
    </row>
    <row r="3851" spans="6:9" x14ac:dyDescent="0.3">
      <c r="F3851" s="26"/>
      <c r="G3851" s="26"/>
      <c r="H3851" s="26"/>
      <c r="I3851" s="26"/>
    </row>
    <row r="3852" spans="6:9" x14ac:dyDescent="0.3">
      <c r="F3852" s="26"/>
      <c r="G3852" s="26"/>
      <c r="H3852" s="26"/>
      <c r="I3852" s="26"/>
    </row>
    <row r="3853" spans="6:9" x14ac:dyDescent="0.3">
      <c r="F3853" s="26"/>
      <c r="G3853" s="26"/>
      <c r="H3853" s="26"/>
      <c r="I3853" s="26"/>
    </row>
    <row r="3854" spans="6:9" x14ac:dyDescent="0.3">
      <c r="F3854" s="26"/>
      <c r="G3854" s="26"/>
      <c r="H3854" s="26"/>
      <c r="I3854" s="26"/>
    </row>
    <row r="3855" spans="6:9" x14ac:dyDescent="0.3">
      <c r="F3855" s="26"/>
      <c r="G3855" s="26"/>
      <c r="H3855" s="26"/>
      <c r="I3855" s="26"/>
    </row>
    <row r="3856" spans="6:9" x14ac:dyDescent="0.3">
      <c r="F3856" s="26"/>
      <c r="G3856" s="26"/>
      <c r="H3856" s="26"/>
      <c r="I3856" s="26"/>
    </row>
    <row r="3857" spans="6:9" x14ac:dyDescent="0.3">
      <c r="F3857" s="26"/>
      <c r="G3857" s="26"/>
      <c r="H3857" s="26"/>
      <c r="I3857" s="26"/>
    </row>
    <row r="3858" spans="6:9" x14ac:dyDescent="0.3">
      <c r="F3858" s="26"/>
      <c r="G3858" s="26"/>
      <c r="H3858" s="26"/>
      <c r="I3858" s="26"/>
    </row>
    <row r="3859" spans="6:9" x14ac:dyDescent="0.3">
      <c r="F3859" s="26"/>
      <c r="G3859" s="26"/>
      <c r="H3859" s="26"/>
      <c r="I3859" s="26"/>
    </row>
    <row r="3860" spans="6:9" x14ac:dyDescent="0.3">
      <c r="F3860" s="26"/>
      <c r="G3860" s="26"/>
      <c r="H3860" s="26"/>
      <c r="I3860" s="26"/>
    </row>
    <row r="3861" spans="6:9" x14ac:dyDescent="0.3">
      <c r="F3861" s="26"/>
      <c r="G3861" s="26"/>
      <c r="H3861" s="26"/>
      <c r="I3861" s="26"/>
    </row>
    <row r="3862" spans="6:9" x14ac:dyDescent="0.3">
      <c r="F3862" s="26"/>
      <c r="G3862" s="26"/>
      <c r="H3862" s="26"/>
      <c r="I3862" s="26"/>
    </row>
    <row r="3863" spans="6:9" x14ac:dyDescent="0.3">
      <c r="F3863" s="26"/>
      <c r="G3863" s="26"/>
      <c r="H3863" s="26"/>
      <c r="I3863" s="26"/>
    </row>
    <row r="3864" spans="6:9" x14ac:dyDescent="0.3">
      <c r="F3864" s="26"/>
      <c r="G3864" s="26"/>
      <c r="H3864" s="26"/>
      <c r="I3864" s="26"/>
    </row>
    <row r="3865" spans="6:9" x14ac:dyDescent="0.3">
      <c r="F3865" s="26"/>
      <c r="G3865" s="26"/>
      <c r="H3865" s="26"/>
      <c r="I3865" s="26"/>
    </row>
    <row r="3866" spans="6:9" x14ac:dyDescent="0.3">
      <c r="F3866" s="26"/>
      <c r="G3866" s="26"/>
      <c r="H3866" s="26"/>
      <c r="I3866" s="26"/>
    </row>
    <row r="3867" spans="6:9" x14ac:dyDescent="0.3">
      <c r="F3867" s="26"/>
      <c r="G3867" s="26"/>
      <c r="H3867" s="26"/>
      <c r="I3867" s="26"/>
    </row>
    <row r="3868" spans="6:9" x14ac:dyDescent="0.3">
      <c r="F3868" s="26"/>
      <c r="G3868" s="26"/>
      <c r="H3868" s="26"/>
      <c r="I3868" s="26"/>
    </row>
    <row r="3869" spans="6:9" x14ac:dyDescent="0.3">
      <c r="F3869" s="26"/>
      <c r="G3869" s="26"/>
      <c r="H3869" s="26"/>
      <c r="I3869" s="26"/>
    </row>
    <row r="3870" spans="6:9" x14ac:dyDescent="0.3">
      <c r="F3870" s="26"/>
      <c r="G3870" s="26"/>
      <c r="H3870" s="26"/>
      <c r="I3870" s="26"/>
    </row>
    <row r="3871" spans="6:9" x14ac:dyDescent="0.3">
      <c r="F3871" s="26"/>
      <c r="G3871" s="26"/>
      <c r="H3871" s="26"/>
      <c r="I3871" s="26"/>
    </row>
    <row r="3872" spans="6:9" x14ac:dyDescent="0.3">
      <c r="F3872" s="26"/>
      <c r="G3872" s="26"/>
      <c r="H3872" s="26"/>
      <c r="I3872" s="26"/>
    </row>
    <row r="3873" spans="6:9" x14ac:dyDescent="0.3">
      <c r="F3873" s="26"/>
      <c r="G3873" s="26"/>
      <c r="H3873" s="26"/>
      <c r="I3873" s="26"/>
    </row>
    <row r="3874" spans="6:9" x14ac:dyDescent="0.3">
      <c r="F3874" s="26"/>
      <c r="G3874" s="26"/>
      <c r="H3874" s="26"/>
      <c r="I3874" s="26"/>
    </row>
    <row r="3875" spans="6:9" x14ac:dyDescent="0.3">
      <c r="F3875" s="26"/>
      <c r="G3875" s="26"/>
      <c r="H3875" s="26"/>
      <c r="I3875" s="26"/>
    </row>
    <row r="3876" spans="6:9" x14ac:dyDescent="0.3">
      <c r="F3876" s="26"/>
      <c r="G3876" s="26"/>
      <c r="H3876" s="26"/>
      <c r="I3876" s="26"/>
    </row>
    <row r="3877" spans="6:9" x14ac:dyDescent="0.3">
      <c r="F3877" s="26"/>
      <c r="G3877" s="26"/>
      <c r="H3877" s="26"/>
      <c r="I3877" s="26"/>
    </row>
    <row r="3878" spans="6:9" x14ac:dyDescent="0.3">
      <c r="F3878" s="26"/>
      <c r="G3878" s="26"/>
      <c r="H3878" s="26"/>
      <c r="I3878" s="26"/>
    </row>
    <row r="3879" spans="6:9" x14ac:dyDescent="0.3">
      <c r="F3879" s="26"/>
      <c r="G3879" s="26"/>
      <c r="H3879" s="26"/>
      <c r="I3879" s="26"/>
    </row>
    <row r="3880" spans="6:9" x14ac:dyDescent="0.3">
      <c r="F3880" s="26"/>
      <c r="G3880" s="26"/>
      <c r="H3880" s="26"/>
      <c r="I3880" s="26"/>
    </row>
    <row r="3881" spans="6:9" x14ac:dyDescent="0.3">
      <c r="F3881" s="26"/>
      <c r="G3881" s="26"/>
      <c r="H3881" s="26"/>
      <c r="I3881" s="26"/>
    </row>
    <row r="3882" spans="6:9" x14ac:dyDescent="0.3">
      <c r="F3882" s="26"/>
      <c r="G3882" s="26"/>
      <c r="H3882" s="26"/>
      <c r="I3882" s="26"/>
    </row>
    <row r="3883" spans="6:9" x14ac:dyDescent="0.3">
      <c r="F3883" s="26"/>
      <c r="G3883" s="26"/>
      <c r="H3883" s="26"/>
      <c r="I3883" s="26"/>
    </row>
    <row r="3884" spans="6:9" x14ac:dyDescent="0.3">
      <c r="F3884" s="26"/>
      <c r="G3884" s="26"/>
      <c r="H3884" s="26"/>
      <c r="I3884" s="26"/>
    </row>
    <row r="3885" spans="6:9" x14ac:dyDescent="0.3">
      <c r="F3885" s="26"/>
      <c r="G3885" s="26"/>
      <c r="H3885" s="26"/>
      <c r="I3885" s="26"/>
    </row>
    <row r="3886" spans="6:9" x14ac:dyDescent="0.3">
      <c r="F3886" s="26"/>
      <c r="G3886" s="26"/>
      <c r="H3886" s="26"/>
      <c r="I3886" s="26"/>
    </row>
    <row r="3887" spans="6:9" x14ac:dyDescent="0.3">
      <c r="F3887" s="26"/>
      <c r="G3887" s="26"/>
      <c r="H3887" s="26"/>
      <c r="I3887" s="26"/>
    </row>
    <row r="3888" spans="6:9" x14ac:dyDescent="0.3">
      <c r="F3888" s="26"/>
      <c r="G3888" s="26"/>
      <c r="H3888" s="26"/>
      <c r="I3888" s="26"/>
    </row>
    <row r="3889" spans="6:9" x14ac:dyDescent="0.3">
      <c r="F3889" s="26"/>
      <c r="G3889" s="26"/>
      <c r="H3889" s="26"/>
      <c r="I3889" s="26"/>
    </row>
    <row r="3890" spans="6:9" x14ac:dyDescent="0.3">
      <c r="F3890" s="26"/>
      <c r="G3890" s="26"/>
      <c r="H3890" s="26"/>
      <c r="I3890" s="26"/>
    </row>
    <row r="3891" spans="6:9" x14ac:dyDescent="0.3">
      <c r="F3891" s="26"/>
      <c r="G3891" s="26"/>
      <c r="H3891" s="26"/>
      <c r="I3891" s="26"/>
    </row>
    <row r="3892" spans="6:9" x14ac:dyDescent="0.3">
      <c r="F3892" s="26"/>
      <c r="G3892" s="26"/>
      <c r="H3892" s="26"/>
      <c r="I3892" s="26"/>
    </row>
    <row r="3893" spans="6:9" x14ac:dyDescent="0.3">
      <c r="F3893" s="26"/>
      <c r="G3893" s="26"/>
      <c r="H3893" s="26"/>
      <c r="I3893" s="26"/>
    </row>
    <row r="3894" spans="6:9" x14ac:dyDescent="0.3">
      <c r="F3894" s="26"/>
      <c r="G3894" s="26"/>
      <c r="H3894" s="26"/>
      <c r="I3894" s="26"/>
    </row>
    <row r="3895" spans="6:9" x14ac:dyDescent="0.3">
      <c r="F3895" s="26"/>
      <c r="G3895" s="26"/>
      <c r="H3895" s="26"/>
      <c r="I3895" s="26"/>
    </row>
    <row r="3896" spans="6:9" x14ac:dyDescent="0.3">
      <c r="F3896" s="26"/>
      <c r="G3896" s="26"/>
      <c r="H3896" s="26"/>
      <c r="I3896" s="26"/>
    </row>
    <row r="3897" spans="6:9" x14ac:dyDescent="0.3">
      <c r="F3897" s="26"/>
      <c r="G3897" s="26"/>
      <c r="H3897" s="26"/>
      <c r="I3897" s="26"/>
    </row>
    <row r="3898" spans="6:9" x14ac:dyDescent="0.3">
      <c r="F3898" s="26"/>
      <c r="G3898" s="26"/>
      <c r="H3898" s="26"/>
      <c r="I3898" s="26"/>
    </row>
    <row r="3899" spans="6:9" x14ac:dyDescent="0.3">
      <c r="F3899" s="26"/>
      <c r="G3899" s="26"/>
      <c r="H3899" s="26"/>
      <c r="I3899" s="26"/>
    </row>
    <row r="3900" spans="6:9" x14ac:dyDescent="0.3">
      <c r="F3900" s="26"/>
      <c r="G3900" s="26"/>
      <c r="H3900" s="26"/>
      <c r="I3900" s="26"/>
    </row>
    <row r="3901" spans="6:9" x14ac:dyDescent="0.3">
      <c r="F3901" s="26"/>
      <c r="G3901" s="26"/>
      <c r="H3901" s="26"/>
      <c r="I3901" s="26"/>
    </row>
    <row r="3902" spans="6:9" x14ac:dyDescent="0.3">
      <c r="F3902" s="26"/>
      <c r="G3902" s="26"/>
      <c r="H3902" s="26"/>
      <c r="I3902" s="26"/>
    </row>
    <row r="3903" spans="6:9" x14ac:dyDescent="0.3">
      <c r="F3903" s="26"/>
      <c r="G3903" s="26"/>
      <c r="H3903" s="26"/>
      <c r="I3903" s="26"/>
    </row>
    <row r="3904" spans="6:9" x14ac:dyDescent="0.3">
      <c r="F3904" s="26"/>
      <c r="G3904" s="26"/>
      <c r="H3904" s="26"/>
      <c r="I3904" s="26"/>
    </row>
    <row r="3905" spans="6:9" x14ac:dyDescent="0.3">
      <c r="F3905" s="26"/>
      <c r="G3905" s="26"/>
      <c r="H3905" s="26"/>
      <c r="I3905" s="26"/>
    </row>
    <row r="3906" spans="6:9" x14ac:dyDescent="0.3">
      <c r="F3906" s="26"/>
      <c r="G3906" s="26"/>
      <c r="H3906" s="26"/>
      <c r="I3906" s="26"/>
    </row>
    <row r="3907" spans="6:9" x14ac:dyDescent="0.3">
      <c r="F3907" s="26"/>
      <c r="G3907" s="26"/>
      <c r="H3907" s="26"/>
      <c r="I3907" s="26"/>
    </row>
    <row r="3908" spans="6:9" x14ac:dyDescent="0.3">
      <c r="F3908" s="26"/>
      <c r="G3908" s="26"/>
      <c r="H3908" s="26"/>
      <c r="I3908" s="26"/>
    </row>
    <row r="3909" spans="6:9" x14ac:dyDescent="0.3">
      <c r="F3909" s="26"/>
      <c r="G3909" s="26"/>
      <c r="H3909" s="26"/>
      <c r="I3909" s="26"/>
    </row>
    <row r="3910" spans="6:9" x14ac:dyDescent="0.3">
      <c r="F3910" s="26"/>
      <c r="G3910" s="26"/>
      <c r="H3910" s="26"/>
      <c r="I3910" s="26"/>
    </row>
    <row r="3911" spans="6:9" x14ac:dyDescent="0.3">
      <c r="F3911" s="26"/>
      <c r="G3911" s="26"/>
      <c r="H3911" s="26"/>
      <c r="I3911" s="26"/>
    </row>
    <row r="3912" spans="6:9" x14ac:dyDescent="0.3">
      <c r="F3912" s="26"/>
      <c r="G3912" s="26"/>
      <c r="H3912" s="26"/>
      <c r="I3912" s="26"/>
    </row>
    <row r="3913" spans="6:9" x14ac:dyDescent="0.3">
      <c r="F3913" s="26"/>
      <c r="G3913" s="26"/>
      <c r="H3913" s="26"/>
      <c r="I3913" s="26"/>
    </row>
    <row r="3914" spans="6:9" x14ac:dyDescent="0.3">
      <c r="F3914" s="26"/>
      <c r="G3914" s="26"/>
      <c r="H3914" s="26"/>
      <c r="I3914" s="26"/>
    </row>
    <row r="3915" spans="6:9" x14ac:dyDescent="0.3">
      <c r="F3915" s="26"/>
      <c r="G3915" s="26"/>
      <c r="H3915" s="26"/>
      <c r="I3915" s="26"/>
    </row>
    <row r="3916" spans="6:9" x14ac:dyDescent="0.3">
      <c r="F3916" s="26"/>
      <c r="G3916" s="26"/>
      <c r="H3916" s="26"/>
      <c r="I3916" s="26"/>
    </row>
    <row r="3917" spans="6:9" x14ac:dyDescent="0.3">
      <c r="F3917" s="26"/>
      <c r="G3917" s="26"/>
      <c r="H3917" s="26"/>
      <c r="I3917" s="26"/>
    </row>
    <row r="3918" spans="6:9" x14ac:dyDescent="0.3">
      <c r="F3918" s="26"/>
      <c r="G3918" s="26"/>
      <c r="H3918" s="26"/>
      <c r="I3918" s="26"/>
    </row>
    <row r="3919" spans="6:9" x14ac:dyDescent="0.3">
      <c r="F3919" s="26"/>
      <c r="G3919" s="26"/>
      <c r="H3919" s="26"/>
      <c r="I3919" s="26"/>
    </row>
    <row r="3920" spans="6:9" x14ac:dyDescent="0.3">
      <c r="F3920" s="26"/>
      <c r="G3920" s="26"/>
      <c r="H3920" s="26"/>
      <c r="I3920" s="26"/>
    </row>
    <row r="3921" spans="6:9" x14ac:dyDescent="0.3">
      <c r="F3921" s="26"/>
      <c r="G3921" s="26"/>
      <c r="H3921" s="26"/>
      <c r="I3921" s="26"/>
    </row>
    <row r="3922" spans="6:9" x14ac:dyDescent="0.3">
      <c r="F3922" s="26"/>
      <c r="G3922" s="26"/>
      <c r="H3922" s="26"/>
      <c r="I3922" s="26"/>
    </row>
    <row r="3923" spans="6:9" x14ac:dyDescent="0.3">
      <c r="F3923" s="26"/>
      <c r="G3923" s="26"/>
      <c r="H3923" s="26"/>
      <c r="I3923" s="26"/>
    </row>
    <row r="3924" spans="6:9" x14ac:dyDescent="0.3">
      <c r="F3924" s="26"/>
      <c r="G3924" s="26"/>
      <c r="H3924" s="26"/>
      <c r="I3924" s="26"/>
    </row>
    <row r="3925" spans="6:9" x14ac:dyDescent="0.3">
      <c r="F3925" s="26"/>
      <c r="G3925" s="26"/>
      <c r="H3925" s="26"/>
      <c r="I3925" s="26"/>
    </row>
    <row r="3926" spans="6:9" x14ac:dyDescent="0.3">
      <c r="F3926" s="26"/>
      <c r="G3926" s="26"/>
      <c r="H3926" s="26"/>
      <c r="I3926" s="26"/>
    </row>
    <row r="3927" spans="6:9" x14ac:dyDescent="0.3">
      <c r="F3927" s="26"/>
      <c r="G3927" s="26"/>
      <c r="H3927" s="26"/>
      <c r="I3927" s="26"/>
    </row>
    <row r="3928" spans="6:9" x14ac:dyDescent="0.3">
      <c r="F3928" s="26"/>
      <c r="G3928" s="26"/>
      <c r="H3928" s="26"/>
      <c r="I3928" s="26"/>
    </row>
    <row r="3929" spans="6:9" x14ac:dyDescent="0.3">
      <c r="F3929" s="26"/>
      <c r="G3929" s="26"/>
      <c r="H3929" s="26"/>
      <c r="I3929" s="26"/>
    </row>
    <row r="3930" spans="6:9" x14ac:dyDescent="0.3">
      <c r="F3930" s="26"/>
      <c r="G3930" s="26"/>
      <c r="H3930" s="26"/>
      <c r="I3930" s="26"/>
    </row>
    <row r="3931" spans="6:9" x14ac:dyDescent="0.3">
      <c r="F3931" s="26"/>
      <c r="G3931" s="26"/>
      <c r="H3931" s="26"/>
      <c r="I3931" s="26"/>
    </row>
    <row r="3932" spans="6:9" x14ac:dyDescent="0.3">
      <c r="F3932" s="26"/>
      <c r="G3932" s="26"/>
      <c r="H3932" s="26"/>
      <c r="I3932" s="26"/>
    </row>
    <row r="3933" spans="6:9" x14ac:dyDescent="0.3">
      <c r="F3933" s="26"/>
      <c r="G3933" s="26"/>
      <c r="H3933" s="26"/>
      <c r="I3933" s="26"/>
    </row>
    <row r="3934" spans="6:9" x14ac:dyDescent="0.3">
      <c r="F3934" s="26"/>
      <c r="G3934" s="26"/>
      <c r="H3934" s="26"/>
      <c r="I3934" s="26"/>
    </row>
    <row r="3935" spans="6:9" x14ac:dyDescent="0.3">
      <c r="F3935" s="26"/>
      <c r="G3935" s="26"/>
      <c r="H3935" s="26"/>
      <c r="I3935" s="26"/>
    </row>
    <row r="3936" spans="6:9" x14ac:dyDescent="0.3">
      <c r="F3936" s="26"/>
      <c r="G3936" s="26"/>
      <c r="H3936" s="26"/>
      <c r="I3936" s="26"/>
    </row>
    <row r="3937" spans="6:9" x14ac:dyDescent="0.3">
      <c r="F3937" s="26"/>
      <c r="G3937" s="26"/>
      <c r="H3937" s="26"/>
      <c r="I3937" s="26"/>
    </row>
    <row r="3938" spans="6:9" x14ac:dyDescent="0.3">
      <c r="F3938" s="26"/>
      <c r="G3938" s="26"/>
      <c r="H3938" s="26"/>
      <c r="I3938" s="26"/>
    </row>
    <row r="3939" spans="6:9" x14ac:dyDescent="0.3">
      <c r="F3939" s="26"/>
      <c r="G3939" s="26"/>
      <c r="H3939" s="26"/>
      <c r="I3939" s="26"/>
    </row>
    <row r="3940" spans="6:9" x14ac:dyDescent="0.3">
      <c r="F3940" s="26"/>
      <c r="G3940" s="26"/>
      <c r="H3940" s="26"/>
      <c r="I3940" s="26"/>
    </row>
    <row r="3941" spans="6:9" x14ac:dyDescent="0.3">
      <c r="F3941" s="26"/>
      <c r="G3941" s="26"/>
      <c r="H3941" s="26"/>
      <c r="I3941" s="26"/>
    </row>
    <row r="3942" spans="6:9" x14ac:dyDescent="0.3">
      <c r="F3942" s="26"/>
      <c r="G3942" s="26"/>
      <c r="H3942" s="26"/>
      <c r="I3942" s="26"/>
    </row>
    <row r="3943" spans="6:9" x14ac:dyDescent="0.3">
      <c r="F3943" s="26"/>
      <c r="G3943" s="26"/>
      <c r="H3943" s="26"/>
      <c r="I3943" s="26"/>
    </row>
    <row r="3944" spans="6:9" x14ac:dyDescent="0.3">
      <c r="F3944" s="26"/>
      <c r="G3944" s="26"/>
      <c r="H3944" s="26"/>
      <c r="I3944" s="26"/>
    </row>
    <row r="3945" spans="6:9" x14ac:dyDescent="0.3">
      <c r="F3945" s="26"/>
      <c r="G3945" s="26"/>
      <c r="H3945" s="26"/>
      <c r="I3945" s="26"/>
    </row>
    <row r="3946" spans="6:9" x14ac:dyDescent="0.3">
      <c r="F3946" s="26"/>
      <c r="G3946" s="26"/>
      <c r="H3946" s="26"/>
      <c r="I3946" s="26"/>
    </row>
    <row r="3947" spans="6:9" x14ac:dyDescent="0.3">
      <c r="F3947" s="26"/>
      <c r="G3947" s="26"/>
      <c r="H3947" s="26"/>
      <c r="I3947" s="26"/>
    </row>
    <row r="3948" spans="6:9" x14ac:dyDescent="0.3">
      <c r="F3948" s="26"/>
      <c r="G3948" s="26"/>
      <c r="H3948" s="26"/>
      <c r="I3948" s="26"/>
    </row>
    <row r="3949" spans="6:9" x14ac:dyDescent="0.3">
      <c r="F3949" s="26"/>
      <c r="G3949" s="26"/>
      <c r="H3949" s="26"/>
      <c r="I3949" s="26"/>
    </row>
    <row r="3950" spans="6:9" x14ac:dyDescent="0.3">
      <c r="F3950" s="26"/>
      <c r="G3950" s="26"/>
      <c r="H3950" s="26"/>
      <c r="I3950" s="26"/>
    </row>
    <row r="3951" spans="6:9" x14ac:dyDescent="0.3">
      <c r="F3951" s="26"/>
      <c r="G3951" s="26"/>
      <c r="H3951" s="26"/>
      <c r="I3951" s="26"/>
    </row>
    <row r="3952" spans="6:9" x14ac:dyDescent="0.3">
      <c r="F3952" s="26"/>
      <c r="G3952" s="26"/>
      <c r="H3952" s="26"/>
      <c r="I3952" s="26"/>
    </row>
    <row r="3953" spans="6:9" x14ac:dyDescent="0.3">
      <c r="F3953" s="26"/>
      <c r="G3953" s="26"/>
      <c r="H3953" s="26"/>
      <c r="I3953" s="26"/>
    </row>
    <row r="3954" spans="6:9" x14ac:dyDescent="0.3">
      <c r="F3954" s="26"/>
      <c r="G3954" s="26"/>
      <c r="H3954" s="26"/>
      <c r="I3954" s="26"/>
    </row>
    <row r="3955" spans="6:9" x14ac:dyDescent="0.3">
      <c r="F3955" s="26"/>
      <c r="G3955" s="26"/>
      <c r="H3955" s="26"/>
      <c r="I3955" s="26"/>
    </row>
    <row r="3956" spans="6:9" x14ac:dyDescent="0.3">
      <c r="F3956" s="26"/>
      <c r="G3956" s="26"/>
      <c r="H3956" s="26"/>
      <c r="I3956" s="26"/>
    </row>
    <row r="3957" spans="6:9" x14ac:dyDescent="0.3">
      <c r="F3957" s="26"/>
      <c r="G3957" s="26"/>
      <c r="H3957" s="26"/>
      <c r="I3957" s="26"/>
    </row>
    <row r="3958" spans="6:9" x14ac:dyDescent="0.3">
      <c r="F3958" s="26"/>
      <c r="G3958" s="26"/>
      <c r="H3958" s="26"/>
      <c r="I3958" s="26"/>
    </row>
    <row r="3959" spans="6:9" x14ac:dyDescent="0.3">
      <c r="F3959" s="26"/>
      <c r="G3959" s="26"/>
      <c r="H3959" s="26"/>
      <c r="I3959" s="26"/>
    </row>
    <row r="3960" spans="6:9" x14ac:dyDescent="0.3">
      <c r="F3960" s="26"/>
      <c r="G3960" s="26"/>
      <c r="H3960" s="26"/>
      <c r="I3960" s="26"/>
    </row>
    <row r="3961" spans="6:9" x14ac:dyDescent="0.3">
      <c r="F3961" s="26"/>
      <c r="G3961" s="26"/>
      <c r="H3961" s="26"/>
      <c r="I3961" s="26"/>
    </row>
    <row r="3962" spans="6:9" x14ac:dyDescent="0.3">
      <c r="F3962" s="26"/>
      <c r="G3962" s="26"/>
      <c r="H3962" s="26"/>
      <c r="I3962" s="26"/>
    </row>
    <row r="3963" spans="6:9" x14ac:dyDescent="0.3">
      <c r="F3963" s="26"/>
      <c r="G3963" s="26"/>
      <c r="H3963" s="26"/>
      <c r="I3963" s="26"/>
    </row>
    <row r="3964" spans="6:9" x14ac:dyDescent="0.3">
      <c r="F3964" s="26"/>
      <c r="G3964" s="26"/>
      <c r="H3964" s="26"/>
      <c r="I3964" s="26"/>
    </row>
    <row r="3965" spans="6:9" x14ac:dyDescent="0.3">
      <c r="F3965" s="26"/>
      <c r="G3965" s="26"/>
      <c r="H3965" s="26"/>
      <c r="I3965" s="26"/>
    </row>
    <row r="3966" spans="6:9" x14ac:dyDescent="0.3">
      <c r="F3966" s="26"/>
      <c r="G3966" s="26"/>
      <c r="H3966" s="26"/>
      <c r="I3966" s="26"/>
    </row>
    <row r="3967" spans="6:9" x14ac:dyDescent="0.3">
      <c r="F3967" s="26"/>
      <c r="G3967" s="26"/>
      <c r="H3967" s="26"/>
      <c r="I3967" s="26"/>
    </row>
    <row r="3968" spans="6:9" x14ac:dyDescent="0.3">
      <c r="F3968" s="26"/>
      <c r="G3968" s="26"/>
      <c r="H3968" s="26"/>
      <c r="I3968" s="26"/>
    </row>
    <row r="3969" spans="6:9" x14ac:dyDescent="0.3">
      <c r="F3969" s="26"/>
      <c r="G3969" s="26"/>
      <c r="H3969" s="26"/>
      <c r="I3969" s="26"/>
    </row>
    <row r="3970" spans="6:9" x14ac:dyDescent="0.3">
      <c r="F3970" s="26"/>
      <c r="G3970" s="26"/>
      <c r="H3970" s="26"/>
      <c r="I3970" s="26"/>
    </row>
    <row r="3971" spans="6:9" x14ac:dyDescent="0.3">
      <c r="F3971" s="26"/>
      <c r="G3971" s="26"/>
      <c r="H3971" s="26"/>
      <c r="I3971" s="26"/>
    </row>
    <row r="3972" spans="6:9" x14ac:dyDescent="0.3">
      <c r="F3972" s="26"/>
      <c r="G3972" s="26"/>
      <c r="H3972" s="26"/>
      <c r="I3972" s="26"/>
    </row>
    <row r="3973" spans="6:9" x14ac:dyDescent="0.3">
      <c r="F3973" s="26"/>
      <c r="G3973" s="26"/>
      <c r="H3973" s="26"/>
      <c r="I3973" s="26"/>
    </row>
    <row r="3974" spans="6:9" x14ac:dyDescent="0.3">
      <c r="F3974" s="26"/>
      <c r="G3974" s="26"/>
      <c r="H3974" s="26"/>
      <c r="I3974" s="26"/>
    </row>
    <row r="3975" spans="6:9" x14ac:dyDescent="0.3">
      <c r="F3975" s="26"/>
      <c r="G3975" s="26"/>
      <c r="H3975" s="26"/>
      <c r="I3975" s="26"/>
    </row>
    <row r="3976" spans="6:9" x14ac:dyDescent="0.3">
      <c r="F3976" s="26"/>
      <c r="G3976" s="26"/>
      <c r="H3976" s="26"/>
      <c r="I3976" s="26"/>
    </row>
    <row r="3977" spans="6:9" x14ac:dyDescent="0.3">
      <c r="F3977" s="26"/>
      <c r="G3977" s="26"/>
      <c r="H3977" s="26"/>
      <c r="I3977" s="26"/>
    </row>
    <row r="3978" spans="6:9" x14ac:dyDescent="0.3">
      <c r="F3978" s="26"/>
      <c r="G3978" s="26"/>
      <c r="H3978" s="26"/>
      <c r="I3978" s="26"/>
    </row>
    <row r="3979" spans="6:9" x14ac:dyDescent="0.3">
      <c r="F3979" s="26"/>
      <c r="G3979" s="26"/>
      <c r="H3979" s="26"/>
      <c r="I3979" s="26"/>
    </row>
    <row r="3980" spans="6:9" x14ac:dyDescent="0.3">
      <c r="F3980" s="26"/>
      <c r="G3980" s="26"/>
      <c r="H3980" s="26"/>
      <c r="I3980" s="26"/>
    </row>
    <row r="3981" spans="6:9" x14ac:dyDescent="0.3">
      <c r="F3981" s="26"/>
      <c r="G3981" s="26"/>
      <c r="H3981" s="26"/>
      <c r="I3981" s="26"/>
    </row>
    <row r="3982" spans="6:9" x14ac:dyDescent="0.3">
      <c r="F3982" s="26"/>
      <c r="G3982" s="26"/>
      <c r="H3982" s="26"/>
      <c r="I3982" s="26"/>
    </row>
    <row r="3983" spans="6:9" x14ac:dyDescent="0.3">
      <c r="F3983" s="26"/>
      <c r="G3983" s="26"/>
      <c r="H3983" s="26"/>
      <c r="I3983" s="26"/>
    </row>
    <row r="3984" spans="6:9" x14ac:dyDescent="0.3">
      <c r="F3984" s="26"/>
      <c r="G3984" s="26"/>
      <c r="H3984" s="26"/>
      <c r="I3984" s="26"/>
    </row>
    <row r="3985" spans="6:9" x14ac:dyDescent="0.3">
      <c r="F3985" s="26"/>
      <c r="G3985" s="26"/>
      <c r="H3985" s="26"/>
      <c r="I3985" s="26"/>
    </row>
    <row r="3986" spans="6:9" x14ac:dyDescent="0.3">
      <c r="F3986" s="26"/>
      <c r="G3986" s="26"/>
      <c r="H3986" s="26"/>
      <c r="I3986" s="26"/>
    </row>
    <row r="3987" spans="6:9" x14ac:dyDescent="0.3">
      <c r="F3987" s="26"/>
      <c r="G3987" s="26"/>
      <c r="H3987" s="26"/>
      <c r="I3987" s="26"/>
    </row>
    <row r="3988" spans="6:9" x14ac:dyDescent="0.3">
      <c r="F3988" s="26"/>
      <c r="G3988" s="26"/>
      <c r="H3988" s="26"/>
      <c r="I3988" s="26"/>
    </row>
    <row r="3989" spans="6:9" x14ac:dyDescent="0.3">
      <c r="F3989" s="26"/>
      <c r="G3989" s="26"/>
      <c r="H3989" s="26"/>
      <c r="I3989" s="26"/>
    </row>
    <row r="3990" spans="6:9" x14ac:dyDescent="0.3">
      <c r="F3990" s="26"/>
      <c r="G3990" s="26"/>
      <c r="H3990" s="26"/>
      <c r="I3990" s="26"/>
    </row>
    <row r="3991" spans="6:9" x14ac:dyDescent="0.3">
      <c r="F3991" s="26"/>
      <c r="G3991" s="26"/>
      <c r="H3991" s="26"/>
      <c r="I3991" s="26"/>
    </row>
    <row r="3992" spans="6:9" x14ac:dyDescent="0.3">
      <c r="F3992" s="26"/>
      <c r="G3992" s="26"/>
      <c r="H3992" s="26"/>
      <c r="I3992" s="26"/>
    </row>
    <row r="3993" spans="6:9" x14ac:dyDescent="0.3">
      <c r="F3993" s="26"/>
      <c r="G3993" s="26"/>
      <c r="H3993" s="26"/>
      <c r="I3993" s="26"/>
    </row>
    <row r="3994" spans="6:9" x14ac:dyDescent="0.3">
      <c r="F3994" s="26"/>
      <c r="G3994" s="26"/>
      <c r="H3994" s="26"/>
      <c r="I3994" s="26"/>
    </row>
    <row r="3995" spans="6:9" x14ac:dyDescent="0.3">
      <c r="F3995" s="26"/>
      <c r="G3995" s="26"/>
      <c r="H3995" s="26"/>
      <c r="I3995" s="26"/>
    </row>
    <row r="3996" spans="6:9" x14ac:dyDescent="0.3">
      <c r="F3996" s="26"/>
      <c r="G3996" s="26"/>
      <c r="H3996" s="26"/>
      <c r="I3996" s="26"/>
    </row>
    <row r="3997" spans="6:9" x14ac:dyDescent="0.3">
      <c r="F3997" s="26"/>
      <c r="G3997" s="26"/>
      <c r="H3997" s="26"/>
      <c r="I3997" s="26"/>
    </row>
    <row r="3998" spans="6:9" x14ac:dyDescent="0.3">
      <c r="F3998" s="26"/>
      <c r="G3998" s="26"/>
      <c r="H3998" s="26"/>
      <c r="I3998" s="26"/>
    </row>
    <row r="3999" spans="6:9" x14ac:dyDescent="0.3">
      <c r="F3999" s="26"/>
      <c r="G3999" s="26"/>
      <c r="H3999" s="26"/>
      <c r="I3999" s="26"/>
    </row>
    <row r="4000" spans="6:9" x14ac:dyDescent="0.3">
      <c r="F4000" s="26"/>
      <c r="G4000" s="26"/>
      <c r="H4000" s="26"/>
      <c r="I4000" s="26"/>
    </row>
    <row r="4001" spans="6:9" x14ac:dyDescent="0.3">
      <c r="F4001" s="26"/>
      <c r="G4001" s="26"/>
      <c r="H4001" s="26"/>
      <c r="I4001" s="26"/>
    </row>
    <row r="4002" spans="6:9" x14ac:dyDescent="0.3">
      <c r="F4002" s="26"/>
      <c r="G4002" s="26"/>
      <c r="H4002" s="26"/>
      <c r="I4002" s="26"/>
    </row>
    <row r="4003" spans="6:9" x14ac:dyDescent="0.3">
      <c r="F4003" s="26"/>
      <c r="G4003" s="26"/>
      <c r="H4003" s="26"/>
      <c r="I4003" s="26"/>
    </row>
    <row r="4004" spans="6:9" x14ac:dyDescent="0.3">
      <c r="F4004" s="26"/>
      <c r="G4004" s="26"/>
      <c r="H4004" s="26"/>
      <c r="I4004" s="26"/>
    </row>
    <row r="4005" spans="6:9" x14ac:dyDescent="0.3">
      <c r="F4005" s="26"/>
      <c r="G4005" s="26"/>
      <c r="H4005" s="26"/>
      <c r="I4005" s="26"/>
    </row>
    <row r="4006" spans="6:9" x14ac:dyDescent="0.3">
      <c r="F4006" s="26"/>
      <c r="G4006" s="26"/>
      <c r="H4006" s="26"/>
      <c r="I4006" s="26"/>
    </row>
    <row r="4007" spans="6:9" x14ac:dyDescent="0.3">
      <c r="F4007" s="26"/>
      <c r="G4007" s="26"/>
      <c r="H4007" s="26"/>
      <c r="I4007" s="26"/>
    </row>
    <row r="4008" spans="6:9" x14ac:dyDescent="0.3">
      <c r="F4008" s="26"/>
      <c r="G4008" s="26"/>
      <c r="H4008" s="26"/>
      <c r="I4008" s="26"/>
    </row>
    <row r="4009" spans="6:9" x14ac:dyDescent="0.3">
      <c r="F4009" s="26"/>
      <c r="G4009" s="26"/>
      <c r="H4009" s="26"/>
      <c r="I4009" s="26"/>
    </row>
    <row r="4010" spans="6:9" x14ac:dyDescent="0.3">
      <c r="F4010" s="26"/>
      <c r="G4010" s="26"/>
      <c r="H4010" s="26"/>
      <c r="I4010" s="26"/>
    </row>
    <row r="4011" spans="6:9" x14ac:dyDescent="0.3">
      <c r="F4011" s="26"/>
      <c r="G4011" s="26"/>
      <c r="H4011" s="26"/>
      <c r="I4011" s="26"/>
    </row>
    <row r="4012" spans="6:9" x14ac:dyDescent="0.3">
      <c r="F4012" s="26"/>
      <c r="G4012" s="26"/>
      <c r="H4012" s="26"/>
      <c r="I4012" s="26"/>
    </row>
    <row r="4013" spans="6:9" x14ac:dyDescent="0.3">
      <c r="F4013" s="26"/>
      <c r="G4013" s="26"/>
      <c r="H4013" s="26"/>
      <c r="I4013" s="26"/>
    </row>
    <row r="4014" spans="6:9" x14ac:dyDescent="0.3">
      <c r="F4014" s="26"/>
      <c r="G4014" s="26"/>
      <c r="H4014" s="26"/>
      <c r="I4014" s="26"/>
    </row>
    <row r="4015" spans="6:9" x14ac:dyDescent="0.3">
      <c r="F4015" s="26"/>
      <c r="G4015" s="26"/>
      <c r="H4015" s="26"/>
      <c r="I4015" s="26"/>
    </row>
    <row r="4016" spans="6:9" x14ac:dyDescent="0.3">
      <c r="F4016" s="26"/>
      <c r="G4016" s="26"/>
      <c r="H4016" s="26"/>
      <c r="I4016" s="26"/>
    </row>
    <row r="4017" spans="6:9" x14ac:dyDescent="0.3">
      <c r="F4017" s="26"/>
      <c r="G4017" s="26"/>
      <c r="H4017" s="26"/>
      <c r="I4017" s="26"/>
    </row>
    <row r="4018" spans="6:9" x14ac:dyDescent="0.3">
      <c r="F4018" s="26"/>
      <c r="G4018" s="26"/>
      <c r="H4018" s="26"/>
      <c r="I4018" s="26"/>
    </row>
    <row r="4019" spans="6:9" x14ac:dyDescent="0.3">
      <c r="F4019" s="26"/>
      <c r="G4019" s="26"/>
      <c r="H4019" s="26"/>
      <c r="I4019" s="26"/>
    </row>
    <row r="4020" spans="6:9" x14ac:dyDescent="0.3">
      <c r="F4020" s="26"/>
      <c r="G4020" s="26"/>
      <c r="H4020" s="26"/>
      <c r="I4020" s="26"/>
    </row>
    <row r="4021" spans="6:9" x14ac:dyDescent="0.3">
      <c r="F4021" s="26"/>
      <c r="G4021" s="26"/>
      <c r="H4021" s="26"/>
      <c r="I4021" s="26"/>
    </row>
    <row r="4022" spans="6:9" x14ac:dyDescent="0.3">
      <c r="F4022" s="26"/>
      <c r="G4022" s="26"/>
      <c r="H4022" s="26"/>
      <c r="I4022" s="26"/>
    </row>
    <row r="4023" spans="6:9" x14ac:dyDescent="0.3">
      <c r="F4023" s="26"/>
      <c r="G4023" s="26"/>
      <c r="H4023" s="26"/>
      <c r="I4023" s="26"/>
    </row>
    <row r="4024" spans="6:9" x14ac:dyDescent="0.3">
      <c r="F4024" s="26"/>
      <c r="G4024" s="26"/>
      <c r="H4024" s="26"/>
      <c r="I4024" s="26"/>
    </row>
    <row r="4025" spans="6:9" x14ac:dyDescent="0.3">
      <c r="F4025" s="26"/>
      <c r="G4025" s="26"/>
      <c r="H4025" s="26"/>
      <c r="I4025" s="26"/>
    </row>
    <row r="4026" spans="6:9" x14ac:dyDescent="0.3">
      <c r="F4026" s="26"/>
      <c r="G4026" s="26"/>
      <c r="H4026" s="26"/>
      <c r="I4026" s="26"/>
    </row>
    <row r="4027" spans="6:9" x14ac:dyDescent="0.3">
      <c r="F4027" s="26"/>
      <c r="G4027" s="26"/>
      <c r="H4027" s="26"/>
      <c r="I4027" s="26"/>
    </row>
    <row r="4028" spans="6:9" x14ac:dyDescent="0.3">
      <c r="F4028" s="26"/>
      <c r="G4028" s="26"/>
      <c r="H4028" s="26"/>
      <c r="I4028" s="26"/>
    </row>
    <row r="4029" spans="6:9" x14ac:dyDescent="0.3">
      <c r="F4029" s="26"/>
      <c r="G4029" s="26"/>
      <c r="H4029" s="26"/>
      <c r="I4029" s="26"/>
    </row>
    <row r="4030" spans="6:9" x14ac:dyDescent="0.3">
      <c r="F4030" s="26"/>
      <c r="G4030" s="26"/>
      <c r="H4030" s="26"/>
      <c r="I4030" s="26"/>
    </row>
    <row r="4031" spans="6:9" x14ac:dyDescent="0.3">
      <c r="F4031" s="26"/>
      <c r="G4031" s="26"/>
      <c r="H4031" s="26"/>
      <c r="I4031" s="26"/>
    </row>
    <row r="4032" spans="6:9" x14ac:dyDescent="0.3">
      <c r="F4032" s="26"/>
      <c r="G4032" s="26"/>
      <c r="H4032" s="26"/>
      <c r="I4032" s="26"/>
    </row>
    <row r="4033" spans="6:9" x14ac:dyDescent="0.3">
      <c r="F4033" s="26"/>
      <c r="G4033" s="26"/>
      <c r="H4033" s="26"/>
      <c r="I4033" s="26"/>
    </row>
    <row r="4034" spans="6:9" x14ac:dyDescent="0.3">
      <c r="F4034" s="26"/>
      <c r="G4034" s="26"/>
      <c r="H4034" s="26"/>
      <c r="I4034" s="26"/>
    </row>
    <row r="4035" spans="6:9" x14ac:dyDescent="0.3">
      <c r="F4035" s="26"/>
      <c r="G4035" s="26"/>
      <c r="H4035" s="26"/>
      <c r="I4035" s="26"/>
    </row>
    <row r="4036" spans="6:9" x14ac:dyDescent="0.3">
      <c r="F4036" s="26"/>
      <c r="G4036" s="26"/>
      <c r="H4036" s="26"/>
      <c r="I4036" s="26"/>
    </row>
    <row r="4037" spans="6:9" x14ac:dyDescent="0.3">
      <c r="F4037" s="26"/>
      <c r="G4037" s="26"/>
      <c r="H4037" s="26"/>
      <c r="I4037" s="26"/>
    </row>
    <row r="4038" spans="6:9" x14ac:dyDescent="0.3">
      <c r="F4038" s="26"/>
      <c r="G4038" s="26"/>
      <c r="H4038" s="26"/>
      <c r="I4038" s="26"/>
    </row>
    <row r="4039" spans="6:9" x14ac:dyDescent="0.3">
      <c r="F4039" s="26"/>
      <c r="G4039" s="26"/>
      <c r="H4039" s="26"/>
      <c r="I4039" s="26"/>
    </row>
    <row r="4040" spans="6:9" x14ac:dyDescent="0.3">
      <c r="F4040" s="26"/>
      <c r="G4040" s="26"/>
      <c r="H4040" s="26"/>
      <c r="I4040" s="26"/>
    </row>
    <row r="4041" spans="6:9" x14ac:dyDescent="0.3">
      <c r="F4041" s="26"/>
      <c r="G4041" s="26"/>
      <c r="H4041" s="26"/>
      <c r="I4041" s="26"/>
    </row>
    <row r="4042" spans="6:9" x14ac:dyDescent="0.3">
      <c r="F4042" s="26"/>
      <c r="G4042" s="26"/>
      <c r="H4042" s="26"/>
      <c r="I4042" s="26"/>
    </row>
    <row r="4043" spans="6:9" x14ac:dyDescent="0.3">
      <c r="F4043" s="26"/>
      <c r="G4043" s="26"/>
      <c r="H4043" s="26"/>
      <c r="I4043" s="26"/>
    </row>
    <row r="4044" spans="6:9" x14ac:dyDescent="0.3">
      <c r="F4044" s="26"/>
      <c r="G4044" s="26"/>
      <c r="H4044" s="26"/>
      <c r="I4044" s="26"/>
    </row>
    <row r="4045" spans="6:9" x14ac:dyDescent="0.3">
      <c r="F4045" s="26"/>
      <c r="G4045" s="26"/>
      <c r="H4045" s="26"/>
      <c r="I4045" s="26"/>
    </row>
    <row r="4046" spans="6:9" x14ac:dyDescent="0.3">
      <c r="F4046" s="26"/>
      <c r="G4046" s="26"/>
      <c r="H4046" s="26"/>
      <c r="I4046" s="26"/>
    </row>
    <row r="4047" spans="6:9" x14ac:dyDescent="0.3">
      <c r="F4047" s="26"/>
      <c r="G4047" s="26"/>
      <c r="H4047" s="26"/>
      <c r="I4047" s="26"/>
    </row>
    <row r="4048" spans="6:9" x14ac:dyDescent="0.3">
      <c r="F4048" s="26"/>
      <c r="G4048" s="26"/>
      <c r="H4048" s="26"/>
      <c r="I4048" s="26"/>
    </row>
    <row r="4049" spans="6:9" x14ac:dyDescent="0.3">
      <c r="F4049" s="26"/>
      <c r="G4049" s="26"/>
      <c r="H4049" s="26"/>
      <c r="I4049" s="26"/>
    </row>
    <row r="4050" spans="6:9" x14ac:dyDescent="0.3">
      <c r="F4050" s="26"/>
      <c r="G4050" s="26"/>
      <c r="H4050" s="26"/>
      <c r="I4050" s="26"/>
    </row>
    <row r="4051" spans="6:9" x14ac:dyDescent="0.3">
      <c r="F4051" s="26"/>
      <c r="G4051" s="26"/>
      <c r="H4051" s="26"/>
      <c r="I4051" s="26"/>
    </row>
    <row r="4052" spans="6:9" x14ac:dyDescent="0.3">
      <c r="F4052" s="26"/>
      <c r="G4052" s="26"/>
      <c r="H4052" s="26"/>
      <c r="I4052" s="26"/>
    </row>
    <row r="4053" spans="6:9" x14ac:dyDescent="0.3">
      <c r="F4053" s="26"/>
      <c r="G4053" s="26"/>
      <c r="H4053" s="26"/>
      <c r="I4053" s="26"/>
    </row>
    <row r="4054" spans="6:9" x14ac:dyDescent="0.3">
      <c r="F4054" s="26"/>
      <c r="G4054" s="26"/>
      <c r="H4054" s="26"/>
      <c r="I4054" s="26"/>
    </row>
    <row r="4055" spans="6:9" x14ac:dyDescent="0.3">
      <c r="F4055" s="26"/>
      <c r="G4055" s="26"/>
      <c r="H4055" s="26"/>
      <c r="I4055" s="26"/>
    </row>
    <row r="4056" spans="6:9" x14ac:dyDescent="0.3">
      <c r="F4056" s="26"/>
      <c r="G4056" s="26"/>
      <c r="H4056" s="26"/>
      <c r="I4056" s="26"/>
    </row>
    <row r="4057" spans="6:9" x14ac:dyDescent="0.3">
      <c r="F4057" s="26"/>
      <c r="G4057" s="26"/>
      <c r="H4057" s="26"/>
      <c r="I4057" s="26"/>
    </row>
    <row r="4058" spans="6:9" x14ac:dyDescent="0.3">
      <c r="F4058" s="26"/>
      <c r="G4058" s="26"/>
      <c r="H4058" s="26"/>
      <c r="I4058" s="26"/>
    </row>
    <row r="4059" spans="6:9" x14ac:dyDescent="0.3">
      <c r="F4059" s="26"/>
      <c r="G4059" s="26"/>
      <c r="H4059" s="26"/>
      <c r="I4059" s="26"/>
    </row>
    <row r="4060" spans="6:9" x14ac:dyDescent="0.3">
      <c r="F4060" s="26"/>
      <c r="G4060" s="26"/>
      <c r="H4060" s="26"/>
      <c r="I4060" s="26"/>
    </row>
    <row r="4061" spans="6:9" x14ac:dyDescent="0.3">
      <c r="F4061" s="26"/>
      <c r="G4061" s="26"/>
      <c r="H4061" s="26"/>
      <c r="I4061" s="26"/>
    </row>
    <row r="4062" spans="6:9" x14ac:dyDescent="0.3">
      <c r="F4062" s="26"/>
      <c r="G4062" s="26"/>
      <c r="H4062" s="26"/>
      <c r="I4062" s="26"/>
    </row>
    <row r="4063" spans="6:9" x14ac:dyDescent="0.3">
      <c r="F4063" s="26"/>
      <c r="G4063" s="26"/>
      <c r="H4063" s="26"/>
      <c r="I4063" s="26"/>
    </row>
    <row r="4064" spans="6:9" x14ac:dyDescent="0.3">
      <c r="F4064" s="26"/>
      <c r="G4064" s="26"/>
      <c r="H4064" s="26"/>
      <c r="I4064" s="26"/>
    </row>
    <row r="4065" spans="6:9" x14ac:dyDescent="0.3">
      <c r="F4065" s="26"/>
      <c r="G4065" s="26"/>
      <c r="H4065" s="26"/>
      <c r="I4065" s="26"/>
    </row>
    <row r="4066" spans="6:9" x14ac:dyDescent="0.3">
      <c r="F4066" s="26"/>
      <c r="G4066" s="26"/>
      <c r="H4066" s="26"/>
      <c r="I4066" s="26"/>
    </row>
    <row r="4067" spans="6:9" x14ac:dyDescent="0.3">
      <c r="F4067" s="26"/>
      <c r="G4067" s="26"/>
      <c r="H4067" s="26"/>
      <c r="I4067" s="26"/>
    </row>
    <row r="4068" spans="6:9" x14ac:dyDescent="0.3">
      <c r="F4068" s="26"/>
      <c r="G4068" s="26"/>
      <c r="H4068" s="26"/>
      <c r="I4068" s="26"/>
    </row>
    <row r="4069" spans="6:9" x14ac:dyDescent="0.3">
      <c r="F4069" s="26"/>
      <c r="G4069" s="26"/>
      <c r="H4069" s="26"/>
      <c r="I4069" s="26"/>
    </row>
    <row r="4070" spans="6:9" x14ac:dyDescent="0.3">
      <c r="F4070" s="26"/>
      <c r="G4070" s="26"/>
      <c r="H4070" s="26"/>
      <c r="I4070" s="26"/>
    </row>
    <row r="4071" spans="6:9" x14ac:dyDescent="0.3">
      <c r="F4071" s="26"/>
      <c r="G4071" s="26"/>
      <c r="H4071" s="26"/>
      <c r="I4071" s="26"/>
    </row>
    <row r="4072" spans="6:9" x14ac:dyDescent="0.3">
      <c r="F4072" s="26"/>
      <c r="G4072" s="26"/>
      <c r="H4072" s="26"/>
      <c r="I4072" s="26"/>
    </row>
    <row r="4073" spans="6:9" x14ac:dyDescent="0.3">
      <c r="F4073" s="26"/>
      <c r="G4073" s="26"/>
      <c r="H4073" s="26"/>
      <c r="I4073" s="26"/>
    </row>
    <row r="4074" spans="6:9" x14ac:dyDescent="0.3">
      <c r="F4074" s="26"/>
      <c r="G4074" s="26"/>
      <c r="H4074" s="26"/>
      <c r="I4074" s="26"/>
    </row>
    <row r="4075" spans="6:9" x14ac:dyDescent="0.3">
      <c r="F4075" s="26"/>
      <c r="G4075" s="26"/>
      <c r="H4075" s="26"/>
      <c r="I4075" s="26"/>
    </row>
    <row r="4076" spans="6:9" x14ac:dyDescent="0.3">
      <c r="F4076" s="26"/>
      <c r="G4076" s="26"/>
      <c r="H4076" s="26"/>
      <c r="I4076" s="26"/>
    </row>
    <row r="4077" spans="6:9" x14ac:dyDescent="0.3">
      <c r="F4077" s="26"/>
      <c r="G4077" s="26"/>
      <c r="H4077" s="26"/>
      <c r="I4077" s="26"/>
    </row>
    <row r="4078" spans="6:9" x14ac:dyDescent="0.3">
      <c r="F4078" s="26"/>
      <c r="G4078" s="26"/>
      <c r="H4078" s="26"/>
      <c r="I4078" s="26"/>
    </row>
    <row r="4079" spans="6:9" x14ac:dyDescent="0.3">
      <c r="F4079" s="26"/>
      <c r="G4079" s="26"/>
      <c r="H4079" s="26"/>
      <c r="I4079" s="26"/>
    </row>
    <row r="4080" spans="6:9" x14ac:dyDescent="0.3">
      <c r="F4080" s="26"/>
      <c r="G4080" s="26"/>
      <c r="H4080" s="26"/>
      <c r="I4080" s="26"/>
    </row>
    <row r="4081" spans="6:9" x14ac:dyDescent="0.3">
      <c r="F4081" s="26"/>
      <c r="G4081" s="26"/>
      <c r="H4081" s="26"/>
      <c r="I4081" s="26"/>
    </row>
    <row r="4082" spans="6:9" x14ac:dyDescent="0.3">
      <c r="F4082" s="26"/>
      <c r="G4082" s="26"/>
      <c r="H4082" s="26"/>
      <c r="I4082" s="26"/>
    </row>
    <row r="4083" spans="6:9" x14ac:dyDescent="0.3">
      <c r="F4083" s="26"/>
      <c r="G4083" s="26"/>
      <c r="H4083" s="26"/>
      <c r="I4083" s="26"/>
    </row>
    <row r="4084" spans="6:9" x14ac:dyDescent="0.3">
      <c r="F4084" s="26"/>
      <c r="G4084" s="26"/>
      <c r="H4084" s="26"/>
      <c r="I4084" s="26"/>
    </row>
    <row r="4085" spans="6:9" x14ac:dyDescent="0.3">
      <c r="F4085" s="26"/>
      <c r="G4085" s="26"/>
      <c r="H4085" s="26"/>
      <c r="I4085" s="26"/>
    </row>
    <row r="4086" spans="6:9" x14ac:dyDescent="0.3">
      <c r="F4086" s="26"/>
      <c r="G4086" s="26"/>
      <c r="H4086" s="26"/>
      <c r="I4086" s="26"/>
    </row>
    <row r="4087" spans="6:9" x14ac:dyDescent="0.3">
      <c r="F4087" s="26"/>
      <c r="G4087" s="26"/>
      <c r="H4087" s="26"/>
      <c r="I4087" s="26"/>
    </row>
    <row r="4088" spans="6:9" x14ac:dyDescent="0.3">
      <c r="F4088" s="26"/>
      <c r="G4088" s="26"/>
      <c r="H4088" s="26"/>
      <c r="I4088" s="26"/>
    </row>
    <row r="4089" spans="6:9" x14ac:dyDescent="0.3">
      <c r="F4089" s="26"/>
      <c r="G4089" s="26"/>
      <c r="H4089" s="26"/>
      <c r="I4089" s="26"/>
    </row>
    <row r="4090" spans="6:9" x14ac:dyDescent="0.3">
      <c r="F4090" s="26"/>
      <c r="G4090" s="26"/>
      <c r="H4090" s="26"/>
      <c r="I4090" s="26"/>
    </row>
    <row r="4091" spans="6:9" x14ac:dyDescent="0.3">
      <c r="F4091" s="26"/>
      <c r="G4091" s="26"/>
      <c r="H4091" s="26"/>
      <c r="I4091" s="26"/>
    </row>
    <row r="4092" spans="6:9" x14ac:dyDescent="0.3">
      <c r="F4092" s="26"/>
      <c r="G4092" s="26"/>
      <c r="H4092" s="26"/>
      <c r="I4092" s="26"/>
    </row>
    <row r="4093" spans="6:9" x14ac:dyDescent="0.3">
      <c r="F4093" s="26"/>
      <c r="G4093" s="26"/>
      <c r="H4093" s="26"/>
      <c r="I4093" s="26"/>
    </row>
    <row r="4094" spans="6:9" x14ac:dyDescent="0.3">
      <c r="F4094" s="26"/>
      <c r="G4094" s="26"/>
      <c r="H4094" s="26"/>
      <c r="I4094" s="26"/>
    </row>
    <row r="4095" spans="6:9" x14ac:dyDescent="0.3">
      <c r="F4095" s="26"/>
      <c r="G4095" s="26"/>
      <c r="H4095" s="26"/>
      <c r="I4095" s="26"/>
    </row>
    <row r="4096" spans="6:9" x14ac:dyDescent="0.3">
      <c r="F4096" s="26"/>
      <c r="G4096" s="26"/>
      <c r="H4096" s="26"/>
      <c r="I4096" s="26"/>
    </row>
    <row r="4097" spans="6:9" x14ac:dyDescent="0.3">
      <c r="F4097" s="26"/>
      <c r="G4097" s="26"/>
      <c r="H4097" s="26"/>
      <c r="I4097" s="26"/>
    </row>
    <row r="4098" spans="6:9" x14ac:dyDescent="0.3">
      <c r="F4098" s="26"/>
      <c r="G4098" s="26"/>
      <c r="H4098" s="26"/>
      <c r="I4098" s="26"/>
    </row>
    <row r="4099" spans="6:9" x14ac:dyDescent="0.3">
      <c r="F4099" s="26"/>
      <c r="G4099" s="26"/>
      <c r="H4099" s="26"/>
      <c r="I4099" s="26"/>
    </row>
    <row r="4100" spans="6:9" x14ac:dyDescent="0.3">
      <c r="F4100" s="26"/>
      <c r="G4100" s="26"/>
      <c r="H4100" s="26"/>
      <c r="I4100" s="26"/>
    </row>
    <row r="4101" spans="6:9" x14ac:dyDescent="0.3">
      <c r="F4101" s="26"/>
      <c r="G4101" s="26"/>
      <c r="H4101" s="26"/>
      <c r="I4101" s="26"/>
    </row>
    <row r="4102" spans="6:9" x14ac:dyDescent="0.3">
      <c r="F4102" s="26"/>
      <c r="G4102" s="26"/>
      <c r="H4102" s="26"/>
      <c r="I4102" s="26"/>
    </row>
    <row r="4103" spans="6:9" x14ac:dyDescent="0.3">
      <c r="F4103" s="26"/>
      <c r="G4103" s="26"/>
      <c r="H4103" s="26"/>
      <c r="I4103" s="26"/>
    </row>
    <row r="4104" spans="6:9" x14ac:dyDescent="0.3">
      <c r="F4104" s="26"/>
      <c r="G4104" s="26"/>
      <c r="H4104" s="26"/>
      <c r="I4104" s="26"/>
    </row>
    <row r="4105" spans="6:9" x14ac:dyDescent="0.3">
      <c r="F4105" s="26"/>
      <c r="G4105" s="26"/>
      <c r="H4105" s="26"/>
      <c r="I4105" s="26"/>
    </row>
    <row r="4106" spans="6:9" x14ac:dyDescent="0.3">
      <c r="F4106" s="26"/>
      <c r="G4106" s="26"/>
      <c r="H4106" s="26"/>
      <c r="I4106" s="26"/>
    </row>
    <row r="4107" spans="6:9" x14ac:dyDescent="0.3">
      <c r="F4107" s="26"/>
      <c r="G4107" s="26"/>
      <c r="H4107" s="26"/>
      <c r="I4107" s="26"/>
    </row>
    <row r="4108" spans="6:9" x14ac:dyDescent="0.3">
      <c r="F4108" s="26"/>
      <c r="G4108" s="26"/>
      <c r="H4108" s="26"/>
      <c r="I4108" s="26"/>
    </row>
    <row r="4109" spans="6:9" x14ac:dyDescent="0.3">
      <c r="F4109" s="26"/>
      <c r="G4109" s="26"/>
      <c r="H4109" s="26"/>
      <c r="I4109" s="26"/>
    </row>
    <row r="4110" spans="6:9" x14ac:dyDescent="0.3">
      <c r="F4110" s="26"/>
      <c r="G4110" s="26"/>
      <c r="H4110" s="26"/>
      <c r="I4110" s="26"/>
    </row>
    <row r="4111" spans="6:9" x14ac:dyDescent="0.3">
      <c r="F4111" s="26"/>
      <c r="G4111" s="26"/>
      <c r="H4111" s="26"/>
      <c r="I4111" s="26"/>
    </row>
    <row r="4112" spans="6:9" x14ac:dyDescent="0.3">
      <c r="F4112" s="26"/>
      <c r="G4112" s="26"/>
      <c r="H4112" s="26"/>
      <c r="I4112" s="26"/>
    </row>
    <row r="4113" spans="6:9" x14ac:dyDescent="0.3">
      <c r="F4113" s="26"/>
      <c r="G4113" s="26"/>
      <c r="H4113" s="26"/>
      <c r="I4113" s="26"/>
    </row>
    <row r="4114" spans="6:9" x14ac:dyDescent="0.3">
      <c r="F4114" s="26"/>
      <c r="G4114" s="26"/>
      <c r="H4114" s="26"/>
      <c r="I4114" s="26"/>
    </row>
    <row r="4115" spans="6:9" x14ac:dyDescent="0.3">
      <c r="F4115" s="26"/>
      <c r="G4115" s="26"/>
      <c r="H4115" s="26"/>
      <c r="I4115" s="26"/>
    </row>
    <row r="4116" spans="6:9" x14ac:dyDescent="0.3">
      <c r="F4116" s="26"/>
      <c r="G4116" s="26"/>
      <c r="H4116" s="26"/>
      <c r="I4116" s="26"/>
    </row>
    <row r="4117" spans="6:9" x14ac:dyDescent="0.3">
      <c r="F4117" s="26"/>
      <c r="G4117" s="26"/>
      <c r="H4117" s="26"/>
      <c r="I4117" s="26"/>
    </row>
    <row r="4118" spans="6:9" x14ac:dyDescent="0.3">
      <c r="F4118" s="26"/>
      <c r="G4118" s="26"/>
      <c r="H4118" s="26"/>
      <c r="I4118" s="26"/>
    </row>
    <row r="4119" spans="6:9" x14ac:dyDescent="0.3">
      <c r="F4119" s="26"/>
      <c r="G4119" s="26"/>
      <c r="H4119" s="26"/>
      <c r="I4119" s="26"/>
    </row>
    <row r="4120" spans="6:9" x14ac:dyDescent="0.3">
      <c r="F4120" s="26"/>
      <c r="G4120" s="26"/>
      <c r="H4120" s="26"/>
      <c r="I4120" s="26"/>
    </row>
    <row r="4121" spans="6:9" x14ac:dyDescent="0.3">
      <c r="F4121" s="26"/>
      <c r="G4121" s="26"/>
      <c r="H4121" s="26"/>
      <c r="I4121" s="26"/>
    </row>
    <row r="4122" spans="6:9" x14ac:dyDescent="0.3">
      <c r="F4122" s="26"/>
      <c r="G4122" s="26"/>
      <c r="H4122" s="26"/>
      <c r="I4122" s="26"/>
    </row>
    <row r="4123" spans="6:9" x14ac:dyDescent="0.3">
      <c r="F4123" s="26"/>
      <c r="G4123" s="26"/>
      <c r="H4123" s="26"/>
      <c r="I4123" s="26"/>
    </row>
    <row r="4124" spans="6:9" x14ac:dyDescent="0.3">
      <c r="F4124" s="26"/>
      <c r="G4124" s="26"/>
      <c r="H4124" s="26"/>
      <c r="I4124" s="26"/>
    </row>
    <row r="4125" spans="6:9" x14ac:dyDescent="0.3">
      <c r="F4125" s="26"/>
      <c r="G4125" s="26"/>
      <c r="H4125" s="26"/>
      <c r="I4125" s="26"/>
    </row>
    <row r="4126" spans="6:9" x14ac:dyDescent="0.3">
      <c r="F4126" s="26"/>
      <c r="G4126" s="26"/>
      <c r="H4126" s="26"/>
      <c r="I4126" s="26"/>
    </row>
    <row r="4127" spans="6:9" x14ac:dyDescent="0.3">
      <c r="F4127" s="26"/>
      <c r="G4127" s="26"/>
      <c r="H4127" s="26"/>
      <c r="I4127" s="26"/>
    </row>
    <row r="4128" spans="6:9" x14ac:dyDescent="0.3">
      <c r="F4128" s="26"/>
      <c r="G4128" s="26"/>
      <c r="H4128" s="26"/>
      <c r="I4128" s="26"/>
    </row>
    <row r="4129" spans="6:9" x14ac:dyDescent="0.3">
      <c r="F4129" s="26"/>
      <c r="G4129" s="26"/>
      <c r="H4129" s="26"/>
      <c r="I4129" s="26"/>
    </row>
    <row r="4130" spans="6:9" x14ac:dyDescent="0.3">
      <c r="F4130" s="26"/>
      <c r="G4130" s="26"/>
      <c r="H4130" s="26"/>
      <c r="I4130" s="26"/>
    </row>
    <row r="4131" spans="6:9" x14ac:dyDescent="0.3">
      <c r="F4131" s="26"/>
      <c r="G4131" s="26"/>
      <c r="H4131" s="26"/>
      <c r="I4131" s="26"/>
    </row>
    <row r="4132" spans="6:9" x14ac:dyDescent="0.3">
      <c r="F4132" s="26"/>
      <c r="G4132" s="26"/>
      <c r="H4132" s="26"/>
      <c r="I4132" s="26"/>
    </row>
    <row r="4133" spans="6:9" x14ac:dyDescent="0.3">
      <c r="F4133" s="26"/>
      <c r="G4133" s="26"/>
      <c r="H4133" s="26"/>
      <c r="I4133" s="26"/>
    </row>
    <row r="4134" spans="6:9" x14ac:dyDescent="0.3">
      <c r="F4134" s="26"/>
      <c r="G4134" s="26"/>
      <c r="H4134" s="26"/>
      <c r="I4134" s="26"/>
    </row>
    <row r="4135" spans="6:9" x14ac:dyDescent="0.3">
      <c r="F4135" s="26"/>
      <c r="G4135" s="26"/>
      <c r="H4135" s="26"/>
      <c r="I4135" s="26"/>
    </row>
    <row r="4136" spans="6:9" x14ac:dyDescent="0.3">
      <c r="F4136" s="26"/>
      <c r="G4136" s="26"/>
      <c r="H4136" s="26"/>
      <c r="I4136" s="26"/>
    </row>
    <row r="4137" spans="6:9" x14ac:dyDescent="0.3">
      <c r="F4137" s="26"/>
      <c r="G4137" s="26"/>
      <c r="H4137" s="26"/>
      <c r="I4137" s="26"/>
    </row>
    <row r="4138" spans="6:9" x14ac:dyDescent="0.3">
      <c r="F4138" s="26"/>
      <c r="G4138" s="26"/>
      <c r="H4138" s="26"/>
      <c r="I4138" s="26"/>
    </row>
    <row r="4139" spans="6:9" x14ac:dyDescent="0.3">
      <c r="F4139" s="26"/>
      <c r="G4139" s="26"/>
      <c r="H4139" s="26"/>
      <c r="I4139" s="26"/>
    </row>
    <row r="4140" spans="6:9" x14ac:dyDescent="0.3">
      <c r="F4140" s="26"/>
      <c r="G4140" s="26"/>
      <c r="H4140" s="26"/>
      <c r="I4140" s="26"/>
    </row>
    <row r="4141" spans="6:9" x14ac:dyDescent="0.3">
      <c r="F4141" s="26"/>
      <c r="G4141" s="26"/>
      <c r="H4141" s="26"/>
      <c r="I4141" s="26"/>
    </row>
    <row r="4142" spans="6:9" x14ac:dyDescent="0.3">
      <c r="F4142" s="26"/>
      <c r="G4142" s="26"/>
      <c r="H4142" s="26"/>
      <c r="I4142" s="26"/>
    </row>
    <row r="4143" spans="6:9" x14ac:dyDescent="0.3">
      <c r="F4143" s="26"/>
      <c r="G4143" s="26"/>
      <c r="H4143" s="26"/>
      <c r="I4143" s="26"/>
    </row>
    <row r="4144" spans="6:9" x14ac:dyDescent="0.3">
      <c r="F4144" s="26"/>
      <c r="G4144" s="26"/>
      <c r="H4144" s="26"/>
      <c r="I4144" s="26"/>
    </row>
    <row r="4145" spans="6:9" x14ac:dyDescent="0.3">
      <c r="F4145" s="26"/>
      <c r="G4145" s="26"/>
      <c r="H4145" s="26"/>
      <c r="I4145" s="26"/>
    </row>
    <row r="4146" spans="6:9" x14ac:dyDescent="0.3">
      <c r="F4146" s="26"/>
      <c r="G4146" s="26"/>
      <c r="H4146" s="26"/>
      <c r="I4146" s="26"/>
    </row>
    <row r="4147" spans="6:9" x14ac:dyDescent="0.3">
      <c r="F4147" s="26"/>
      <c r="G4147" s="26"/>
      <c r="H4147" s="26"/>
      <c r="I4147" s="26"/>
    </row>
    <row r="4148" spans="6:9" x14ac:dyDescent="0.3">
      <c r="F4148" s="26"/>
      <c r="G4148" s="26"/>
      <c r="H4148" s="26"/>
      <c r="I4148" s="26"/>
    </row>
    <row r="4149" spans="6:9" x14ac:dyDescent="0.3">
      <c r="F4149" s="26"/>
      <c r="G4149" s="26"/>
      <c r="H4149" s="26"/>
      <c r="I4149" s="26"/>
    </row>
    <row r="4150" spans="6:9" x14ac:dyDescent="0.3">
      <c r="F4150" s="26"/>
      <c r="G4150" s="26"/>
      <c r="H4150" s="26"/>
      <c r="I4150" s="26"/>
    </row>
    <row r="4151" spans="6:9" x14ac:dyDescent="0.3">
      <c r="F4151" s="26"/>
      <c r="G4151" s="26"/>
      <c r="H4151" s="26"/>
      <c r="I4151" s="26"/>
    </row>
    <row r="4152" spans="6:9" x14ac:dyDescent="0.3">
      <c r="F4152" s="26"/>
      <c r="G4152" s="26"/>
      <c r="H4152" s="26"/>
      <c r="I4152" s="26"/>
    </row>
    <row r="4153" spans="6:9" x14ac:dyDescent="0.3">
      <c r="F4153" s="26"/>
      <c r="G4153" s="26"/>
      <c r="H4153" s="26"/>
      <c r="I4153" s="26"/>
    </row>
    <row r="4154" spans="6:9" x14ac:dyDescent="0.3">
      <c r="F4154" s="26"/>
      <c r="G4154" s="26"/>
      <c r="H4154" s="26"/>
      <c r="I4154" s="26"/>
    </row>
    <row r="4155" spans="6:9" x14ac:dyDescent="0.3">
      <c r="F4155" s="26"/>
      <c r="G4155" s="26"/>
      <c r="H4155" s="26"/>
      <c r="I4155" s="26"/>
    </row>
    <row r="4156" spans="6:9" x14ac:dyDescent="0.3">
      <c r="F4156" s="26"/>
      <c r="G4156" s="26"/>
      <c r="H4156" s="26"/>
      <c r="I4156" s="26"/>
    </row>
    <row r="4157" spans="6:9" x14ac:dyDescent="0.3">
      <c r="F4157" s="26"/>
      <c r="G4157" s="26"/>
      <c r="H4157" s="26"/>
      <c r="I4157" s="26"/>
    </row>
    <row r="4158" spans="6:9" x14ac:dyDescent="0.3">
      <c r="F4158" s="26"/>
      <c r="G4158" s="26"/>
      <c r="H4158" s="26"/>
      <c r="I4158" s="26"/>
    </row>
    <row r="4159" spans="6:9" x14ac:dyDescent="0.3">
      <c r="F4159" s="26"/>
      <c r="G4159" s="26"/>
      <c r="H4159" s="26"/>
      <c r="I4159" s="26"/>
    </row>
    <row r="4160" spans="6:9" x14ac:dyDescent="0.3">
      <c r="F4160" s="26"/>
      <c r="G4160" s="26"/>
      <c r="H4160" s="26"/>
      <c r="I4160" s="26"/>
    </row>
    <row r="4161" spans="6:9" x14ac:dyDescent="0.3">
      <c r="F4161" s="26"/>
      <c r="G4161" s="26"/>
      <c r="H4161" s="26"/>
      <c r="I4161" s="26"/>
    </row>
    <row r="4162" spans="6:9" x14ac:dyDescent="0.3">
      <c r="F4162" s="26"/>
      <c r="G4162" s="26"/>
      <c r="H4162" s="26"/>
      <c r="I4162" s="26"/>
    </row>
    <row r="4163" spans="6:9" x14ac:dyDescent="0.3">
      <c r="F4163" s="26"/>
      <c r="G4163" s="26"/>
      <c r="H4163" s="26"/>
      <c r="I4163" s="26"/>
    </row>
    <row r="4164" spans="6:9" x14ac:dyDescent="0.3">
      <c r="F4164" s="26"/>
      <c r="G4164" s="26"/>
      <c r="H4164" s="26"/>
      <c r="I4164" s="26"/>
    </row>
    <row r="4165" spans="6:9" x14ac:dyDescent="0.3">
      <c r="F4165" s="26"/>
      <c r="G4165" s="26"/>
      <c r="H4165" s="26"/>
      <c r="I4165" s="26"/>
    </row>
    <row r="4166" spans="6:9" x14ac:dyDescent="0.3">
      <c r="F4166" s="26"/>
      <c r="G4166" s="26"/>
      <c r="H4166" s="26"/>
      <c r="I4166" s="26"/>
    </row>
    <row r="4167" spans="6:9" x14ac:dyDescent="0.3">
      <c r="F4167" s="26"/>
      <c r="G4167" s="26"/>
      <c r="H4167" s="26"/>
      <c r="I4167" s="26"/>
    </row>
    <row r="4168" spans="6:9" x14ac:dyDescent="0.3">
      <c r="F4168" s="26"/>
      <c r="G4168" s="26"/>
      <c r="H4168" s="26"/>
      <c r="I4168" s="26"/>
    </row>
    <row r="4169" spans="6:9" x14ac:dyDescent="0.3">
      <c r="F4169" s="26"/>
      <c r="G4169" s="26"/>
      <c r="H4169" s="26"/>
      <c r="I4169" s="26"/>
    </row>
    <row r="4170" spans="6:9" x14ac:dyDescent="0.3">
      <c r="F4170" s="26"/>
      <c r="G4170" s="26"/>
      <c r="H4170" s="26"/>
      <c r="I4170" s="26"/>
    </row>
    <row r="4171" spans="6:9" x14ac:dyDescent="0.3">
      <c r="F4171" s="26"/>
      <c r="G4171" s="26"/>
      <c r="H4171" s="26"/>
      <c r="I4171" s="26"/>
    </row>
    <row r="4172" spans="6:9" x14ac:dyDescent="0.3">
      <c r="F4172" s="26"/>
      <c r="G4172" s="26"/>
      <c r="H4172" s="26"/>
      <c r="I4172" s="26"/>
    </row>
    <row r="4173" spans="6:9" x14ac:dyDescent="0.3">
      <c r="F4173" s="26"/>
      <c r="G4173" s="26"/>
      <c r="H4173" s="26"/>
      <c r="I4173" s="26"/>
    </row>
    <row r="4174" spans="6:9" x14ac:dyDescent="0.3">
      <c r="F4174" s="26"/>
      <c r="G4174" s="26"/>
      <c r="H4174" s="26"/>
      <c r="I4174" s="26"/>
    </row>
    <row r="4175" spans="6:9" x14ac:dyDescent="0.3">
      <c r="F4175" s="26"/>
      <c r="G4175" s="26"/>
      <c r="H4175" s="26"/>
      <c r="I4175" s="26"/>
    </row>
    <row r="4176" spans="6:9" x14ac:dyDescent="0.3">
      <c r="F4176" s="26"/>
      <c r="G4176" s="26"/>
      <c r="H4176" s="26"/>
      <c r="I4176" s="26"/>
    </row>
    <row r="4177" spans="6:9" x14ac:dyDescent="0.3">
      <c r="F4177" s="26"/>
      <c r="G4177" s="26"/>
      <c r="H4177" s="26"/>
      <c r="I4177" s="26"/>
    </row>
    <row r="4178" spans="6:9" x14ac:dyDescent="0.3">
      <c r="F4178" s="26"/>
      <c r="G4178" s="26"/>
      <c r="H4178" s="26"/>
      <c r="I4178" s="26"/>
    </row>
    <row r="4179" spans="6:9" x14ac:dyDescent="0.3">
      <c r="F4179" s="26"/>
      <c r="G4179" s="26"/>
      <c r="H4179" s="26"/>
      <c r="I4179" s="26"/>
    </row>
    <row r="4180" spans="6:9" x14ac:dyDescent="0.3">
      <c r="F4180" s="26"/>
      <c r="G4180" s="26"/>
      <c r="H4180" s="26"/>
      <c r="I4180" s="26"/>
    </row>
    <row r="4181" spans="6:9" x14ac:dyDescent="0.3">
      <c r="F4181" s="26"/>
      <c r="G4181" s="26"/>
      <c r="H4181" s="26"/>
      <c r="I4181" s="26"/>
    </row>
    <row r="4182" spans="6:9" x14ac:dyDescent="0.3">
      <c r="F4182" s="26"/>
      <c r="G4182" s="26"/>
      <c r="H4182" s="26"/>
      <c r="I4182" s="26"/>
    </row>
    <row r="4183" spans="6:9" x14ac:dyDescent="0.3">
      <c r="F4183" s="26"/>
      <c r="G4183" s="26"/>
      <c r="H4183" s="26"/>
      <c r="I4183" s="26"/>
    </row>
    <row r="4184" spans="6:9" x14ac:dyDescent="0.3">
      <c r="F4184" s="26"/>
      <c r="G4184" s="26"/>
      <c r="H4184" s="26"/>
      <c r="I4184" s="26"/>
    </row>
    <row r="4185" spans="6:9" x14ac:dyDescent="0.3">
      <c r="F4185" s="26"/>
      <c r="G4185" s="26"/>
      <c r="H4185" s="26"/>
      <c r="I4185" s="26"/>
    </row>
    <row r="4186" spans="6:9" x14ac:dyDescent="0.3">
      <c r="F4186" s="26"/>
      <c r="G4186" s="26"/>
      <c r="H4186" s="26"/>
      <c r="I4186" s="26"/>
    </row>
    <row r="4187" spans="6:9" x14ac:dyDescent="0.3">
      <c r="F4187" s="26"/>
      <c r="G4187" s="26"/>
      <c r="H4187" s="26"/>
      <c r="I4187" s="26"/>
    </row>
    <row r="4188" spans="6:9" x14ac:dyDescent="0.3">
      <c r="F4188" s="26"/>
      <c r="G4188" s="26"/>
      <c r="H4188" s="26"/>
      <c r="I4188" s="26"/>
    </row>
    <row r="4189" spans="6:9" x14ac:dyDescent="0.3">
      <c r="F4189" s="26"/>
      <c r="G4189" s="26"/>
      <c r="H4189" s="26"/>
      <c r="I4189" s="26"/>
    </row>
    <row r="4190" spans="6:9" x14ac:dyDescent="0.3">
      <c r="F4190" s="26"/>
      <c r="G4190" s="26"/>
      <c r="H4190" s="26"/>
      <c r="I4190" s="26"/>
    </row>
    <row r="4191" spans="6:9" x14ac:dyDescent="0.3">
      <c r="F4191" s="26"/>
      <c r="G4191" s="26"/>
      <c r="H4191" s="26"/>
      <c r="I4191" s="26"/>
    </row>
    <row r="4192" spans="6:9" x14ac:dyDescent="0.3">
      <c r="F4192" s="26"/>
      <c r="G4192" s="26"/>
      <c r="H4192" s="26"/>
      <c r="I4192" s="26"/>
    </row>
    <row r="4193" spans="6:9" x14ac:dyDescent="0.3">
      <c r="F4193" s="26"/>
      <c r="G4193" s="26"/>
      <c r="H4193" s="26"/>
      <c r="I4193" s="26"/>
    </row>
    <row r="4194" spans="6:9" x14ac:dyDescent="0.3">
      <c r="F4194" s="26"/>
      <c r="G4194" s="26"/>
      <c r="H4194" s="26"/>
      <c r="I4194" s="26"/>
    </row>
    <row r="4195" spans="6:9" x14ac:dyDescent="0.3">
      <c r="F4195" s="26"/>
      <c r="G4195" s="26"/>
      <c r="H4195" s="26"/>
      <c r="I4195" s="26"/>
    </row>
    <row r="4196" spans="6:9" x14ac:dyDescent="0.3">
      <c r="F4196" s="26"/>
      <c r="G4196" s="26"/>
      <c r="H4196" s="26"/>
      <c r="I4196" s="26"/>
    </row>
    <row r="4197" spans="6:9" x14ac:dyDescent="0.3">
      <c r="F4197" s="26"/>
      <c r="G4197" s="26"/>
      <c r="H4197" s="26"/>
      <c r="I4197" s="26"/>
    </row>
    <row r="4198" spans="6:9" x14ac:dyDescent="0.3">
      <c r="F4198" s="26"/>
      <c r="G4198" s="26"/>
      <c r="H4198" s="26"/>
      <c r="I4198" s="26"/>
    </row>
    <row r="4199" spans="6:9" x14ac:dyDescent="0.3">
      <c r="F4199" s="26"/>
      <c r="G4199" s="26"/>
      <c r="H4199" s="26"/>
      <c r="I4199" s="26"/>
    </row>
    <row r="4200" spans="6:9" x14ac:dyDescent="0.3">
      <c r="F4200" s="26"/>
      <c r="G4200" s="26"/>
      <c r="H4200" s="26"/>
      <c r="I4200" s="26"/>
    </row>
    <row r="4201" spans="6:9" x14ac:dyDescent="0.3">
      <c r="F4201" s="26"/>
      <c r="G4201" s="26"/>
      <c r="H4201" s="26"/>
      <c r="I4201" s="26"/>
    </row>
    <row r="4202" spans="6:9" x14ac:dyDescent="0.3">
      <c r="F4202" s="26"/>
      <c r="G4202" s="26"/>
      <c r="H4202" s="26"/>
      <c r="I4202" s="26"/>
    </row>
    <row r="4203" spans="6:9" x14ac:dyDescent="0.3">
      <c r="F4203" s="26"/>
      <c r="G4203" s="26"/>
      <c r="H4203" s="26"/>
      <c r="I4203" s="26"/>
    </row>
    <row r="4204" spans="6:9" x14ac:dyDescent="0.3">
      <c r="F4204" s="26"/>
      <c r="G4204" s="26"/>
      <c r="H4204" s="26"/>
      <c r="I4204" s="26"/>
    </row>
    <row r="4205" spans="6:9" x14ac:dyDescent="0.3">
      <c r="F4205" s="26"/>
      <c r="G4205" s="26"/>
      <c r="H4205" s="26"/>
      <c r="I4205" s="26"/>
    </row>
    <row r="4206" spans="6:9" x14ac:dyDescent="0.3">
      <c r="F4206" s="26"/>
      <c r="G4206" s="26"/>
      <c r="H4206" s="26"/>
      <c r="I4206" s="26"/>
    </row>
    <row r="4207" spans="6:9" x14ac:dyDescent="0.3">
      <c r="F4207" s="26"/>
      <c r="G4207" s="26"/>
      <c r="H4207" s="26"/>
      <c r="I4207" s="26"/>
    </row>
    <row r="4208" spans="6:9" x14ac:dyDescent="0.3">
      <c r="F4208" s="26"/>
      <c r="G4208" s="26"/>
      <c r="H4208" s="26"/>
      <c r="I4208" s="26"/>
    </row>
    <row r="4209" spans="6:9" x14ac:dyDescent="0.3">
      <c r="F4209" s="26"/>
      <c r="G4209" s="26"/>
      <c r="H4209" s="26"/>
      <c r="I4209" s="26"/>
    </row>
    <row r="4210" spans="6:9" x14ac:dyDescent="0.3">
      <c r="F4210" s="26"/>
      <c r="G4210" s="26"/>
      <c r="H4210" s="26"/>
      <c r="I4210" s="26"/>
    </row>
    <row r="4211" spans="6:9" x14ac:dyDescent="0.3">
      <c r="F4211" s="26"/>
      <c r="G4211" s="26"/>
      <c r="H4211" s="26"/>
      <c r="I4211" s="26"/>
    </row>
    <row r="4212" spans="6:9" x14ac:dyDescent="0.3">
      <c r="F4212" s="26"/>
      <c r="G4212" s="26"/>
      <c r="H4212" s="26"/>
      <c r="I4212" s="26"/>
    </row>
    <row r="4213" spans="6:9" x14ac:dyDescent="0.3">
      <c r="F4213" s="26"/>
      <c r="G4213" s="26"/>
      <c r="H4213" s="26"/>
      <c r="I4213" s="26"/>
    </row>
    <row r="4214" spans="6:9" x14ac:dyDescent="0.3">
      <c r="F4214" s="26"/>
      <c r="G4214" s="26"/>
      <c r="H4214" s="26"/>
      <c r="I4214" s="26"/>
    </row>
    <row r="4215" spans="6:9" x14ac:dyDescent="0.3">
      <c r="F4215" s="26"/>
      <c r="G4215" s="26"/>
      <c r="H4215" s="26"/>
      <c r="I4215" s="26"/>
    </row>
    <row r="4216" spans="6:9" x14ac:dyDescent="0.3">
      <c r="F4216" s="26"/>
      <c r="G4216" s="26"/>
      <c r="H4216" s="26"/>
      <c r="I4216" s="26"/>
    </row>
    <row r="4217" spans="6:9" x14ac:dyDescent="0.3">
      <c r="F4217" s="26"/>
      <c r="G4217" s="26"/>
      <c r="H4217" s="26"/>
      <c r="I4217" s="26"/>
    </row>
    <row r="4218" spans="6:9" x14ac:dyDescent="0.3">
      <c r="F4218" s="26"/>
      <c r="G4218" s="26"/>
      <c r="H4218" s="26"/>
      <c r="I4218" s="26"/>
    </row>
    <row r="4219" spans="6:9" x14ac:dyDescent="0.3">
      <c r="F4219" s="26"/>
      <c r="G4219" s="26"/>
      <c r="H4219" s="26"/>
      <c r="I4219" s="26"/>
    </row>
    <row r="4220" spans="6:9" x14ac:dyDescent="0.3">
      <c r="F4220" s="26"/>
      <c r="G4220" s="26"/>
      <c r="H4220" s="26"/>
      <c r="I4220" s="26"/>
    </row>
    <row r="4221" spans="6:9" x14ac:dyDescent="0.3">
      <c r="F4221" s="26"/>
      <c r="G4221" s="26"/>
      <c r="H4221" s="26"/>
      <c r="I4221" s="26"/>
    </row>
    <row r="4222" spans="6:9" x14ac:dyDescent="0.3">
      <c r="F4222" s="26"/>
      <c r="G4222" s="26"/>
      <c r="H4222" s="26"/>
      <c r="I4222" s="26"/>
    </row>
    <row r="4223" spans="6:9" x14ac:dyDescent="0.3">
      <c r="F4223" s="26"/>
      <c r="G4223" s="26"/>
      <c r="H4223" s="26"/>
      <c r="I4223" s="26"/>
    </row>
    <row r="4224" spans="6:9" x14ac:dyDescent="0.3">
      <c r="F4224" s="26"/>
      <c r="G4224" s="26"/>
      <c r="H4224" s="26"/>
      <c r="I4224" s="26"/>
    </row>
    <row r="4225" spans="6:9" x14ac:dyDescent="0.3">
      <c r="F4225" s="26"/>
      <c r="G4225" s="26"/>
      <c r="H4225" s="26"/>
      <c r="I4225" s="26"/>
    </row>
    <row r="4226" spans="6:9" x14ac:dyDescent="0.3">
      <c r="F4226" s="26"/>
      <c r="G4226" s="26"/>
      <c r="H4226" s="26"/>
      <c r="I4226" s="26"/>
    </row>
    <row r="4227" spans="6:9" x14ac:dyDescent="0.3">
      <c r="F4227" s="26"/>
      <c r="G4227" s="26"/>
      <c r="H4227" s="26"/>
      <c r="I4227" s="26"/>
    </row>
    <row r="4228" spans="6:9" x14ac:dyDescent="0.3">
      <c r="F4228" s="26"/>
      <c r="G4228" s="26"/>
      <c r="H4228" s="26"/>
      <c r="I4228" s="26"/>
    </row>
    <row r="4229" spans="6:9" x14ac:dyDescent="0.3">
      <c r="F4229" s="26"/>
      <c r="G4229" s="26"/>
      <c r="H4229" s="26"/>
      <c r="I4229" s="26"/>
    </row>
    <row r="4230" spans="6:9" x14ac:dyDescent="0.3">
      <c r="F4230" s="26"/>
      <c r="G4230" s="26"/>
      <c r="H4230" s="26"/>
      <c r="I4230" s="26"/>
    </row>
    <row r="4231" spans="6:9" x14ac:dyDescent="0.3">
      <c r="F4231" s="26"/>
      <c r="G4231" s="26"/>
      <c r="H4231" s="26"/>
      <c r="I4231" s="26"/>
    </row>
    <row r="4232" spans="6:9" x14ac:dyDescent="0.3">
      <c r="F4232" s="26"/>
      <c r="G4232" s="26"/>
      <c r="H4232" s="26"/>
      <c r="I4232" s="26"/>
    </row>
    <row r="4233" spans="6:9" x14ac:dyDescent="0.3">
      <c r="F4233" s="26"/>
      <c r="G4233" s="26"/>
      <c r="H4233" s="26"/>
      <c r="I4233" s="26"/>
    </row>
    <row r="4234" spans="6:9" x14ac:dyDescent="0.3">
      <c r="F4234" s="26"/>
      <c r="G4234" s="26"/>
      <c r="H4234" s="26"/>
      <c r="I4234" s="26"/>
    </row>
    <row r="4235" spans="6:9" x14ac:dyDescent="0.3">
      <c r="F4235" s="26"/>
      <c r="G4235" s="26"/>
      <c r="H4235" s="26"/>
      <c r="I4235" s="26"/>
    </row>
    <row r="4236" spans="6:9" x14ac:dyDescent="0.3">
      <c r="F4236" s="26"/>
      <c r="G4236" s="26"/>
      <c r="H4236" s="26"/>
      <c r="I4236" s="26"/>
    </row>
    <row r="4237" spans="6:9" x14ac:dyDescent="0.3">
      <c r="F4237" s="26"/>
      <c r="G4237" s="26"/>
      <c r="H4237" s="26"/>
      <c r="I4237" s="26"/>
    </row>
    <row r="4238" spans="6:9" x14ac:dyDescent="0.3">
      <c r="F4238" s="26"/>
      <c r="G4238" s="26"/>
      <c r="H4238" s="26"/>
      <c r="I4238" s="26"/>
    </row>
    <row r="4239" spans="6:9" x14ac:dyDescent="0.3">
      <c r="F4239" s="26"/>
      <c r="G4239" s="26"/>
      <c r="H4239" s="26"/>
      <c r="I4239" s="26"/>
    </row>
    <row r="4240" spans="6:9" x14ac:dyDescent="0.3">
      <c r="F4240" s="26"/>
      <c r="G4240" s="26"/>
      <c r="H4240" s="26"/>
      <c r="I4240" s="26"/>
    </row>
    <row r="4241" spans="6:9" x14ac:dyDescent="0.3">
      <c r="F4241" s="26"/>
      <c r="G4241" s="26"/>
      <c r="H4241" s="26"/>
      <c r="I4241" s="26"/>
    </row>
    <row r="4242" spans="6:9" x14ac:dyDescent="0.3">
      <c r="F4242" s="26"/>
      <c r="G4242" s="26"/>
      <c r="H4242" s="26"/>
      <c r="I4242" s="26"/>
    </row>
    <row r="4243" spans="6:9" x14ac:dyDescent="0.3">
      <c r="F4243" s="26"/>
      <c r="G4243" s="26"/>
      <c r="H4243" s="26"/>
      <c r="I4243" s="26"/>
    </row>
    <row r="4244" spans="6:9" x14ac:dyDescent="0.3">
      <c r="F4244" s="26"/>
      <c r="G4244" s="26"/>
      <c r="H4244" s="26"/>
      <c r="I4244" s="26"/>
    </row>
    <row r="4245" spans="6:9" x14ac:dyDescent="0.3">
      <c r="F4245" s="26"/>
      <c r="G4245" s="26"/>
      <c r="H4245" s="26"/>
      <c r="I4245" s="26"/>
    </row>
    <row r="4246" spans="6:9" x14ac:dyDescent="0.3">
      <c r="F4246" s="26"/>
      <c r="G4246" s="26"/>
      <c r="H4246" s="26"/>
      <c r="I4246" s="26"/>
    </row>
    <row r="4247" spans="6:9" x14ac:dyDescent="0.3">
      <c r="F4247" s="26"/>
      <c r="G4247" s="26"/>
      <c r="H4247" s="26"/>
      <c r="I4247" s="26"/>
    </row>
    <row r="4248" spans="6:9" x14ac:dyDescent="0.3">
      <c r="F4248" s="26"/>
      <c r="G4248" s="26"/>
      <c r="H4248" s="26"/>
      <c r="I4248" s="26"/>
    </row>
    <row r="4249" spans="6:9" x14ac:dyDescent="0.3">
      <c r="F4249" s="26"/>
      <c r="G4249" s="26"/>
      <c r="H4249" s="26"/>
      <c r="I4249" s="26"/>
    </row>
    <row r="4250" spans="6:9" x14ac:dyDescent="0.3">
      <c r="F4250" s="26"/>
      <c r="G4250" s="26"/>
      <c r="H4250" s="26"/>
      <c r="I4250" s="26"/>
    </row>
    <row r="4251" spans="6:9" x14ac:dyDescent="0.3">
      <c r="F4251" s="26"/>
      <c r="G4251" s="26"/>
      <c r="H4251" s="26"/>
      <c r="I4251" s="26"/>
    </row>
    <row r="4252" spans="6:9" x14ac:dyDescent="0.3">
      <c r="F4252" s="26"/>
      <c r="G4252" s="26"/>
      <c r="H4252" s="26"/>
      <c r="I4252" s="26"/>
    </row>
    <row r="4253" spans="6:9" x14ac:dyDescent="0.3">
      <c r="F4253" s="26"/>
      <c r="G4253" s="26"/>
      <c r="H4253" s="26"/>
      <c r="I4253" s="26"/>
    </row>
    <row r="4254" spans="6:9" x14ac:dyDescent="0.3">
      <c r="F4254" s="26"/>
      <c r="G4254" s="26"/>
      <c r="H4254" s="26"/>
      <c r="I4254" s="26"/>
    </row>
    <row r="4255" spans="6:9" x14ac:dyDescent="0.3">
      <c r="F4255" s="26"/>
      <c r="G4255" s="26"/>
      <c r="H4255" s="26"/>
      <c r="I4255" s="26"/>
    </row>
    <row r="4256" spans="6:9" x14ac:dyDescent="0.3">
      <c r="F4256" s="26"/>
      <c r="G4256" s="26"/>
      <c r="H4256" s="26"/>
      <c r="I4256" s="26"/>
    </row>
    <row r="4257" spans="6:9" x14ac:dyDescent="0.3">
      <c r="F4257" s="26"/>
      <c r="G4257" s="26"/>
      <c r="H4257" s="26"/>
      <c r="I4257" s="26"/>
    </row>
    <row r="4258" spans="6:9" x14ac:dyDescent="0.3">
      <c r="F4258" s="26"/>
      <c r="G4258" s="26"/>
      <c r="H4258" s="26"/>
      <c r="I4258" s="26"/>
    </row>
    <row r="4259" spans="6:9" x14ac:dyDescent="0.3">
      <c r="F4259" s="26"/>
      <c r="G4259" s="26"/>
      <c r="H4259" s="26"/>
      <c r="I4259" s="26"/>
    </row>
    <row r="4260" spans="6:9" x14ac:dyDescent="0.3">
      <c r="F4260" s="26"/>
      <c r="G4260" s="26"/>
      <c r="H4260" s="26"/>
      <c r="I4260" s="26"/>
    </row>
    <row r="4261" spans="6:9" x14ac:dyDescent="0.3">
      <c r="F4261" s="26"/>
      <c r="G4261" s="26"/>
      <c r="H4261" s="26"/>
      <c r="I4261" s="26"/>
    </row>
    <row r="4262" spans="6:9" x14ac:dyDescent="0.3">
      <c r="F4262" s="26"/>
      <c r="G4262" s="26"/>
      <c r="H4262" s="26"/>
      <c r="I4262" s="26"/>
    </row>
    <row r="4263" spans="6:9" x14ac:dyDescent="0.3">
      <c r="F4263" s="26"/>
      <c r="G4263" s="26"/>
      <c r="H4263" s="26"/>
      <c r="I4263" s="26"/>
    </row>
    <row r="4264" spans="6:9" x14ac:dyDescent="0.3">
      <c r="F4264" s="26"/>
      <c r="G4264" s="26"/>
      <c r="H4264" s="26"/>
      <c r="I4264" s="26"/>
    </row>
    <row r="4265" spans="6:9" x14ac:dyDescent="0.3">
      <c r="F4265" s="26"/>
      <c r="G4265" s="26"/>
      <c r="H4265" s="26"/>
      <c r="I4265" s="26"/>
    </row>
    <row r="4266" spans="6:9" x14ac:dyDescent="0.3">
      <c r="F4266" s="26"/>
      <c r="G4266" s="26"/>
      <c r="H4266" s="26"/>
      <c r="I4266" s="26"/>
    </row>
    <row r="4267" spans="6:9" x14ac:dyDescent="0.3">
      <c r="F4267" s="26"/>
      <c r="G4267" s="26"/>
      <c r="H4267" s="26"/>
      <c r="I4267" s="26"/>
    </row>
    <row r="4268" spans="6:9" x14ac:dyDescent="0.3">
      <c r="F4268" s="26"/>
      <c r="G4268" s="26"/>
      <c r="H4268" s="26"/>
      <c r="I4268" s="26"/>
    </row>
    <row r="4269" spans="6:9" x14ac:dyDescent="0.3">
      <c r="F4269" s="26"/>
      <c r="G4269" s="26"/>
      <c r="H4269" s="26"/>
      <c r="I4269" s="26"/>
    </row>
    <row r="4270" spans="6:9" x14ac:dyDescent="0.3">
      <c r="F4270" s="26"/>
      <c r="G4270" s="26"/>
      <c r="H4270" s="26"/>
      <c r="I4270" s="26"/>
    </row>
    <row r="4271" spans="6:9" x14ac:dyDescent="0.3">
      <c r="F4271" s="26"/>
      <c r="G4271" s="26"/>
      <c r="H4271" s="26"/>
      <c r="I4271" s="26"/>
    </row>
    <row r="4272" spans="6:9" x14ac:dyDescent="0.3">
      <c r="F4272" s="26"/>
      <c r="G4272" s="26"/>
      <c r="H4272" s="26"/>
      <c r="I4272" s="26"/>
    </row>
    <row r="4273" spans="6:9" x14ac:dyDescent="0.3">
      <c r="F4273" s="26"/>
      <c r="G4273" s="26"/>
      <c r="H4273" s="26"/>
      <c r="I4273" s="26"/>
    </row>
    <row r="4274" spans="6:9" x14ac:dyDescent="0.3">
      <c r="F4274" s="26"/>
      <c r="G4274" s="26"/>
      <c r="H4274" s="26"/>
      <c r="I4274" s="26"/>
    </row>
    <row r="4275" spans="6:9" x14ac:dyDescent="0.3">
      <c r="F4275" s="26"/>
      <c r="G4275" s="26"/>
      <c r="H4275" s="26"/>
      <c r="I4275" s="26"/>
    </row>
    <row r="4276" spans="6:9" x14ac:dyDescent="0.3">
      <c r="F4276" s="26"/>
      <c r="G4276" s="26"/>
      <c r="H4276" s="26"/>
      <c r="I4276" s="26"/>
    </row>
    <row r="4277" spans="6:9" x14ac:dyDescent="0.3">
      <c r="F4277" s="26"/>
      <c r="G4277" s="26"/>
      <c r="H4277" s="26"/>
      <c r="I4277" s="26"/>
    </row>
    <row r="4278" spans="6:9" x14ac:dyDescent="0.3">
      <c r="F4278" s="26"/>
      <c r="G4278" s="26"/>
      <c r="H4278" s="26"/>
      <c r="I4278" s="26"/>
    </row>
    <row r="4279" spans="6:9" x14ac:dyDescent="0.3">
      <c r="F4279" s="26"/>
      <c r="G4279" s="26"/>
      <c r="H4279" s="26"/>
      <c r="I4279" s="26"/>
    </row>
    <row r="4280" spans="6:9" x14ac:dyDescent="0.3">
      <c r="F4280" s="26"/>
      <c r="G4280" s="26"/>
      <c r="H4280" s="26"/>
      <c r="I4280" s="26"/>
    </row>
    <row r="4281" spans="6:9" x14ac:dyDescent="0.3">
      <c r="F4281" s="26"/>
      <c r="G4281" s="26"/>
      <c r="H4281" s="26"/>
      <c r="I4281" s="26"/>
    </row>
    <row r="4282" spans="6:9" x14ac:dyDescent="0.3">
      <c r="F4282" s="26"/>
      <c r="G4282" s="26"/>
      <c r="H4282" s="26"/>
      <c r="I4282" s="26"/>
    </row>
    <row r="4283" spans="6:9" x14ac:dyDescent="0.3">
      <c r="F4283" s="26"/>
      <c r="G4283" s="26"/>
      <c r="H4283" s="26"/>
      <c r="I4283" s="26"/>
    </row>
    <row r="4284" spans="6:9" x14ac:dyDescent="0.3">
      <c r="F4284" s="26"/>
      <c r="G4284" s="26"/>
      <c r="H4284" s="26"/>
      <c r="I4284" s="26"/>
    </row>
    <row r="4285" spans="6:9" x14ac:dyDescent="0.3">
      <c r="F4285" s="26"/>
      <c r="G4285" s="26"/>
      <c r="H4285" s="26"/>
      <c r="I4285" s="26"/>
    </row>
    <row r="4286" spans="6:9" x14ac:dyDescent="0.3">
      <c r="F4286" s="26"/>
      <c r="G4286" s="26"/>
      <c r="H4286" s="26"/>
      <c r="I4286" s="26"/>
    </row>
    <row r="4287" spans="6:9" x14ac:dyDescent="0.3">
      <c r="F4287" s="26"/>
      <c r="G4287" s="26"/>
      <c r="H4287" s="26"/>
      <c r="I4287" s="26"/>
    </row>
    <row r="4288" spans="6:9" x14ac:dyDescent="0.3">
      <c r="F4288" s="26"/>
      <c r="G4288" s="26"/>
      <c r="H4288" s="26"/>
      <c r="I4288" s="26"/>
    </row>
    <row r="4289" spans="6:9" x14ac:dyDescent="0.3">
      <c r="F4289" s="26"/>
      <c r="G4289" s="26"/>
      <c r="H4289" s="26"/>
      <c r="I4289" s="26"/>
    </row>
    <row r="4290" spans="6:9" x14ac:dyDescent="0.3">
      <c r="F4290" s="26"/>
      <c r="G4290" s="26"/>
      <c r="H4290" s="26"/>
      <c r="I4290" s="26"/>
    </row>
    <row r="4291" spans="6:9" x14ac:dyDescent="0.3">
      <c r="F4291" s="26"/>
      <c r="G4291" s="26"/>
      <c r="H4291" s="26"/>
      <c r="I4291" s="26"/>
    </row>
    <row r="4292" spans="6:9" x14ac:dyDescent="0.3">
      <c r="F4292" s="26"/>
      <c r="G4292" s="26"/>
      <c r="H4292" s="26"/>
      <c r="I4292" s="26"/>
    </row>
    <row r="4293" spans="6:9" x14ac:dyDescent="0.3">
      <c r="F4293" s="26"/>
      <c r="G4293" s="26"/>
      <c r="H4293" s="26"/>
      <c r="I4293" s="26"/>
    </row>
    <row r="4294" spans="6:9" x14ac:dyDescent="0.3">
      <c r="F4294" s="26"/>
      <c r="G4294" s="26"/>
      <c r="H4294" s="26"/>
      <c r="I4294" s="26"/>
    </row>
    <row r="4295" spans="6:9" x14ac:dyDescent="0.3">
      <c r="F4295" s="26"/>
      <c r="G4295" s="26"/>
      <c r="H4295" s="26"/>
      <c r="I4295" s="26"/>
    </row>
    <row r="4296" spans="6:9" x14ac:dyDescent="0.3">
      <c r="F4296" s="26"/>
      <c r="G4296" s="26"/>
      <c r="H4296" s="26"/>
      <c r="I4296" s="26"/>
    </row>
    <row r="4297" spans="6:9" x14ac:dyDescent="0.3">
      <c r="F4297" s="26"/>
      <c r="G4297" s="26"/>
      <c r="H4297" s="26"/>
      <c r="I4297" s="26"/>
    </row>
    <row r="4298" spans="6:9" x14ac:dyDescent="0.3">
      <c r="F4298" s="26"/>
      <c r="G4298" s="26"/>
      <c r="H4298" s="26"/>
      <c r="I4298" s="26"/>
    </row>
    <row r="4299" spans="6:9" x14ac:dyDescent="0.3">
      <c r="F4299" s="26"/>
      <c r="G4299" s="26"/>
      <c r="H4299" s="26"/>
      <c r="I4299" s="26"/>
    </row>
    <row r="4300" spans="6:9" x14ac:dyDescent="0.3">
      <c r="F4300" s="26"/>
      <c r="G4300" s="26"/>
      <c r="H4300" s="26"/>
      <c r="I4300" s="26"/>
    </row>
    <row r="4301" spans="6:9" x14ac:dyDescent="0.3">
      <c r="F4301" s="26"/>
      <c r="G4301" s="26"/>
      <c r="H4301" s="26"/>
      <c r="I4301" s="26"/>
    </row>
    <row r="4302" spans="6:9" x14ac:dyDescent="0.3">
      <c r="F4302" s="26"/>
      <c r="G4302" s="26"/>
      <c r="H4302" s="26"/>
      <c r="I4302" s="26"/>
    </row>
    <row r="4303" spans="6:9" x14ac:dyDescent="0.3">
      <c r="F4303" s="26"/>
      <c r="G4303" s="26"/>
      <c r="H4303" s="26"/>
      <c r="I4303" s="26"/>
    </row>
    <row r="4304" spans="6:9" x14ac:dyDescent="0.3">
      <c r="F4304" s="26"/>
      <c r="G4304" s="26"/>
      <c r="H4304" s="26"/>
      <c r="I4304" s="26"/>
    </row>
    <row r="4305" spans="6:9" x14ac:dyDescent="0.3">
      <c r="F4305" s="26"/>
      <c r="G4305" s="26"/>
      <c r="H4305" s="26"/>
      <c r="I4305" s="26"/>
    </row>
    <row r="4306" spans="6:9" x14ac:dyDescent="0.3">
      <c r="F4306" s="26"/>
      <c r="G4306" s="26"/>
      <c r="H4306" s="26"/>
      <c r="I4306" s="26"/>
    </row>
    <row r="4307" spans="6:9" x14ac:dyDescent="0.3">
      <c r="F4307" s="26"/>
      <c r="G4307" s="26"/>
      <c r="H4307" s="26"/>
      <c r="I4307" s="26"/>
    </row>
    <row r="4308" spans="6:9" x14ac:dyDescent="0.3">
      <c r="F4308" s="26"/>
      <c r="G4308" s="26"/>
      <c r="H4308" s="26"/>
      <c r="I4308" s="26"/>
    </row>
    <row r="4309" spans="6:9" x14ac:dyDescent="0.3">
      <c r="F4309" s="26"/>
      <c r="G4309" s="26"/>
      <c r="H4309" s="26"/>
      <c r="I4309" s="26"/>
    </row>
    <row r="4310" spans="6:9" x14ac:dyDescent="0.3">
      <c r="F4310" s="26"/>
      <c r="G4310" s="26"/>
      <c r="H4310" s="26"/>
      <c r="I4310" s="26"/>
    </row>
    <row r="4311" spans="6:9" x14ac:dyDescent="0.3">
      <c r="F4311" s="26"/>
      <c r="G4311" s="26"/>
      <c r="H4311" s="26"/>
      <c r="I4311" s="26"/>
    </row>
    <row r="4312" spans="6:9" x14ac:dyDescent="0.3">
      <c r="F4312" s="26"/>
      <c r="G4312" s="26"/>
      <c r="H4312" s="26"/>
      <c r="I4312" s="26"/>
    </row>
    <row r="4313" spans="6:9" x14ac:dyDescent="0.3">
      <c r="F4313" s="26"/>
      <c r="G4313" s="26"/>
      <c r="H4313" s="26"/>
      <c r="I4313" s="26"/>
    </row>
    <row r="4314" spans="6:9" x14ac:dyDescent="0.3">
      <c r="F4314" s="26"/>
      <c r="G4314" s="26"/>
      <c r="H4314" s="26"/>
      <c r="I4314" s="26"/>
    </row>
    <row r="4315" spans="6:9" x14ac:dyDescent="0.3">
      <c r="F4315" s="26"/>
      <c r="G4315" s="26"/>
      <c r="H4315" s="26"/>
      <c r="I4315" s="26"/>
    </row>
    <row r="4316" spans="6:9" x14ac:dyDescent="0.3">
      <c r="F4316" s="26"/>
      <c r="G4316" s="26"/>
      <c r="H4316" s="26"/>
      <c r="I4316" s="26"/>
    </row>
    <row r="4317" spans="6:9" x14ac:dyDescent="0.3">
      <c r="F4317" s="26"/>
      <c r="G4317" s="26"/>
      <c r="H4317" s="26"/>
      <c r="I4317" s="26"/>
    </row>
    <row r="4318" spans="6:9" x14ac:dyDescent="0.3">
      <c r="F4318" s="26"/>
      <c r="G4318" s="26"/>
      <c r="H4318" s="26"/>
      <c r="I4318" s="26"/>
    </row>
    <row r="4319" spans="6:9" x14ac:dyDescent="0.3">
      <c r="F4319" s="26"/>
      <c r="G4319" s="26"/>
      <c r="H4319" s="26"/>
      <c r="I4319" s="26"/>
    </row>
    <row r="4320" spans="6:9" x14ac:dyDescent="0.3">
      <c r="F4320" s="26"/>
      <c r="G4320" s="26"/>
      <c r="H4320" s="26"/>
      <c r="I4320" s="26"/>
    </row>
    <row r="4321" spans="6:9" x14ac:dyDescent="0.3">
      <c r="F4321" s="26"/>
      <c r="G4321" s="26"/>
      <c r="H4321" s="26"/>
      <c r="I4321" s="26"/>
    </row>
    <row r="4322" spans="6:9" x14ac:dyDescent="0.3">
      <c r="F4322" s="26"/>
      <c r="G4322" s="26"/>
      <c r="H4322" s="26"/>
      <c r="I4322" s="26"/>
    </row>
    <row r="4323" spans="6:9" x14ac:dyDescent="0.3">
      <c r="F4323" s="26"/>
      <c r="G4323" s="26"/>
      <c r="H4323" s="26"/>
      <c r="I4323" s="26"/>
    </row>
    <row r="4324" spans="6:9" x14ac:dyDescent="0.3">
      <c r="F4324" s="26"/>
      <c r="G4324" s="26"/>
      <c r="H4324" s="26"/>
      <c r="I4324" s="26"/>
    </row>
    <row r="4325" spans="6:9" x14ac:dyDescent="0.3">
      <c r="F4325" s="26"/>
      <c r="G4325" s="26"/>
      <c r="H4325" s="26"/>
      <c r="I4325" s="26"/>
    </row>
    <row r="4326" spans="6:9" x14ac:dyDescent="0.3">
      <c r="F4326" s="26"/>
      <c r="G4326" s="26"/>
      <c r="H4326" s="26"/>
      <c r="I4326" s="26"/>
    </row>
    <row r="4327" spans="6:9" x14ac:dyDescent="0.3">
      <c r="F4327" s="26"/>
      <c r="G4327" s="26"/>
      <c r="H4327" s="26"/>
      <c r="I4327" s="26"/>
    </row>
    <row r="4328" spans="6:9" x14ac:dyDescent="0.3">
      <c r="F4328" s="26"/>
      <c r="G4328" s="26"/>
      <c r="H4328" s="26"/>
      <c r="I4328" s="26"/>
    </row>
    <row r="4329" spans="6:9" x14ac:dyDescent="0.3">
      <c r="F4329" s="26"/>
      <c r="G4329" s="26"/>
      <c r="H4329" s="26"/>
      <c r="I4329" s="26"/>
    </row>
    <row r="4330" spans="6:9" x14ac:dyDescent="0.3">
      <c r="F4330" s="26"/>
      <c r="G4330" s="26"/>
      <c r="H4330" s="26"/>
      <c r="I4330" s="26"/>
    </row>
    <row r="4331" spans="6:9" x14ac:dyDescent="0.3">
      <c r="F4331" s="26"/>
      <c r="G4331" s="26"/>
      <c r="H4331" s="26"/>
      <c r="I4331" s="26"/>
    </row>
    <row r="4332" spans="6:9" x14ac:dyDescent="0.3">
      <c r="F4332" s="26"/>
      <c r="G4332" s="26"/>
      <c r="H4332" s="26"/>
      <c r="I4332" s="26"/>
    </row>
    <row r="4333" spans="6:9" x14ac:dyDescent="0.3">
      <c r="F4333" s="26"/>
      <c r="G4333" s="26"/>
      <c r="H4333" s="26"/>
      <c r="I4333" s="26"/>
    </row>
    <row r="4334" spans="6:9" x14ac:dyDescent="0.3">
      <c r="F4334" s="26"/>
      <c r="G4334" s="26"/>
      <c r="H4334" s="26"/>
      <c r="I4334" s="26"/>
    </row>
    <row r="4335" spans="6:9" x14ac:dyDescent="0.3">
      <c r="F4335" s="26"/>
      <c r="G4335" s="26"/>
      <c r="H4335" s="26"/>
      <c r="I4335" s="26"/>
    </row>
    <row r="4336" spans="6:9" x14ac:dyDescent="0.3">
      <c r="F4336" s="26"/>
      <c r="G4336" s="26"/>
      <c r="H4336" s="26"/>
      <c r="I4336" s="26"/>
    </row>
    <row r="4337" spans="6:9" x14ac:dyDescent="0.3">
      <c r="F4337" s="26"/>
      <c r="G4337" s="26"/>
      <c r="H4337" s="26"/>
      <c r="I4337" s="26"/>
    </row>
    <row r="4338" spans="6:9" x14ac:dyDescent="0.3">
      <c r="F4338" s="26"/>
      <c r="G4338" s="26"/>
      <c r="H4338" s="26"/>
      <c r="I4338" s="26"/>
    </row>
    <row r="4339" spans="6:9" x14ac:dyDescent="0.3">
      <c r="F4339" s="26"/>
      <c r="G4339" s="26"/>
      <c r="H4339" s="26"/>
      <c r="I4339" s="26"/>
    </row>
    <row r="4340" spans="6:9" x14ac:dyDescent="0.3">
      <c r="F4340" s="26"/>
      <c r="G4340" s="26"/>
      <c r="H4340" s="26"/>
      <c r="I4340" s="26"/>
    </row>
    <row r="4341" spans="6:9" x14ac:dyDescent="0.3">
      <c r="F4341" s="26"/>
      <c r="G4341" s="26"/>
      <c r="H4341" s="26"/>
      <c r="I4341" s="26"/>
    </row>
    <row r="4342" spans="6:9" x14ac:dyDescent="0.3">
      <c r="F4342" s="26"/>
      <c r="G4342" s="26"/>
      <c r="H4342" s="26"/>
      <c r="I4342" s="26"/>
    </row>
    <row r="4343" spans="6:9" x14ac:dyDescent="0.3">
      <c r="F4343" s="26"/>
      <c r="G4343" s="26"/>
      <c r="H4343" s="26"/>
      <c r="I4343" s="26"/>
    </row>
    <row r="4344" spans="6:9" x14ac:dyDescent="0.3">
      <c r="F4344" s="26"/>
      <c r="G4344" s="26"/>
      <c r="H4344" s="26"/>
      <c r="I4344" s="26"/>
    </row>
    <row r="4345" spans="6:9" x14ac:dyDescent="0.3">
      <c r="F4345" s="26"/>
      <c r="G4345" s="26"/>
      <c r="H4345" s="26"/>
      <c r="I4345" s="26"/>
    </row>
    <row r="4346" spans="6:9" x14ac:dyDescent="0.3">
      <c r="F4346" s="26"/>
      <c r="G4346" s="26"/>
      <c r="H4346" s="26"/>
      <c r="I4346" s="26"/>
    </row>
    <row r="4347" spans="6:9" x14ac:dyDescent="0.3">
      <c r="F4347" s="26"/>
      <c r="G4347" s="26"/>
      <c r="H4347" s="26"/>
      <c r="I4347" s="26"/>
    </row>
    <row r="4348" spans="6:9" x14ac:dyDescent="0.3">
      <c r="F4348" s="26"/>
      <c r="G4348" s="26"/>
      <c r="H4348" s="26"/>
      <c r="I4348" s="26"/>
    </row>
    <row r="4349" spans="6:9" x14ac:dyDescent="0.3">
      <c r="F4349" s="26"/>
      <c r="G4349" s="26"/>
      <c r="H4349" s="26"/>
      <c r="I4349" s="26"/>
    </row>
    <row r="4350" spans="6:9" x14ac:dyDescent="0.3">
      <c r="F4350" s="26"/>
      <c r="G4350" s="26"/>
      <c r="H4350" s="26"/>
      <c r="I4350" s="26"/>
    </row>
    <row r="4351" spans="6:9" x14ac:dyDescent="0.3">
      <c r="F4351" s="26"/>
      <c r="G4351" s="26"/>
      <c r="H4351" s="26"/>
      <c r="I4351" s="26"/>
    </row>
    <row r="4352" spans="6:9" x14ac:dyDescent="0.3">
      <c r="F4352" s="26"/>
      <c r="G4352" s="26"/>
      <c r="H4352" s="26"/>
      <c r="I4352" s="26"/>
    </row>
    <row r="4353" spans="6:9" x14ac:dyDescent="0.3">
      <c r="F4353" s="26"/>
      <c r="G4353" s="26"/>
      <c r="H4353" s="26"/>
      <c r="I4353" s="26"/>
    </row>
    <row r="4354" spans="6:9" x14ac:dyDescent="0.3">
      <c r="F4354" s="26"/>
      <c r="G4354" s="26"/>
      <c r="H4354" s="26"/>
      <c r="I4354" s="26"/>
    </row>
    <row r="4355" spans="6:9" x14ac:dyDescent="0.3">
      <c r="F4355" s="26"/>
      <c r="G4355" s="26"/>
      <c r="H4355" s="26"/>
      <c r="I4355" s="26"/>
    </row>
    <row r="4356" spans="6:9" x14ac:dyDescent="0.3">
      <c r="F4356" s="26"/>
      <c r="G4356" s="26"/>
      <c r="H4356" s="26"/>
      <c r="I4356" s="26"/>
    </row>
    <row r="4357" spans="6:9" x14ac:dyDescent="0.3">
      <c r="F4357" s="26"/>
      <c r="G4357" s="26"/>
      <c r="H4357" s="26"/>
      <c r="I4357" s="26"/>
    </row>
    <row r="4358" spans="6:9" x14ac:dyDescent="0.3">
      <c r="F4358" s="26"/>
      <c r="G4358" s="26"/>
      <c r="H4358" s="26"/>
      <c r="I4358" s="26"/>
    </row>
    <row r="4359" spans="6:9" x14ac:dyDescent="0.3">
      <c r="F4359" s="26"/>
      <c r="G4359" s="26"/>
      <c r="H4359" s="26"/>
      <c r="I4359" s="26"/>
    </row>
    <row r="4360" spans="6:9" x14ac:dyDescent="0.3">
      <c r="F4360" s="26"/>
      <c r="G4360" s="26"/>
      <c r="H4360" s="26"/>
      <c r="I4360" s="26"/>
    </row>
    <row r="4361" spans="6:9" x14ac:dyDescent="0.3">
      <c r="F4361" s="26"/>
      <c r="G4361" s="26"/>
      <c r="H4361" s="26"/>
      <c r="I4361" s="26"/>
    </row>
    <row r="4362" spans="6:9" x14ac:dyDescent="0.3">
      <c r="F4362" s="26"/>
      <c r="G4362" s="26"/>
      <c r="H4362" s="26"/>
      <c r="I4362" s="26"/>
    </row>
    <row r="4363" spans="6:9" x14ac:dyDescent="0.3">
      <c r="F4363" s="26"/>
      <c r="G4363" s="26"/>
      <c r="H4363" s="26"/>
      <c r="I4363" s="26"/>
    </row>
    <row r="4364" spans="6:9" x14ac:dyDescent="0.3">
      <c r="F4364" s="26"/>
      <c r="G4364" s="26"/>
      <c r="H4364" s="26"/>
      <c r="I4364" s="26"/>
    </row>
    <row r="4365" spans="6:9" x14ac:dyDescent="0.3">
      <c r="F4365" s="26"/>
      <c r="G4365" s="26"/>
      <c r="H4365" s="26"/>
      <c r="I4365" s="26"/>
    </row>
    <row r="4366" spans="6:9" x14ac:dyDescent="0.3">
      <c r="F4366" s="26"/>
      <c r="G4366" s="26"/>
      <c r="H4366" s="26"/>
      <c r="I4366" s="26"/>
    </row>
    <row r="4367" spans="6:9" x14ac:dyDescent="0.3">
      <c r="F4367" s="26"/>
      <c r="G4367" s="26"/>
      <c r="H4367" s="26"/>
      <c r="I4367" s="26"/>
    </row>
    <row r="4368" spans="6:9" x14ac:dyDescent="0.3">
      <c r="F4368" s="26"/>
      <c r="G4368" s="26"/>
      <c r="H4368" s="26"/>
      <c r="I4368" s="26"/>
    </row>
    <row r="4369" spans="6:9" x14ac:dyDescent="0.3">
      <c r="F4369" s="26"/>
      <c r="G4369" s="26"/>
      <c r="H4369" s="26"/>
      <c r="I4369" s="26"/>
    </row>
    <row r="4370" spans="6:9" x14ac:dyDescent="0.3">
      <c r="F4370" s="26"/>
      <c r="G4370" s="26"/>
      <c r="H4370" s="26"/>
      <c r="I4370" s="26"/>
    </row>
    <row r="4371" spans="6:9" x14ac:dyDescent="0.3">
      <c r="F4371" s="26"/>
      <c r="G4371" s="26"/>
      <c r="H4371" s="26"/>
      <c r="I4371" s="26"/>
    </row>
    <row r="4372" spans="6:9" x14ac:dyDescent="0.3">
      <c r="F4372" s="26"/>
      <c r="G4372" s="26"/>
      <c r="H4372" s="26"/>
      <c r="I4372" s="26"/>
    </row>
    <row r="4373" spans="6:9" x14ac:dyDescent="0.3">
      <c r="F4373" s="26"/>
      <c r="G4373" s="26"/>
      <c r="H4373" s="26"/>
      <c r="I4373" s="26"/>
    </row>
    <row r="4374" spans="6:9" x14ac:dyDescent="0.3">
      <c r="F4374" s="26"/>
      <c r="G4374" s="26"/>
      <c r="H4374" s="26"/>
      <c r="I4374" s="26"/>
    </row>
    <row r="4375" spans="6:9" x14ac:dyDescent="0.3">
      <c r="F4375" s="26"/>
      <c r="G4375" s="26"/>
      <c r="H4375" s="26"/>
      <c r="I4375" s="26"/>
    </row>
    <row r="4376" spans="6:9" x14ac:dyDescent="0.3">
      <c r="F4376" s="26"/>
      <c r="G4376" s="26"/>
      <c r="H4376" s="26"/>
      <c r="I4376" s="26"/>
    </row>
    <row r="4377" spans="6:9" x14ac:dyDescent="0.3">
      <c r="F4377" s="26"/>
      <c r="G4377" s="26"/>
      <c r="H4377" s="26"/>
      <c r="I4377" s="26"/>
    </row>
    <row r="4378" spans="6:9" x14ac:dyDescent="0.3">
      <c r="F4378" s="26"/>
      <c r="G4378" s="26"/>
      <c r="H4378" s="26"/>
      <c r="I4378" s="26"/>
    </row>
    <row r="4379" spans="6:9" x14ac:dyDescent="0.3">
      <c r="F4379" s="26"/>
      <c r="G4379" s="26"/>
      <c r="H4379" s="26"/>
      <c r="I4379" s="26"/>
    </row>
    <row r="4380" spans="6:9" x14ac:dyDescent="0.3">
      <c r="F4380" s="26"/>
      <c r="G4380" s="26"/>
      <c r="H4380" s="26"/>
      <c r="I4380" s="26"/>
    </row>
    <row r="4381" spans="6:9" x14ac:dyDescent="0.3">
      <c r="F4381" s="26"/>
      <c r="G4381" s="26"/>
      <c r="H4381" s="26"/>
      <c r="I4381" s="26"/>
    </row>
    <row r="4382" spans="6:9" x14ac:dyDescent="0.3">
      <c r="F4382" s="26"/>
      <c r="G4382" s="26"/>
      <c r="H4382" s="26"/>
      <c r="I4382" s="26"/>
    </row>
    <row r="4383" spans="6:9" x14ac:dyDescent="0.3">
      <c r="F4383" s="26"/>
      <c r="G4383" s="26"/>
      <c r="H4383" s="26"/>
      <c r="I4383" s="26"/>
    </row>
    <row r="4384" spans="6:9" x14ac:dyDescent="0.3">
      <c r="F4384" s="26"/>
      <c r="G4384" s="26"/>
      <c r="H4384" s="26"/>
      <c r="I4384" s="26"/>
    </row>
    <row r="4385" spans="6:9" x14ac:dyDescent="0.3">
      <c r="F4385" s="26"/>
      <c r="G4385" s="26"/>
      <c r="H4385" s="26"/>
      <c r="I4385" s="26"/>
    </row>
    <row r="4386" spans="6:9" x14ac:dyDescent="0.3">
      <c r="F4386" s="26"/>
      <c r="G4386" s="26"/>
      <c r="H4386" s="26"/>
      <c r="I4386" s="26"/>
    </row>
    <row r="4387" spans="6:9" x14ac:dyDescent="0.3">
      <c r="F4387" s="26"/>
      <c r="G4387" s="26"/>
      <c r="H4387" s="26"/>
      <c r="I4387" s="26"/>
    </row>
    <row r="4388" spans="6:9" x14ac:dyDescent="0.3">
      <c r="F4388" s="26"/>
      <c r="G4388" s="26"/>
      <c r="H4388" s="26"/>
      <c r="I4388" s="26"/>
    </row>
    <row r="4389" spans="6:9" x14ac:dyDescent="0.3">
      <c r="F4389" s="26"/>
      <c r="G4389" s="26"/>
      <c r="H4389" s="26"/>
      <c r="I4389" s="26"/>
    </row>
    <row r="4390" spans="6:9" x14ac:dyDescent="0.3">
      <c r="F4390" s="26"/>
      <c r="G4390" s="26"/>
      <c r="H4390" s="26"/>
      <c r="I4390" s="26"/>
    </row>
    <row r="4391" spans="6:9" x14ac:dyDescent="0.3">
      <c r="F4391" s="26"/>
      <c r="G4391" s="26"/>
      <c r="H4391" s="26"/>
      <c r="I4391" s="26"/>
    </row>
    <row r="4392" spans="6:9" x14ac:dyDescent="0.3">
      <c r="F4392" s="26"/>
      <c r="G4392" s="26"/>
      <c r="H4392" s="26"/>
      <c r="I4392" s="26"/>
    </row>
    <row r="4393" spans="6:9" x14ac:dyDescent="0.3">
      <c r="F4393" s="26"/>
      <c r="G4393" s="26"/>
      <c r="H4393" s="26"/>
      <c r="I4393" s="26"/>
    </row>
    <row r="4394" spans="6:9" x14ac:dyDescent="0.3">
      <c r="F4394" s="26"/>
      <c r="G4394" s="26"/>
      <c r="H4394" s="26"/>
      <c r="I4394" s="26"/>
    </row>
    <row r="4395" spans="6:9" x14ac:dyDescent="0.3">
      <c r="F4395" s="26"/>
      <c r="G4395" s="26"/>
      <c r="H4395" s="26"/>
      <c r="I4395" s="26"/>
    </row>
    <row r="4396" spans="6:9" x14ac:dyDescent="0.3">
      <c r="F4396" s="26"/>
      <c r="G4396" s="26"/>
      <c r="H4396" s="26"/>
      <c r="I4396" s="26"/>
    </row>
    <row r="4397" spans="6:9" x14ac:dyDescent="0.3">
      <c r="F4397" s="26"/>
      <c r="G4397" s="26"/>
      <c r="H4397" s="26"/>
      <c r="I4397" s="26"/>
    </row>
    <row r="4398" spans="6:9" x14ac:dyDescent="0.3">
      <c r="F4398" s="26"/>
      <c r="G4398" s="26"/>
      <c r="H4398" s="26"/>
      <c r="I4398" s="26"/>
    </row>
    <row r="4399" spans="6:9" x14ac:dyDescent="0.3">
      <c r="F4399" s="26"/>
      <c r="G4399" s="26"/>
      <c r="H4399" s="26"/>
      <c r="I4399" s="26"/>
    </row>
    <row r="4400" spans="6:9" x14ac:dyDescent="0.3">
      <c r="F4400" s="26"/>
      <c r="G4400" s="26"/>
      <c r="H4400" s="26"/>
      <c r="I4400" s="26"/>
    </row>
    <row r="4401" spans="6:9" x14ac:dyDescent="0.3">
      <c r="F4401" s="26"/>
      <c r="G4401" s="26"/>
      <c r="H4401" s="26"/>
      <c r="I4401" s="26"/>
    </row>
    <row r="4402" spans="6:9" x14ac:dyDescent="0.3">
      <c r="F4402" s="26"/>
      <c r="G4402" s="26"/>
      <c r="H4402" s="26"/>
      <c r="I4402" s="26"/>
    </row>
    <row r="4403" spans="6:9" x14ac:dyDescent="0.3">
      <c r="F4403" s="26"/>
      <c r="G4403" s="26"/>
      <c r="H4403" s="26"/>
      <c r="I4403" s="26"/>
    </row>
    <row r="4404" spans="6:9" x14ac:dyDescent="0.3">
      <c r="F4404" s="26"/>
      <c r="G4404" s="26"/>
      <c r="H4404" s="26"/>
      <c r="I4404" s="26"/>
    </row>
    <row r="4405" spans="6:9" x14ac:dyDescent="0.3">
      <c r="F4405" s="26"/>
      <c r="G4405" s="26"/>
      <c r="H4405" s="26"/>
      <c r="I4405" s="26"/>
    </row>
    <row r="4406" spans="6:9" x14ac:dyDescent="0.3">
      <c r="F4406" s="26"/>
      <c r="G4406" s="26"/>
      <c r="H4406" s="26"/>
      <c r="I4406" s="26"/>
    </row>
    <row r="4407" spans="6:9" x14ac:dyDescent="0.3">
      <c r="F4407" s="26"/>
      <c r="G4407" s="26"/>
      <c r="H4407" s="26"/>
      <c r="I4407" s="26"/>
    </row>
    <row r="4408" spans="6:9" x14ac:dyDescent="0.3">
      <c r="F4408" s="26"/>
      <c r="G4408" s="26"/>
      <c r="H4408" s="26"/>
      <c r="I4408" s="26"/>
    </row>
    <row r="4409" spans="6:9" x14ac:dyDescent="0.3">
      <c r="F4409" s="26"/>
      <c r="G4409" s="26"/>
      <c r="H4409" s="26"/>
      <c r="I4409" s="26"/>
    </row>
    <row r="4410" spans="6:9" x14ac:dyDescent="0.3">
      <c r="F4410" s="26"/>
      <c r="G4410" s="26"/>
      <c r="H4410" s="26"/>
      <c r="I4410" s="26"/>
    </row>
    <row r="4411" spans="6:9" x14ac:dyDescent="0.3">
      <c r="F4411" s="26"/>
      <c r="G4411" s="26"/>
      <c r="H4411" s="26"/>
      <c r="I4411" s="26"/>
    </row>
    <row r="4412" spans="6:9" x14ac:dyDescent="0.3">
      <c r="F4412" s="26"/>
      <c r="G4412" s="26"/>
      <c r="H4412" s="26"/>
      <c r="I4412" s="26"/>
    </row>
    <row r="4413" spans="6:9" x14ac:dyDescent="0.3">
      <c r="F4413" s="26"/>
      <c r="G4413" s="26"/>
      <c r="H4413" s="26"/>
      <c r="I4413" s="26"/>
    </row>
    <row r="4414" spans="6:9" x14ac:dyDescent="0.3">
      <c r="F4414" s="26"/>
      <c r="G4414" s="26"/>
      <c r="H4414" s="26"/>
      <c r="I4414" s="26"/>
    </row>
    <row r="4415" spans="6:9" x14ac:dyDescent="0.3">
      <c r="F4415" s="26"/>
      <c r="G4415" s="26"/>
      <c r="H4415" s="26"/>
      <c r="I4415" s="26"/>
    </row>
    <row r="4416" spans="6:9" x14ac:dyDescent="0.3">
      <c r="F4416" s="26"/>
      <c r="G4416" s="26"/>
      <c r="H4416" s="26"/>
      <c r="I4416" s="26"/>
    </row>
    <row r="4417" spans="6:9" x14ac:dyDescent="0.3">
      <c r="F4417" s="26"/>
      <c r="G4417" s="26"/>
      <c r="H4417" s="26"/>
      <c r="I4417" s="26"/>
    </row>
    <row r="4418" spans="6:9" x14ac:dyDescent="0.3">
      <c r="F4418" s="26"/>
      <c r="G4418" s="26"/>
      <c r="H4418" s="26"/>
      <c r="I4418" s="26"/>
    </row>
    <row r="4419" spans="6:9" x14ac:dyDescent="0.3">
      <c r="F4419" s="26"/>
      <c r="G4419" s="26"/>
      <c r="H4419" s="26"/>
      <c r="I4419" s="26"/>
    </row>
    <row r="4420" spans="6:9" x14ac:dyDescent="0.3">
      <c r="F4420" s="26"/>
      <c r="G4420" s="26"/>
      <c r="H4420" s="26"/>
      <c r="I4420" s="26"/>
    </row>
    <row r="4421" spans="6:9" x14ac:dyDescent="0.3">
      <c r="F4421" s="26"/>
      <c r="G4421" s="26"/>
      <c r="H4421" s="26"/>
      <c r="I4421" s="26"/>
    </row>
    <row r="4422" spans="6:9" x14ac:dyDescent="0.3">
      <c r="F4422" s="26"/>
      <c r="G4422" s="26"/>
      <c r="H4422" s="26"/>
      <c r="I4422" s="26"/>
    </row>
    <row r="4423" spans="6:9" x14ac:dyDescent="0.3">
      <c r="F4423" s="26"/>
      <c r="G4423" s="26"/>
      <c r="H4423" s="26"/>
      <c r="I4423" s="26"/>
    </row>
    <row r="4424" spans="6:9" x14ac:dyDescent="0.3">
      <c r="F4424" s="26"/>
      <c r="G4424" s="26"/>
      <c r="H4424" s="26"/>
      <c r="I4424" s="26"/>
    </row>
    <row r="4425" spans="6:9" x14ac:dyDescent="0.3">
      <c r="F4425" s="26"/>
      <c r="G4425" s="26"/>
      <c r="H4425" s="26"/>
      <c r="I4425" s="26"/>
    </row>
    <row r="4426" spans="6:9" x14ac:dyDescent="0.3">
      <c r="F4426" s="26"/>
      <c r="G4426" s="26"/>
      <c r="H4426" s="26"/>
      <c r="I4426" s="26"/>
    </row>
    <row r="4427" spans="6:9" x14ac:dyDescent="0.3">
      <c r="F4427" s="26"/>
      <c r="G4427" s="26"/>
      <c r="H4427" s="26"/>
      <c r="I4427" s="26"/>
    </row>
    <row r="4428" spans="6:9" x14ac:dyDescent="0.3">
      <c r="F4428" s="26"/>
      <c r="G4428" s="26"/>
      <c r="H4428" s="26"/>
      <c r="I4428" s="26"/>
    </row>
    <row r="4429" spans="6:9" x14ac:dyDescent="0.3">
      <c r="F4429" s="26"/>
      <c r="G4429" s="26"/>
      <c r="H4429" s="26"/>
      <c r="I4429" s="26"/>
    </row>
    <row r="4430" spans="6:9" x14ac:dyDescent="0.3">
      <c r="F4430" s="26"/>
      <c r="G4430" s="26"/>
      <c r="H4430" s="26"/>
      <c r="I4430" s="26"/>
    </row>
    <row r="4431" spans="6:9" x14ac:dyDescent="0.3">
      <c r="F4431" s="26"/>
      <c r="G4431" s="26"/>
      <c r="H4431" s="26"/>
      <c r="I4431" s="26"/>
    </row>
    <row r="4432" spans="6:9" x14ac:dyDescent="0.3">
      <c r="F4432" s="26"/>
      <c r="G4432" s="26"/>
      <c r="H4432" s="26"/>
      <c r="I4432" s="26"/>
    </row>
    <row r="4433" spans="6:9" x14ac:dyDescent="0.3">
      <c r="F4433" s="26"/>
      <c r="G4433" s="26"/>
      <c r="H4433" s="26"/>
      <c r="I4433" s="26"/>
    </row>
    <row r="4434" spans="6:9" x14ac:dyDescent="0.3">
      <c r="F4434" s="26"/>
      <c r="G4434" s="26"/>
      <c r="H4434" s="26"/>
      <c r="I4434" s="26"/>
    </row>
    <row r="4435" spans="6:9" x14ac:dyDescent="0.3">
      <c r="F4435" s="26"/>
      <c r="G4435" s="26"/>
      <c r="H4435" s="26"/>
      <c r="I4435" s="26"/>
    </row>
    <row r="4436" spans="6:9" x14ac:dyDescent="0.3">
      <c r="F4436" s="26"/>
      <c r="G4436" s="26"/>
      <c r="H4436" s="26"/>
      <c r="I4436" s="26"/>
    </row>
    <row r="4437" spans="6:9" x14ac:dyDescent="0.3">
      <c r="F4437" s="26"/>
      <c r="G4437" s="26"/>
      <c r="H4437" s="26"/>
      <c r="I4437" s="26"/>
    </row>
    <row r="4438" spans="6:9" x14ac:dyDescent="0.3">
      <c r="F4438" s="26"/>
      <c r="G4438" s="26"/>
      <c r="H4438" s="26"/>
      <c r="I4438" s="26"/>
    </row>
    <row r="4439" spans="6:9" x14ac:dyDescent="0.3">
      <c r="F4439" s="26"/>
      <c r="G4439" s="26"/>
      <c r="H4439" s="26"/>
      <c r="I4439" s="26"/>
    </row>
    <row r="4440" spans="6:9" x14ac:dyDescent="0.3">
      <c r="F4440" s="26"/>
      <c r="G4440" s="26"/>
      <c r="H4440" s="26"/>
      <c r="I4440" s="26"/>
    </row>
    <row r="4441" spans="6:9" x14ac:dyDescent="0.3">
      <c r="F4441" s="26"/>
      <c r="G4441" s="26"/>
      <c r="H4441" s="26"/>
      <c r="I4441" s="26"/>
    </row>
    <row r="4442" spans="6:9" x14ac:dyDescent="0.3">
      <c r="F4442" s="26"/>
      <c r="G4442" s="26"/>
      <c r="H4442" s="26"/>
      <c r="I4442" s="26"/>
    </row>
    <row r="4443" spans="6:9" x14ac:dyDescent="0.3">
      <c r="F4443" s="26"/>
      <c r="G4443" s="26"/>
      <c r="H4443" s="26"/>
      <c r="I4443" s="26"/>
    </row>
    <row r="4444" spans="6:9" x14ac:dyDescent="0.3">
      <c r="F4444" s="26"/>
      <c r="G4444" s="26"/>
      <c r="H4444" s="26"/>
      <c r="I4444" s="26"/>
    </row>
    <row r="4445" spans="6:9" x14ac:dyDescent="0.3">
      <c r="F4445" s="26"/>
      <c r="G4445" s="26"/>
      <c r="H4445" s="26"/>
      <c r="I4445" s="26"/>
    </row>
    <row r="4446" spans="6:9" x14ac:dyDescent="0.3">
      <c r="F4446" s="26"/>
      <c r="G4446" s="26"/>
      <c r="H4446" s="26"/>
      <c r="I4446" s="26"/>
    </row>
    <row r="4447" spans="6:9" x14ac:dyDescent="0.3">
      <c r="F4447" s="26"/>
      <c r="G4447" s="26"/>
      <c r="H4447" s="26"/>
      <c r="I4447" s="26"/>
    </row>
    <row r="4448" spans="6:9" x14ac:dyDescent="0.3">
      <c r="F4448" s="26"/>
      <c r="G4448" s="26"/>
      <c r="H4448" s="26"/>
      <c r="I4448" s="26"/>
    </row>
    <row r="4449" spans="6:9" x14ac:dyDescent="0.3">
      <c r="F4449" s="26"/>
      <c r="G4449" s="26"/>
      <c r="H4449" s="26"/>
      <c r="I4449" s="26"/>
    </row>
    <row r="4450" spans="6:9" x14ac:dyDescent="0.3">
      <c r="F4450" s="26"/>
      <c r="G4450" s="26"/>
      <c r="H4450" s="26"/>
      <c r="I4450" s="26"/>
    </row>
    <row r="4451" spans="6:9" x14ac:dyDescent="0.3">
      <c r="F4451" s="26"/>
      <c r="G4451" s="26"/>
      <c r="H4451" s="26"/>
      <c r="I4451" s="26"/>
    </row>
    <row r="4452" spans="6:9" x14ac:dyDescent="0.3">
      <c r="F4452" s="26"/>
      <c r="G4452" s="26"/>
      <c r="H4452" s="26"/>
      <c r="I4452" s="26"/>
    </row>
    <row r="4453" spans="6:9" x14ac:dyDescent="0.3">
      <c r="F4453" s="26"/>
      <c r="G4453" s="26"/>
      <c r="H4453" s="26"/>
      <c r="I4453" s="26"/>
    </row>
    <row r="4454" spans="6:9" x14ac:dyDescent="0.3">
      <c r="F4454" s="26"/>
      <c r="G4454" s="26"/>
      <c r="H4454" s="26"/>
      <c r="I4454" s="26"/>
    </row>
    <row r="4455" spans="6:9" x14ac:dyDescent="0.3">
      <c r="F4455" s="26"/>
      <c r="G4455" s="26"/>
      <c r="H4455" s="26"/>
      <c r="I4455" s="26"/>
    </row>
    <row r="4456" spans="6:9" x14ac:dyDescent="0.3">
      <c r="F4456" s="26"/>
      <c r="G4456" s="26"/>
      <c r="H4456" s="26"/>
      <c r="I4456" s="26"/>
    </row>
    <row r="4457" spans="6:9" x14ac:dyDescent="0.3">
      <c r="F4457" s="26"/>
      <c r="G4457" s="26"/>
      <c r="H4457" s="26"/>
      <c r="I4457" s="26"/>
    </row>
    <row r="4458" spans="6:9" x14ac:dyDescent="0.3">
      <c r="F4458" s="26"/>
      <c r="G4458" s="26"/>
      <c r="H4458" s="26"/>
      <c r="I4458" s="26"/>
    </row>
    <row r="4459" spans="6:9" x14ac:dyDescent="0.3">
      <c r="F4459" s="26"/>
      <c r="G4459" s="26"/>
      <c r="H4459" s="26"/>
      <c r="I4459" s="26"/>
    </row>
    <row r="4460" spans="6:9" x14ac:dyDescent="0.3">
      <c r="F4460" s="26"/>
      <c r="G4460" s="26"/>
      <c r="H4460" s="26"/>
      <c r="I4460" s="26"/>
    </row>
    <row r="4461" spans="6:9" x14ac:dyDescent="0.3">
      <c r="F4461" s="26"/>
      <c r="G4461" s="26"/>
      <c r="H4461" s="26"/>
      <c r="I4461" s="26"/>
    </row>
    <row r="4462" spans="6:9" x14ac:dyDescent="0.3">
      <c r="F4462" s="26"/>
      <c r="G4462" s="26"/>
      <c r="H4462" s="26"/>
      <c r="I4462" s="26"/>
    </row>
    <row r="4463" spans="6:9" x14ac:dyDescent="0.3">
      <c r="F4463" s="26"/>
      <c r="G4463" s="26"/>
      <c r="H4463" s="26"/>
      <c r="I4463" s="26"/>
    </row>
    <row r="4464" spans="6:9" x14ac:dyDescent="0.3">
      <c r="F4464" s="26"/>
      <c r="G4464" s="26"/>
      <c r="H4464" s="26"/>
      <c r="I4464" s="26"/>
    </row>
    <row r="4465" spans="6:9" x14ac:dyDescent="0.3">
      <c r="F4465" s="26"/>
      <c r="G4465" s="26"/>
      <c r="H4465" s="26"/>
      <c r="I4465" s="26"/>
    </row>
    <row r="4466" spans="6:9" x14ac:dyDescent="0.3">
      <c r="F4466" s="26"/>
      <c r="G4466" s="26"/>
      <c r="H4466" s="26"/>
      <c r="I4466" s="26"/>
    </row>
    <row r="4467" spans="6:9" x14ac:dyDescent="0.3">
      <c r="F4467" s="26"/>
      <c r="G4467" s="26"/>
      <c r="H4467" s="26"/>
      <c r="I4467" s="26"/>
    </row>
    <row r="4468" spans="6:9" x14ac:dyDescent="0.3">
      <c r="F4468" s="26"/>
      <c r="G4468" s="26"/>
      <c r="H4468" s="26"/>
      <c r="I4468" s="26"/>
    </row>
    <row r="4469" spans="6:9" x14ac:dyDescent="0.3">
      <c r="F4469" s="26"/>
      <c r="G4469" s="26"/>
      <c r="H4469" s="26"/>
      <c r="I4469" s="26"/>
    </row>
    <row r="4470" spans="6:9" x14ac:dyDescent="0.3">
      <c r="F4470" s="26"/>
      <c r="G4470" s="26"/>
      <c r="H4470" s="26"/>
      <c r="I4470" s="26"/>
    </row>
    <row r="4471" spans="6:9" x14ac:dyDescent="0.3">
      <c r="F4471" s="26"/>
      <c r="G4471" s="26"/>
      <c r="H4471" s="26"/>
      <c r="I4471" s="26"/>
    </row>
    <row r="4472" spans="6:9" x14ac:dyDescent="0.3">
      <c r="F4472" s="26"/>
      <c r="G4472" s="26"/>
      <c r="H4472" s="26"/>
      <c r="I4472" s="26"/>
    </row>
    <row r="4473" spans="6:9" x14ac:dyDescent="0.3">
      <c r="F4473" s="26"/>
      <c r="G4473" s="26"/>
      <c r="H4473" s="26"/>
      <c r="I4473" s="26"/>
    </row>
    <row r="4474" spans="6:9" x14ac:dyDescent="0.3">
      <c r="F4474" s="26"/>
      <c r="G4474" s="26"/>
      <c r="H4474" s="26"/>
      <c r="I4474" s="26"/>
    </row>
    <row r="4475" spans="6:9" x14ac:dyDescent="0.3">
      <c r="F4475" s="26"/>
      <c r="G4475" s="26"/>
      <c r="H4475" s="26"/>
      <c r="I4475" s="26"/>
    </row>
    <row r="4476" spans="6:9" x14ac:dyDescent="0.3">
      <c r="F4476" s="26"/>
      <c r="G4476" s="26"/>
      <c r="H4476" s="26"/>
      <c r="I4476" s="26"/>
    </row>
    <row r="4477" spans="6:9" x14ac:dyDescent="0.3">
      <c r="F4477" s="26"/>
      <c r="G4477" s="26"/>
      <c r="H4477" s="26"/>
      <c r="I4477" s="26"/>
    </row>
    <row r="4478" spans="6:9" x14ac:dyDescent="0.3">
      <c r="F4478" s="26"/>
      <c r="G4478" s="26"/>
      <c r="H4478" s="26"/>
      <c r="I4478" s="26"/>
    </row>
    <row r="4479" spans="6:9" x14ac:dyDescent="0.3">
      <c r="F4479" s="26"/>
      <c r="G4479" s="26"/>
      <c r="H4479" s="26"/>
      <c r="I4479" s="26"/>
    </row>
    <row r="4480" spans="6:9" x14ac:dyDescent="0.3">
      <c r="F4480" s="26"/>
      <c r="G4480" s="26"/>
      <c r="H4480" s="26"/>
      <c r="I4480" s="26"/>
    </row>
    <row r="4481" spans="6:9" x14ac:dyDescent="0.3">
      <c r="F4481" s="26"/>
      <c r="G4481" s="26"/>
      <c r="H4481" s="26"/>
      <c r="I4481" s="26"/>
    </row>
    <row r="4482" spans="6:9" x14ac:dyDescent="0.3">
      <c r="F4482" s="26"/>
      <c r="G4482" s="26"/>
      <c r="H4482" s="26"/>
      <c r="I4482" s="26"/>
    </row>
    <row r="4483" spans="6:9" x14ac:dyDescent="0.3">
      <c r="F4483" s="26"/>
      <c r="G4483" s="26"/>
      <c r="H4483" s="26"/>
      <c r="I4483" s="26"/>
    </row>
    <row r="4484" spans="6:9" x14ac:dyDescent="0.3">
      <c r="F4484" s="26"/>
      <c r="G4484" s="26"/>
      <c r="H4484" s="26"/>
      <c r="I4484" s="26"/>
    </row>
    <row r="4485" spans="6:9" x14ac:dyDescent="0.3">
      <c r="F4485" s="26"/>
      <c r="G4485" s="26"/>
      <c r="H4485" s="26"/>
      <c r="I4485" s="26"/>
    </row>
    <row r="4486" spans="6:9" x14ac:dyDescent="0.3">
      <c r="F4486" s="26"/>
      <c r="G4486" s="26"/>
      <c r="H4486" s="26"/>
      <c r="I4486" s="26"/>
    </row>
    <row r="4487" spans="6:9" x14ac:dyDescent="0.3">
      <c r="F4487" s="26"/>
      <c r="G4487" s="26"/>
      <c r="H4487" s="26"/>
      <c r="I4487" s="26"/>
    </row>
    <row r="4488" spans="6:9" x14ac:dyDescent="0.3">
      <c r="F4488" s="26"/>
      <c r="G4488" s="26"/>
      <c r="H4488" s="26"/>
      <c r="I4488" s="26"/>
    </row>
    <row r="4489" spans="6:9" x14ac:dyDescent="0.3">
      <c r="F4489" s="26"/>
      <c r="G4489" s="26"/>
      <c r="H4489" s="26"/>
      <c r="I4489" s="26"/>
    </row>
    <row r="4490" spans="6:9" x14ac:dyDescent="0.3">
      <c r="F4490" s="26"/>
      <c r="G4490" s="26"/>
      <c r="H4490" s="26"/>
      <c r="I4490" s="26"/>
    </row>
    <row r="4491" spans="6:9" x14ac:dyDescent="0.3">
      <c r="F4491" s="26"/>
      <c r="G4491" s="26"/>
      <c r="H4491" s="26"/>
      <c r="I4491" s="26"/>
    </row>
    <row r="4492" spans="6:9" x14ac:dyDescent="0.3">
      <c r="F4492" s="26"/>
      <c r="G4492" s="26"/>
      <c r="H4492" s="26"/>
      <c r="I4492" s="26"/>
    </row>
    <row r="4493" spans="6:9" x14ac:dyDescent="0.3">
      <c r="F4493" s="26"/>
      <c r="G4493" s="26"/>
      <c r="H4493" s="26"/>
      <c r="I4493" s="26"/>
    </row>
    <row r="4494" spans="6:9" x14ac:dyDescent="0.3">
      <c r="F4494" s="26"/>
      <c r="G4494" s="26"/>
      <c r="H4494" s="26"/>
      <c r="I4494" s="26"/>
    </row>
    <row r="4495" spans="6:9" x14ac:dyDescent="0.3">
      <c r="F4495" s="26"/>
      <c r="G4495" s="26"/>
      <c r="H4495" s="26"/>
      <c r="I4495" s="26"/>
    </row>
    <row r="4496" spans="6:9" x14ac:dyDescent="0.3">
      <c r="F4496" s="26"/>
      <c r="G4496" s="26"/>
      <c r="H4496" s="26"/>
      <c r="I4496" s="26"/>
    </row>
    <row r="4497" spans="6:9" x14ac:dyDescent="0.3">
      <c r="F4497" s="26"/>
      <c r="G4497" s="26"/>
      <c r="H4497" s="26"/>
      <c r="I4497" s="26"/>
    </row>
    <row r="4498" spans="6:9" x14ac:dyDescent="0.3">
      <c r="F4498" s="26"/>
      <c r="G4498" s="26"/>
      <c r="H4498" s="26"/>
      <c r="I4498" s="26"/>
    </row>
    <row r="4499" spans="6:9" x14ac:dyDescent="0.3">
      <c r="F4499" s="26"/>
      <c r="G4499" s="26"/>
      <c r="H4499" s="26"/>
      <c r="I4499" s="26"/>
    </row>
    <row r="4500" spans="6:9" x14ac:dyDescent="0.3">
      <c r="F4500" s="26"/>
      <c r="G4500" s="26"/>
      <c r="H4500" s="26"/>
      <c r="I4500" s="26"/>
    </row>
    <row r="4501" spans="6:9" x14ac:dyDescent="0.3">
      <c r="F4501" s="26"/>
      <c r="G4501" s="26"/>
      <c r="H4501" s="26"/>
      <c r="I4501" s="26"/>
    </row>
    <row r="4502" spans="6:9" x14ac:dyDescent="0.3">
      <c r="F4502" s="26"/>
      <c r="G4502" s="26"/>
      <c r="H4502" s="26"/>
      <c r="I4502" s="26"/>
    </row>
    <row r="4503" spans="6:9" x14ac:dyDescent="0.3">
      <c r="F4503" s="26"/>
      <c r="G4503" s="26"/>
      <c r="H4503" s="26"/>
      <c r="I4503" s="26"/>
    </row>
    <row r="4504" spans="6:9" x14ac:dyDescent="0.3">
      <c r="F4504" s="26"/>
      <c r="G4504" s="26"/>
      <c r="H4504" s="26"/>
      <c r="I4504" s="26"/>
    </row>
    <row r="4505" spans="6:9" x14ac:dyDescent="0.3">
      <c r="F4505" s="26"/>
      <c r="G4505" s="26"/>
      <c r="H4505" s="26"/>
      <c r="I4505" s="26"/>
    </row>
    <row r="4506" spans="6:9" x14ac:dyDescent="0.3">
      <c r="F4506" s="26"/>
      <c r="G4506" s="26"/>
      <c r="H4506" s="26"/>
      <c r="I4506" s="26"/>
    </row>
    <row r="4507" spans="6:9" x14ac:dyDescent="0.3">
      <c r="F4507" s="26"/>
      <c r="G4507" s="26"/>
      <c r="H4507" s="26"/>
      <c r="I4507" s="26"/>
    </row>
    <row r="4508" spans="6:9" x14ac:dyDescent="0.3">
      <c r="F4508" s="26"/>
      <c r="G4508" s="26"/>
      <c r="H4508" s="26"/>
      <c r="I4508" s="26"/>
    </row>
    <row r="4509" spans="6:9" x14ac:dyDescent="0.3">
      <c r="F4509" s="26"/>
      <c r="G4509" s="26"/>
      <c r="H4509" s="26"/>
      <c r="I4509" s="26"/>
    </row>
    <row r="4510" spans="6:9" x14ac:dyDescent="0.3">
      <c r="F4510" s="26"/>
      <c r="G4510" s="26"/>
      <c r="H4510" s="26"/>
      <c r="I4510" s="26"/>
    </row>
    <row r="4511" spans="6:9" x14ac:dyDescent="0.3">
      <c r="F4511" s="26"/>
      <c r="G4511" s="26"/>
      <c r="H4511" s="26"/>
      <c r="I4511" s="26"/>
    </row>
    <row r="4512" spans="6:9" x14ac:dyDescent="0.3">
      <c r="F4512" s="26"/>
      <c r="G4512" s="26"/>
      <c r="H4512" s="26"/>
      <c r="I4512" s="26"/>
    </row>
    <row r="4513" spans="6:9" x14ac:dyDescent="0.3">
      <c r="F4513" s="26"/>
      <c r="G4513" s="26"/>
      <c r="H4513" s="26"/>
      <c r="I4513" s="26"/>
    </row>
    <row r="4514" spans="6:9" x14ac:dyDescent="0.3">
      <c r="F4514" s="26"/>
      <c r="G4514" s="26"/>
      <c r="H4514" s="26"/>
      <c r="I4514" s="26"/>
    </row>
    <row r="4515" spans="6:9" x14ac:dyDescent="0.3">
      <c r="F4515" s="26"/>
      <c r="G4515" s="26"/>
      <c r="H4515" s="26"/>
      <c r="I4515" s="26"/>
    </row>
    <row r="4516" spans="6:9" x14ac:dyDescent="0.3">
      <c r="F4516" s="26"/>
      <c r="G4516" s="26"/>
      <c r="H4516" s="26"/>
      <c r="I4516" s="26"/>
    </row>
    <row r="4517" spans="6:9" x14ac:dyDescent="0.3">
      <c r="F4517" s="26"/>
      <c r="G4517" s="26"/>
      <c r="H4517" s="26"/>
      <c r="I4517" s="26"/>
    </row>
    <row r="4518" spans="6:9" x14ac:dyDescent="0.3">
      <c r="F4518" s="26"/>
      <c r="G4518" s="26"/>
      <c r="H4518" s="26"/>
      <c r="I4518" s="26"/>
    </row>
    <row r="4519" spans="6:9" x14ac:dyDescent="0.3">
      <c r="F4519" s="26"/>
      <c r="G4519" s="26"/>
      <c r="H4519" s="26"/>
      <c r="I4519" s="26"/>
    </row>
    <row r="4520" spans="6:9" x14ac:dyDescent="0.3">
      <c r="F4520" s="26"/>
      <c r="G4520" s="26"/>
      <c r="H4520" s="26"/>
      <c r="I4520" s="26"/>
    </row>
    <row r="4521" spans="6:9" x14ac:dyDescent="0.3">
      <c r="F4521" s="26"/>
      <c r="G4521" s="26"/>
      <c r="H4521" s="26"/>
      <c r="I4521" s="26"/>
    </row>
    <row r="4522" spans="6:9" x14ac:dyDescent="0.3">
      <c r="F4522" s="26"/>
      <c r="G4522" s="26"/>
      <c r="H4522" s="26"/>
      <c r="I4522" s="26"/>
    </row>
    <row r="4523" spans="6:9" x14ac:dyDescent="0.3">
      <c r="F4523" s="26"/>
      <c r="G4523" s="26"/>
      <c r="H4523" s="26"/>
      <c r="I4523" s="26"/>
    </row>
    <row r="4524" spans="6:9" x14ac:dyDescent="0.3">
      <c r="F4524" s="26"/>
      <c r="G4524" s="26"/>
      <c r="H4524" s="26"/>
      <c r="I4524" s="26"/>
    </row>
    <row r="4525" spans="6:9" x14ac:dyDescent="0.3">
      <c r="F4525" s="26"/>
      <c r="G4525" s="26"/>
      <c r="H4525" s="26"/>
      <c r="I4525" s="26"/>
    </row>
    <row r="4526" spans="6:9" x14ac:dyDescent="0.3">
      <c r="F4526" s="26"/>
      <c r="G4526" s="26"/>
      <c r="H4526" s="26"/>
      <c r="I4526" s="26"/>
    </row>
    <row r="4527" spans="6:9" x14ac:dyDescent="0.3">
      <c r="F4527" s="26"/>
      <c r="G4527" s="26"/>
      <c r="H4527" s="26"/>
      <c r="I4527" s="26"/>
    </row>
    <row r="4528" spans="6:9" x14ac:dyDescent="0.3">
      <c r="F4528" s="26"/>
      <c r="G4528" s="26"/>
      <c r="H4528" s="26"/>
      <c r="I4528" s="26"/>
    </row>
    <row r="4529" spans="6:9" x14ac:dyDescent="0.3">
      <c r="F4529" s="26"/>
      <c r="G4529" s="26"/>
      <c r="H4529" s="26"/>
      <c r="I4529" s="26"/>
    </row>
    <row r="4530" spans="6:9" x14ac:dyDescent="0.3">
      <c r="F4530" s="26"/>
      <c r="G4530" s="26"/>
      <c r="H4530" s="26"/>
      <c r="I4530" s="26"/>
    </row>
    <row r="4531" spans="6:9" x14ac:dyDescent="0.3">
      <c r="F4531" s="26"/>
      <c r="G4531" s="26"/>
      <c r="H4531" s="26"/>
      <c r="I4531" s="26"/>
    </row>
    <row r="4532" spans="6:9" x14ac:dyDescent="0.3">
      <c r="F4532" s="26"/>
      <c r="G4532" s="26"/>
      <c r="H4532" s="26"/>
      <c r="I4532" s="26"/>
    </row>
    <row r="4533" spans="6:9" x14ac:dyDescent="0.3">
      <c r="F4533" s="26"/>
      <c r="G4533" s="26"/>
      <c r="H4533" s="26"/>
      <c r="I4533" s="26"/>
    </row>
    <row r="4534" spans="6:9" x14ac:dyDescent="0.3">
      <c r="F4534" s="26"/>
      <c r="G4534" s="26"/>
      <c r="H4534" s="26"/>
      <c r="I4534" s="26"/>
    </row>
    <row r="4535" spans="6:9" x14ac:dyDescent="0.3">
      <c r="F4535" s="26"/>
      <c r="G4535" s="26"/>
      <c r="H4535" s="26"/>
      <c r="I4535" s="26"/>
    </row>
    <row r="4536" spans="6:9" x14ac:dyDescent="0.3">
      <c r="F4536" s="26"/>
      <c r="G4536" s="26"/>
      <c r="H4536" s="26"/>
      <c r="I4536" s="26"/>
    </row>
    <row r="4537" spans="6:9" x14ac:dyDescent="0.3">
      <c r="F4537" s="26"/>
      <c r="G4537" s="26"/>
      <c r="H4537" s="26"/>
      <c r="I4537" s="26"/>
    </row>
    <row r="4538" spans="6:9" x14ac:dyDescent="0.3">
      <c r="F4538" s="26"/>
      <c r="G4538" s="26"/>
      <c r="H4538" s="26"/>
      <c r="I4538" s="26"/>
    </row>
    <row r="4539" spans="6:9" x14ac:dyDescent="0.3">
      <c r="F4539" s="26"/>
      <c r="G4539" s="26"/>
      <c r="H4539" s="26"/>
      <c r="I4539" s="26"/>
    </row>
    <row r="4540" spans="6:9" x14ac:dyDescent="0.3">
      <c r="F4540" s="26"/>
      <c r="G4540" s="26"/>
      <c r="H4540" s="26"/>
      <c r="I4540" s="26"/>
    </row>
    <row r="4541" spans="6:9" x14ac:dyDescent="0.3">
      <c r="F4541" s="26"/>
      <c r="G4541" s="26"/>
      <c r="H4541" s="26"/>
      <c r="I4541" s="26"/>
    </row>
    <row r="4542" spans="6:9" x14ac:dyDescent="0.3">
      <c r="F4542" s="26"/>
      <c r="G4542" s="26"/>
      <c r="H4542" s="26"/>
      <c r="I4542" s="26"/>
    </row>
    <row r="4543" spans="6:9" x14ac:dyDescent="0.3">
      <c r="F4543" s="26"/>
      <c r="G4543" s="26"/>
      <c r="H4543" s="26"/>
      <c r="I4543" s="26"/>
    </row>
    <row r="4544" spans="6:9" x14ac:dyDescent="0.3">
      <c r="F4544" s="26"/>
      <c r="G4544" s="26"/>
      <c r="H4544" s="26"/>
      <c r="I4544" s="26"/>
    </row>
    <row r="4545" spans="6:9" x14ac:dyDescent="0.3">
      <c r="F4545" s="26"/>
      <c r="G4545" s="26"/>
      <c r="H4545" s="26"/>
      <c r="I4545" s="26"/>
    </row>
    <row r="4546" spans="6:9" x14ac:dyDescent="0.3">
      <c r="F4546" s="26"/>
      <c r="G4546" s="26"/>
      <c r="H4546" s="26"/>
      <c r="I4546" s="26"/>
    </row>
    <row r="4547" spans="6:9" x14ac:dyDescent="0.3">
      <c r="F4547" s="26"/>
      <c r="G4547" s="26"/>
      <c r="H4547" s="26"/>
      <c r="I4547" s="26"/>
    </row>
    <row r="4548" spans="6:9" x14ac:dyDescent="0.3">
      <c r="F4548" s="26"/>
      <c r="G4548" s="26"/>
      <c r="H4548" s="26"/>
      <c r="I4548" s="26"/>
    </row>
    <row r="4549" spans="6:9" x14ac:dyDescent="0.3">
      <c r="F4549" s="26"/>
      <c r="G4549" s="26"/>
      <c r="H4549" s="26"/>
      <c r="I4549" s="26"/>
    </row>
    <row r="4550" spans="6:9" x14ac:dyDescent="0.3">
      <c r="F4550" s="26"/>
      <c r="G4550" s="26"/>
      <c r="H4550" s="26"/>
      <c r="I4550" s="26"/>
    </row>
    <row r="4551" spans="6:9" x14ac:dyDescent="0.3">
      <c r="F4551" s="26"/>
      <c r="G4551" s="26"/>
      <c r="H4551" s="26"/>
      <c r="I4551" s="26"/>
    </row>
    <row r="4552" spans="6:9" x14ac:dyDescent="0.3">
      <c r="F4552" s="26"/>
      <c r="G4552" s="26"/>
      <c r="H4552" s="26"/>
      <c r="I4552" s="26"/>
    </row>
    <row r="4553" spans="6:9" x14ac:dyDescent="0.3">
      <c r="F4553" s="26"/>
      <c r="G4553" s="26"/>
      <c r="H4553" s="26"/>
      <c r="I4553" s="26"/>
    </row>
    <row r="4554" spans="6:9" x14ac:dyDescent="0.3">
      <c r="F4554" s="26"/>
      <c r="G4554" s="26"/>
      <c r="H4554" s="26"/>
      <c r="I4554" s="26"/>
    </row>
    <row r="4555" spans="6:9" x14ac:dyDescent="0.3">
      <c r="F4555" s="26"/>
      <c r="G4555" s="26"/>
      <c r="H4555" s="26"/>
      <c r="I4555" s="26"/>
    </row>
    <row r="4556" spans="6:9" x14ac:dyDescent="0.3">
      <c r="F4556" s="26"/>
      <c r="G4556" s="26"/>
      <c r="H4556" s="26"/>
      <c r="I4556" s="26"/>
    </row>
    <row r="4557" spans="6:9" x14ac:dyDescent="0.3">
      <c r="F4557" s="26"/>
      <c r="G4557" s="26"/>
      <c r="H4557" s="26"/>
      <c r="I4557" s="26"/>
    </row>
    <row r="4558" spans="6:9" x14ac:dyDescent="0.3">
      <c r="F4558" s="26"/>
      <c r="G4558" s="26"/>
      <c r="H4558" s="26"/>
      <c r="I4558" s="26"/>
    </row>
    <row r="4559" spans="6:9" x14ac:dyDescent="0.3">
      <c r="F4559" s="26"/>
      <c r="G4559" s="26"/>
      <c r="H4559" s="26"/>
      <c r="I4559" s="26"/>
    </row>
    <row r="4560" spans="6:9" x14ac:dyDescent="0.3">
      <c r="F4560" s="26"/>
      <c r="G4560" s="26"/>
      <c r="H4560" s="26"/>
      <c r="I4560" s="26"/>
    </row>
    <row r="4561" spans="6:9" x14ac:dyDescent="0.3">
      <c r="F4561" s="26"/>
      <c r="G4561" s="26"/>
      <c r="H4561" s="26"/>
      <c r="I4561" s="26"/>
    </row>
    <row r="4562" spans="6:9" x14ac:dyDescent="0.3">
      <c r="F4562" s="26"/>
      <c r="G4562" s="26"/>
      <c r="H4562" s="26"/>
      <c r="I4562" s="26"/>
    </row>
    <row r="4563" spans="6:9" x14ac:dyDescent="0.3">
      <c r="F4563" s="26"/>
      <c r="G4563" s="26"/>
      <c r="H4563" s="26"/>
      <c r="I4563" s="26"/>
    </row>
    <row r="4564" spans="6:9" x14ac:dyDescent="0.3">
      <c r="F4564" s="26"/>
      <c r="G4564" s="26"/>
      <c r="H4564" s="26"/>
      <c r="I4564" s="26"/>
    </row>
    <row r="4565" spans="6:9" x14ac:dyDescent="0.3">
      <c r="F4565" s="26"/>
      <c r="G4565" s="26"/>
      <c r="H4565" s="26"/>
      <c r="I4565" s="26"/>
    </row>
    <row r="4566" spans="6:9" x14ac:dyDescent="0.3">
      <c r="F4566" s="26"/>
      <c r="G4566" s="26"/>
      <c r="H4566" s="26"/>
      <c r="I4566" s="26"/>
    </row>
    <row r="4567" spans="6:9" x14ac:dyDescent="0.3">
      <c r="F4567" s="26"/>
      <c r="G4567" s="26"/>
      <c r="H4567" s="26"/>
      <c r="I4567" s="26"/>
    </row>
    <row r="4568" spans="6:9" x14ac:dyDescent="0.3">
      <c r="F4568" s="26"/>
      <c r="G4568" s="26"/>
      <c r="H4568" s="26"/>
      <c r="I4568" s="26"/>
    </row>
    <row r="4569" spans="6:9" x14ac:dyDescent="0.3">
      <c r="F4569" s="26"/>
      <c r="G4569" s="26"/>
      <c r="H4569" s="26"/>
      <c r="I4569" s="26"/>
    </row>
    <row r="4570" spans="6:9" x14ac:dyDescent="0.3">
      <c r="F4570" s="26"/>
      <c r="G4570" s="26"/>
      <c r="H4570" s="26"/>
      <c r="I4570" s="26"/>
    </row>
    <row r="4571" spans="6:9" x14ac:dyDescent="0.3">
      <c r="F4571" s="26"/>
      <c r="G4571" s="26"/>
      <c r="H4571" s="26"/>
      <c r="I4571" s="26"/>
    </row>
    <row r="4572" spans="6:9" x14ac:dyDescent="0.3">
      <c r="F4572" s="26"/>
      <c r="G4572" s="26"/>
      <c r="H4572" s="26"/>
      <c r="I4572" s="26"/>
    </row>
    <row r="4573" spans="6:9" x14ac:dyDescent="0.3">
      <c r="F4573" s="26"/>
      <c r="G4573" s="26"/>
      <c r="H4573" s="26"/>
      <c r="I4573" s="26"/>
    </row>
    <row r="4574" spans="6:9" x14ac:dyDescent="0.3">
      <c r="F4574" s="26"/>
      <c r="G4574" s="26"/>
      <c r="H4574" s="26"/>
      <c r="I4574" s="26"/>
    </row>
    <row r="4575" spans="6:9" x14ac:dyDescent="0.3">
      <c r="F4575" s="26"/>
      <c r="G4575" s="26"/>
      <c r="H4575" s="26"/>
      <c r="I4575" s="26"/>
    </row>
    <row r="4576" spans="6:9" x14ac:dyDescent="0.3">
      <c r="F4576" s="26"/>
      <c r="G4576" s="26"/>
      <c r="H4576" s="26"/>
      <c r="I4576" s="26"/>
    </row>
    <row r="4577" spans="6:9" x14ac:dyDescent="0.3">
      <c r="F4577" s="26"/>
      <c r="G4577" s="26"/>
      <c r="H4577" s="26"/>
      <c r="I4577" s="26"/>
    </row>
    <row r="4578" spans="6:9" x14ac:dyDescent="0.3">
      <c r="F4578" s="26"/>
      <c r="G4578" s="26"/>
      <c r="H4578" s="26"/>
      <c r="I4578" s="26"/>
    </row>
    <row r="4579" spans="6:9" x14ac:dyDescent="0.3">
      <c r="F4579" s="26"/>
      <c r="G4579" s="26"/>
      <c r="H4579" s="26"/>
      <c r="I4579" s="26"/>
    </row>
    <row r="4580" spans="6:9" x14ac:dyDescent="0.3">
      <c r="F4580" s="26"/>
      <c r="G4580" s="26"/>
      <c r="H4580" s="26"/>
      <c r="I4580" s="26"/>
    </row>
    <row r="4581" spans="6:9" x14ac:dyDescent="0.3">
      <c r="F4581" s="26"/>
      <c r="G4581" s="26"/>
      <c r="H4581" s="26"/>
      <c r="I4581" s="26"/>
    </row>
    <row r="4582" spans="6:9" x14ac:dyDescent="0.3">
      <c r="F4582" s="26"/>
      <c r="G4582" s="26"/>
      <c r="H4582" s="26"/>
      <c r="I4582" s="26"/>
    </row>
    <row r="4583" spans="6:9" x14ac:dyDescent="0.3">
      <c r="F4583" s="26"/>
      <c r="G4583" s="26"/>
      <c r="H4583" s="26"/>
      <c r="I4583" s="26"/>
    </row>
    <row r="4584" spans="6:9" x14ac:dyDescent="0.3">
      <c r="F4584" s="26"/>
      <c r="G4584" s="26"/>
      <c r="H4584" s="26"/>
      <c r="I4584" s="26"/>
    </row>
    <row r="4585" spans="6:9" x14ac:dyDescent="0.3">
      <c r="F4585" s="26"/>
      <c r="G4585" s="26"/>
      <c r="H4585" s="26"/>
      <c r="I4585" s="26"/>
    </row>
    <row r="4586" spans="6:9" x14ac:dyDescent="0.3">
      <c r="F4586" s="26"/>
      <c r="G4586" s="26"/>
      <c r="H4586" s="26"/>
      <c r="I4586" s="26"/>
    </row>
    <row r="4587" spans="6:9" x14ac:dyDescent="0.3">
      <c r="F4587" s="26"/>
      <c r="G4587" s="26"/>
      <c r="H4587" s="26"/>
      <c r="I4587" s="26"/>
    </row>
    <row r="4588" spans="6:9" x14ac:dyDescent="0.3">
      <c r="F4588" s="26"/>
      <c r="G4588" s="26"/>
      <c r="H4588" s="26"/>
      <c r="I4588" s="26"/>
    </row>
    <row r="4589" spans="6:9" x14ac:dyDescent="0.3">
      <c r="F4589" s="26"/>
      <c r="G4589" s="26"/>
      <c r="H4589" s="26"/>
      <c r="I4589" s="26"/>
    </row>
    <row r="4590" spans="6:9" x14ac:dyDescent="0.3">
      <c r="F4590" s="26"/>
      <c r="G4590" s="26"/>
      <c r="H4590" s="26"/>
      <c r="I4590" s="26"/>
    </row>
    <row r="4591" spans="6:9" x14ac:dyDescent="0.3">
      <c r="F4591" s="26"/>
      <c r="G4591" s="26"/>
      <c r="H4591" s="26"/>
      <c r="I4591" s="26"/>
    </row>
    <row r="4592" spans="6:9" x14ac:dyDescent="0.3">
      <c r="F4592" s="26"/>
      <c r="G4592" s="26"/>
      <c r="H4592" s="26"/>
      <c r="I4592" s="26"/>
    </row>
    <row r="4593" spans="6:9" x14ac:dyDescent="0.3">
      <c r="F4593" s="26"/>
      <c r="G4593" s="26"/>
      <c r="H4593" s="26"/>
      <c r="I4593" s="26"/>
    </row>
    <row r="4594" spans="6:9" x14ac:dyDescent="0.3">
      <c r="F4594" s="26"/>
      <c r="G4594" s="26"/>
      <c r="H4594" s="26"/>
      <c r="I4594" s="26"/>
    </row>
    <row r="4595" spans="6:9" x14ac:dyDescent="0.3">
      <c r="F4595" s="26"/>
      <c r="G4595" s="26"/>
      <c r="H4595" s="26"/>
      <c r="I4595" s="26"/>
    </row>
    <row r="4596" spans="6:9" x14ac:dyDescent="0.3">
      <c r="F4596" s="26"/>
      <c r="G4596" s="26"/>
      <c r="H4596" s="26"/>
      <c r="I4596" s="26"/>
    </row>
    <row r="4597" spans="6:9" x14ac:dyDescent="0.3">
      <c r="F4597" s="26"/>
      <c r="G4597" s="26"/>
      <c r="H4597" s="26"/>
      <c r="I4597" s="26"/>
    </row>
    <row r="4598" spans="6:9" x14ac:dyDescent="0.3">
      <c r="F4598" s="26"/>
      <c r="G4598" s="26"/>
      <c r="H4598" s="26"/>
      <c r="I4598" s="26"/>
    </row>
    <row r="4599" spans="6:9" x14ac:dyDescent="0.3">
      <c r="F4599" s="26"/>
      <c r="G4599" s="26"/>
      <c r="H4599" s="26"/>
      <c r="I4599" s="26"/>
    </row>
    <row r="4600" spans="6:9" x14ac:dyDescent="0.3">
      <c r="F4600" s="26"/>
      <c r="G4600" s="26"/>
      <c r="H4600" s="26"/>
      <c r="I4600" s="26"/>
    </row>
    <row r="4601" spans="6:9" x14ac:dyDescent="0.3">
      <c r="F4601" s="26"/>
      <c r="G4601" s="26"/>
      <c r="H4601" s="26"/>
      <c r="I4601" s="26"/>
    </row>
    <row r="4602" spans="6:9" x14ac:dyDescent="0.3">
      <c r="F4602" s="26"/>
      <c r="G4602" s="26"/>
      <c r="H4602" s="26"/>
      <c r="I4602" s="26"/>
    </row>
    <row r="4603" spans="6:9" x14ac:dyDescent="0.3">
      <c r="F4603" s="26"/>
      <c r="G4603" s="26"/>
      <c r="H4603" s="26"/>
      <c r="I4603" s="26"/>
    </row>
    <row r="4604" spans="6:9" x14ac:dyDescent="0.3">
      <c r="F4604" s="26"/>
      <c r="G4604" s="26"/>
      <c r="H4604" s="26"/>
      <c r="I4604" s="26"/>
    </row>
    <row r="4605" spans="6:9" x14ac:dyDescent="0.3">
      <c r="F4605" s="26"/>
      <c r="G4605" s="26"/>
      <c r="H4605" s="26"/>
      <c r="I4605" s="26"/>
    </row>
    <row r="4606" spans="6:9" x14ac:dyDescent="0.3">
      <c r="F4606" s="26"/>
      <c r="G4606" s="26"/>
      <c r="H4606" s="26"/>
      <c r="I4606" s="26"/>
    </row>
    <row r="4607" spans="6:9" x14ac:dyDescent="0.3">
      <c r="F4607" s="26"/>
      <c r="G4607" s="26"/>
      <c r="H4607" s="26"/>
      <c r="I4607" s="26"/>
    </row>
    <row r="4608" spans="6:9" x14ac:dyDescent="0.3">
      <c r="F4608" s="26"/>
      <c r="G4608" s="26"/>
      <c r="H4608" s="26"/>
      <c r="I4608" s="26"/>
    </row>
    <row r="4609" spans="6:9" x14ac:dyDescent="0.3">
      <c r="F4609" s="26"/>
      <c r="G4609" s="26"/>
      <c r="H4609" s="26"/>
      <c r="I4609" s="26"/>
    </row>
    <row r="4610" spans="6:9" x14ac:dyDescent="0.3">
      <c r="F4610" s="26"/>
      <c r="G4610" s="26"/>
      <c r="H4610" s="26"/>
      <c r="I4610" s="26"/>
    </row>
    <row r="4611" spans="6:9" x14ac:dyDescent="0.3">
      <c r="F4611" s="26"/>
      <c r="G4611" s="26"/>
      <c r="H4611" s="26"/>
      <c r="I4611" s="26"/>
    </row>
    <row r="4612" spans="6:9" x14ac:dyDescent="0.3">
      <c r="F4612" s="26"/>
      <c r="G4612" s="26"/>
      <c r="H4612" s="26"/>
      <c r="I4612" s="26"/>
    </row>
    <row r="4613" spans="6:9" x14ac:dyDescent="0.3">
      <c r="F4613" s="26"/>
      <c r="G4613" s="26"/>
      <c r="H4613" s="26"/>
      <c r="I4613" s="26"/>
    </row>
    <row r="4614" spans="6:9" x14ac:dyDescent="0.3">
      <c r="F4614" s="26"/>
      <c r="G4614" s="26"/>
      <c r="H4614" s="26"/>
      <c r="I4614" s="26"/>
    </row>
    <row r="4615" spans="6:9" x14ac:dyDescent="0.3">
      <c r="F4615" s="26"/>
      <c r="G4615" s="26"/>
      <c r="H4615" s="26"/>
      <c r="I4615" s="26"/>
    </row>
    <row r="4616" spans="6:9" x14ac:dyDescent="0.3">
      <c r="F4616" s="26"/>
      <c r="G4616" s="26"/>
      <c r="H4616" s="26"/>
      <c r="I4616" s="26"/>
    </row>
    <row r="4617" spans="6:9" x14ac:dyDescent="0.3">
      <c r="F4617" s="26"/>
      <c r="G4617" s="26"/>
      <c r="H4617" s="26"/>
      <c r="I4617" s="26"/>
    </row>
    <row r="4618" spans="6:9" x14ac:dyDescent="0.3">
      <c r="F4618" s="26"/>
      <c r="G4618" s="26"/>
      <c r="H4618" s="26"/>
      <c r="I4618" s="26"/>
    </row>
    <row r="4619" spans="6:9" x14ac:dyDescent="0.3">
      <c r="F4619" s="26"/>
      <c r="G4619" s="26"/>
      <c r="H4619" s="26"/>
      <c r="I4619" s="26"/>
    </row>
    <row r="4620" spans="6:9" x14ac:dyDescent="0.3">
      <c r="F4620" s="26"/>
      <c r="G4620" s="26"/>
      <c r="H4620" s="26"/>
      <c r="I4620" s="26"/>
    </row>
    <row r="4621" spans="6:9" x14ac:dyDescent="0.3">
      <c r="F4621" s="26"/>
      <c r="G4621" s="26"/>
      <c r="H4621" s="26"/>
      <c r="I4621" s="26"/>
    </row>
    <row r="4622" spans="6:9" x14ac:dyDescent="0.3">
      <c r="F4622" s="26"/>
      <c r="G4622" s="26"/>
      <c r="H4622" s="26"/>
      <c r="I4622" s="26"/>
    </row>
    <row r="4623" spans="6:9" x14ac:dyDescent="0.3">
      <c r="F4623" s="26"/>
      <c r="G4623" s="26"/>
      <c r="H4623" s="26"/>
      <c r="I4623" s="26"/>
    </row>
    <row r="4624" spans="6:9" x14ac:dyDescent="0.3">
      <c r="F4624" s="26"/>
      <c r="G4624" s="26"/>
      <c r="H4624" s="26"/>
      <c r="I4624" s="26"/>
    </row>
    <row r="4625" spans="6:9" x14ac:dyDescent="0.3">
      <c r="F4625" s="26"/>
      <c r="G4625" s="26"/>
      <c r="H4625" s="26"/>
      <c r="I4625" s="26"/>
    </row>
    <row r="4626" spans="6:9" x14ac:dyDescent="0.3">
      <c r="F4626" s="26"/>
      <c r="G4626" s="26"/>
      <c r="H4626" s="26"/>
      <c r="I4626" s="26"/>
    </row>
    <row r="4627" spans="6:9" x14ac:dyDescent="0.3">
      <c r="F4627" s="26"/>
      <c r="G4627" s="26"/>
      <c r="H4627" s="26"/>
      <c r="I4627" s="26"/>
    </row>
    <row r="4628" spans="6:9" x14ac:dyDescent="0.3">
      <c r="F4628" s="26"/>
      <c r="G4628" s="26"/>
      <c r="H4628" s="26"/>
      <c r="I4628" s="26"/>
    </row>
    <row r="4629" spans="6:9" x14ac:dyDescent="0.3">
      <c r="F4629" s="26"/>
      <c r="G4629" s="26"/>
      <c r="H4629" s="26"/>
      <c r="I4629" s="26"/>
    </row>
    <row r="4630" spans="6:9" x14ac:dyDescent="0.3">
      <c r="F4630" s="26"/>
      <c r="G4630" s="26"/>
      <c r="H4630" s="26"/>
      <c r="I4630" s="26"/>
    </row>
    <row r="4631" spans="6:9" x14ac:dyDescent="0.3">
      <c r="F4631" s="26"/>
      <c r="G4631" s="26"/>
      <c r="H4631" s="26"/>
      <c r="I4631" s="26"/>
    </row>
    <row r="4632" spans="6:9" x14ac:dyDescent="0.3">
      <c r="F4632" s="26"/>
      <c r="G4632" s="26"/>
      <c r="H4632" s="26"/>
      <c r="I4632" s="26"/>
    </row>
    <row r="4633" spans="6:9" x14ac:dyDescent="0.3">
      <c r="F4633" s="26"/>
      <c r="G4633" s="26"/>
      <c r="H4633" s="26"/>
      <c r="I4633" s="26"/>
    </row>
    <row r="4634" spans="6:9" x14ac:dyDescent="0.3">
      <c r="F4634" s="26"/>
      <c r="G4634" s="26"/>
      <c r="H4634" s="26"/>
      <c r="I4634" s="26"/>
    </row>
    <row r="4635" spans="6:9" x14ac:dyDescent="0.3">
      <c r="F4635" s="26"/>
      <c r="G4635" s="26"/>
      <c r="H4635" s="26"/>
      <c r="I4635" s="26"/>
    </row>
    <row r="4636" spans="6:9" x14ac:dyDescent="0.3">
      <c r="F4636" s="26"/>
      <c r="G4636" s="26"/>
      <c r="H4636" s="26"/>
      <c r="I4636" s="26"/>
    </row>
    <row r="4637" spans="6:9" x14ac:dyDescent="0.3">
      <c r="F4637" s="26"/>
      <c r="G4637" s="26"/>
      <c r="H4637" s="26"/>
      <c r="I4637" s="26"/>
    </row>
    <row r="4638" spans="6:9" x14ac:dyDescent="0.3">
      <c r="F4638" s="26"/>
      <c r="G4638" s="26"/>
      <c r="H4638" s="26"/>
      <c r="I4638" s="26"/>
    </row>
    <row r="4639" spans="6:9" x14ac:dyDescent="0.3">
      <c r="F4639" s="26"/>
      <c r="G4639" s="26"/>
      <c r="H4639" s="26"/>
      <c r="I4639" s="26"/>
    </row>
    <row r="4640" spans="6:9" x14ac:dyDescent="0.3">
      <c r="F4640" s="26"/>
      <c r="G4640" s="26"/>
      <c r="H4640" s="26"/>
      <c r="I4640" s="26"/>
    </row>
    <row r="4641" spans="6:9" x14ac:dyDescent="0.3">
      <c r="F4641" s="26"/>
      <c r="G4641" s="26"/>
      <c r="H4641" s="26"/>
      <c r="I4641" s="26"/>
    </row>
    <row r="4642" spans="6:9" x14ac:dyDescent="0.3">
      <c r="F4642" s="26"/>
      <c r="G4642" s="26"/>
      <c r="H4642" s="26"/>
      <c r="I4642" s="26"/>
    </row>
    <row r="4643" spans="6:9" x14ac:dyDescent="0.3">
      <c r="F4643" s="26"/>
      <c r="G4643" s="26"/>
      <c r="H4643" s="26"/>
      <c r="I4643" s="26"/>
    </row>
    <row r="4644" spans="6:9" x14ac:dyDescent="0.3">
      <c r="F4644" s="26"/>
      <c r="G4644" s="26"/>
      <c r="H4644" s="26"/>
      <c r="I4644" s="26"/>
    </row>
    <row r="4645" spans="6:9" x14ac:dyDescent="0.3">
      <c r="F4645" s="26"/>
      <c r="G4645" s="26"/>
      <c r="H4645" s="26"/>
      <c r="I4645" s="26"/>
    </row>
    <row r="4646" spans="6:9" x14ac:dyDescent="0.3">
      <c r="F4646" s="26"/>
      <c r="G4646" s="26"/>
      <c r="H4646" s="26"/>
      <c r="I4646" s="26"/>
    </row>
    <row r="4647" spans="6:9" x14ac:dyDescent="0.3">
      <c r="F4647" s="26"/>
      <c r="G4647" s="26"/>
      <c r="H4647" s="26"/>
      <c r="I4647" s="26"/>
    </row>
    <row r="4648" spans="6:9" x14ac:dyDescent="0.3">
      <c r="F4648" s="26"/>
      <c r="G4648" s="26"/>
      <c r="H4648" s="26"/>
      <c r="I4648" s="26"/>
    </row>
    <row r="4649" spans="6:9" x14ac:dyDescent="0.3">
      <c r="F4649" s="26"/>
      <c r="G4649" s="26"/>
      <c r="H4649" s="26"/>
      <c r="I4649" s="26"/>
    </row>
    <row r="4650" spans="6:9" x14ac:dyDescent="0.3">
      <c r="F4650" s="26"/>
      <c r="G4650" s="26"/>
      <c r="H4650" s="26"/>
      <c r="I4650" s="26"/>
    </row>
    <row r="4651" spans="6:9" x14ac:dyDescent="0.3">
      <c r="F4651" s="26"/>
      <c r="G4651" s="26"/>
      <c r="H4651" s="26"/>
      <c r="I4651" s="26"/>
    </row>
    <row r="4652" spans="6:9" x14ac:dyDescent="0.3">
      <c r="F4652" s="26"/>
      <c r="G4652" s="26"/>
      <c r="H4652" s="26"/>
      <c r="I4652" s="26"/>
    </row>
    <row r="4653" spans="6:9" x14ac:dyDescent="0.3">
      <c r="F4653" s="26"/>
      <c r="G4653" s="26"/>
      <c r="H4653" s="26"/>
      <c r="I4653" s="26"/>
    </row>
    <row r="4654" spans="6:9" x14ac:dyDescent="0.3">
      <c r="F4654" s="26"/>
      <c r="G4654" s="26"/>
      <c r="H4654" s="26"/>
      <c r="I4654" s="26"/>
    </row>
    <row r="4655" spans="6:9" x14ac:dyDescent="0.3">
      <c r="F4655" s="26"/>
      <c r="G4655" s="26"/>
      <c r="H4655" s="26"/>
      <c r="I4655" s="26"/>
    </row>
    <row r="4656" spans="6:9" x14ac:dyDescent="0.3">
      <c r="F4656" s="26"/>
      <c r="G4656" s="26"/>
      <c r="H4656" s="26"/>
      <c r="I4656" s="26"/>
    </row>
    <row r="4657" spans="6:9" x14ac:dyDescent="0.3">
      <c r="F4657" s="26"/>
      <c r="G4657" s="26"/>
      <c r="H4657" s="26"/>
      <c r="I4657" s="26"/>
    </row>
    <row r="4658" spans="6:9" x14ac:dyDescent="0.3">
      <c r="F4658" s="26"/>
      <c r="G4658" s="26"/>
      <c r="H4658" s="26"/>
      <c r="I4658" s="26"/>
    </row>
    <row r="4659" spans="6:9" x14ac:dyDescent="0.3">
      <c r="F4659" s="26"/>
      <c r="G4659" s="26"/>
      <c r="H4659" s="26"/>
      <c r="I4659" s="26"/>
    </row>
    <row r="4660" spans="6:9" x14ac:dyDescent="0.3">
      <c r="F4660" s="26"/>
      <c r="G4660" s="26"/>
      <c r="H4660" s="26"/>
      <c r="I4660" s="26"/>
    </row>
    <row r="4661" spans="6:9" x14ac:dyDescent="0.3">
      <c r="F4661" s="26"/>
      <c r="G4661" s="26"/>
      <c r="H4661" s="26"/>
      <c r="I4661" s="26"/>
    </row>
    <row r="4662" spans="6:9" x14ac:dyDescent="0.3">
      <c r="F4662" s="26"/>
      <c r="G4662" s="26"/>
      <c r="H4662" s="26"/>
      <c r="I4662" s="26"/>
    </row>
    <row r="4663" spans="6:9" x14ac:dyDescent="0.3">
      <c r="F4663" s="26"/>
      <c r="G4663" s="26"/>
      <c r="H4663" s="26"/>
      <c r="I4663" s="26"/>
    </row>
    <row r="4664" spans="6:9" x14ac:dyDescent="0.3">
      <c r="F4664" s="26"/>
      <c r="G4664" s="26"/>
      <c r="H4664" s="26"/>
      <c r="I4664" s="26"/>
    </row>
    <row r="4665" spans="6:9" x14ac:dyDescent="0.3">
      <c r="F4665" s="26"/>
      <c r="G4665" s="26"/>
      <c r="H4665" s="26"/>
      <c r="I4665" s="26"/>
    </row>
    <row r="4666" spans="6:9" x14ac:dyDescent="0.3">
      <c r="F4666" s="26"/>
      <c r="G4666" s="26"/>
      <c r="H4666" s="26"/>
      <c r="I4666" s="26"/>
    </row>
    <row r="4667" spans="6:9" x14ac:dyDescent="0.3">
      <c r="F4667" s="26"/>
      <c r="G4667" s="26"/>
      <c r="H4667" s="26"/>
      <c r="I4667" s="26"/>
    </row>
    <row r="4668" spans="6:9" x14ac:dyDescent="0.3">
      <c r="F4668" s="26"/>
      <c r="G4668" s="26"/>
      <c r="H4668" s="26"/>
      <c r="I4668" s="26"/>
    </row>
    <row r="4669" spans="6:9" x14ac:dyDescent="0.3">
      <c r="F4669" s="26"/>
      <c r="G4669" s="26"/>
      <c r="H4669" s="26"/>
      <c r="I4669" s="26"/>
    </row>
    <row r="4670" spans="6:9" x14ac:dyDescent="0.3">
      <c r="F4670" s="26"/>
      <c r="G4670" s="26"/>
      <c r="H4670" s="26"/>
      <c r="I4670" s="26"/>
    </row>
    <row r="4671" spans="6:9" x14ac:dyDescent="0.3">
      <c r="F4671" s="26"/>
      <c r="G4671" s="26"/>
      <c r="H4671" s="26"/>
      <c r="I4671" s="26"/>
    </row>
    <row r="4672" spans="6:9" x14ac:dyDescent="0.3">
      <c r="F4672" s="26"/>
      <c r="G4672" s="26"/>
      <c r="H4672" s="26"/>
      <c r="I4672" s="26"/>
    </row>
    <row r="4673" spans="6:9" x14ac:dyDescent="0.3">
      <c r="F4673" s="26"/>
      <c r="G4673" s="26"/>
      <c r="H4673" s="26"/>
      <c r="I4673" s="26"/>
    </row>
    <row r="4674" spans="6:9" x14ac:dyDescent="0.3">
      <c r="F4674" s="26"/>
      <c r="G4674" s="26"/>
      <c r="H4674" s="26"/>
      <c r="I4674" s="26"/>
    </row>
    <row r="4675" spans="6:9" x14ac:dyDescent="0.3">
      <c r="F4675" s="26"/>
      <c r="G4675" s="26"/>
      <c r="H4675" s="26"/>
      <c r="I4675" s="26"/>
    </row>
    <row r="4676" spans="6:9" x14ac:dyDescent="0.3">
      <c r="F4676" s="26"/>
      <c r="G4676" s="26"/>
      <c r="H4676" s="26"/>
      <c r="I4676" s="26"/>
    </row>
    <row r="4677" spans="6:9" x14ac:dyDescent="0.3">
      <c r="F4677" s="26"/>
      <c r="G4677" s="26"/>
      <c r="H4677" s="26"/>
      <c r="I4677" s="26"/>
    </row>
    <row r="4678" spans="6:9" x14ac:dyDescent="0.3">
      <c r="F4678" s="26"/>
      <c r="G4678" s="26"/>
      <c r="H4678" s="26"/>
      <c r="I4678" s="26"/>
    </row>
    <row r="4679" spans="6:9" x14ac:dyDescent="0.3">
      <c r="F4679" s="26"/>
      <c r="G4679" s="26"/>
      <c r="H4679" s="26"/>
      <c r="I4679" s="26"/>
    </row>
    <row r="4680" spans="6:9" x14ac:dyDescent="0.3">
      <c r="F4680" s="26"/>
      <c r="G4680" s="26"/>
      <c r="H4680" s="26"/>
      <c r="I4680" s="26"/>
    </row>
    <row r="4681" spans="6:9" x14ac:dyDescent="0.3">
      <c r="F4681" s="26"/>
      <c r="G4681" s="26"/>
      <c r="H4681" s="26"/>
      <c r="I4681" s="26"/>
    </row>
    <row r="4682" spans="6:9" x14ac:dyDescent="0.3">
      <c r="F4682" s="26"/>
      <c r="G4682" s="26"/>
      <c r="H4682" s="26"/>
      <c r="I4682" s="26"/>
    </row>
    <row r="4683" spans="6:9" x14ac:dyDescent="0.3">
      <c r="F4683" s="26"/>
      <c r="G4683" s="26"/>
      <c r="H4683" s="26"/>
      <c r="I4683" s="26"/>
    </row>
    <row r="4684" spans="6:9" x14ac:dyDescent="0.3">
      <c r="F4684" s="26"/>
      <c r="G4684" s="26"/>
      <c r="H4684" s="26"/>
      <c r="I4684" s="26"/>
    </row>
    <row r="4685" spans="6:9" x14ac:dyDescent="0.3">
      <c r="F4685" s="26"/>
      <c r="G4685" s="26"/>
      <c r="H4685" s="26"/>
      <c r="I4685" s="26"/>
    </row>
    <row r="4686" spans="6:9" x14ac:dyDescent="0.3">
      <c r="F4686" s="26"/>
      <c r="G4686" s="26"/>
      <c r="H4686" s="26"/>
      <c r="I4686" s="26"/>
    </row>
    <row r="4687" spans="6:9" x14ac:dyDescent="0.3">
      <c r="F4687" s="26"/>
      <c r="G4687" s="26"/>
      <c r="H4687" s="26"/>
      <c r="I4687" s="26"/>
    </row>
    <row r="4688" spans="6:9" x14ac:dyDescent="0.3">
      <c r="F4688" s="26"/>
      <c r="G4688" s="26"/>
      <c r="H4688" s="26"/>
      <c r="I4688" s="26"/>
    </row>
    <row r="4689" spans="6:9" x14ac:dyDescent="0.3">
      <c r="F4689" s="26"/>
      <c r="G4689" s="26"/>
      <c r="H4689" s="26"/>
      <c r="I4689" s="26"/>
    </row>
    <row r="4690" spans="6:9" x14ac:dyDescent="0.3">
      <c r="F4690" s="26"/>
      <c r="G4690" s="26"/>
      <c r="H4690" s="26"/>
      <c r="I4690" s="26"/>
    </row>
    <row r="4691" spans="6:9" x14ac:dyDescent="0.3">
      <c r="F4691" s="26"/>
      <c r="G4691" s="26"/>
      <c r="H4691" s="26"/>
      <c r="I4691" s="26"/>
    </row>
    <row r="4692" spans="6:9" x14ac:dyDescent="0.3">
      <c r="F4692" s="26"/>
      <c r="G4692" s="26"/>
      <c r="H4692" s="26"/>
      <c r="I4692" s="26"/>
    </row>
    <row r="4693" spans="6:9" x14ac:dyDescent="0.3">
      <c r="F4693" s="26"/>
      <c r="G4693" s="26"/>
      <c r="H4693" s="26"/>
      <c r="I4693" s="26"/>
    </row>
    <row r="4694" spans="6:9" x14ac:dyDescent="0.3">
      <c r="F4694" s="26"/>
      <c r="G4694" s="26"/>
      <c r="H4694" s="26"/>
      <c r="I4694" s="26"/>
    </row>
    <row r="4695" spans="6:9" x14ac:dyDescent="0.3">
      <c r="F4695" s="26"/>
      <c r="G4695" s="26"/>
      <c r="H4695" s="26"/>
      <c r="I4695" s="26"/>
    </row>
    <row r="4696" spans="6:9" x14ac:dyDescent="0.3">
      <c r="F4696" s="26"/>
      <c r="G4696" s="26"/>
      <c r="H4696" s="26"/>
      <c r="I4696" s="26"/>
    </row>
    <row r="4697" spans="6:9" x14ac:dyDescent="0.3">
      <c r="F4697" s="26"/>
      <c r="G4697" s="26"/>
      <c r="H4697" s="26"/>
      <c r="I4697" s="26"/>
    </row>
    <row r="4698" spans="6:9" x14ac:dyDescent="0.3">
      <c r="F4698" s="26"/>
      <c r="G4698" s="26"/>
      <c r="H4698" s="26"/>
      <c r="I4698" s="26"/>
    </row>
    <row r="4699" spans="6:9" x14ac:dyDescent="0.3">
      <c r="F4699" s="26"/>
      <c r="G4699" s="26"/>
      <c r="H4699" s="26"/>
      <c r="I4699" s="26"/>
    </row>
    <row r="4700" spans="6:9" x14ac:dyDescent="0.3">
      <c r="F4700" s="26"/>
      <c r="G4700" s="26"/>
      <c r="H4700" s="26"/>
      <c r="I4700" s="26"/>
    </row>
    <row r="4701" spans="6:9" x14ac:dyDescent="0.3">
      <c r="F4701" s="26"/>
      <c r="G4701" s="26"/>
      <c r="H4701" s="26"/>
      <c r="I4701" s="26"/>
    </row>
    <row r="4702" spans="6:9" x14ac:dyDescent="0.3">
      <c r="F4702" s="26"/>
      <c r="G4702" s="26"/>
      <c r="H4702" s="26"/>
      <c r="I4702" s="26"/>
    </row>
    <row r="4703" spans="6:9" x14ac:dyDescent="0.3">
      <c r="F4703" s="26"/>
      <c r="G4703" s="26"/>
      <c r="H4703" s="26"/>
      <c r="I4703" s="26"/>
    </row>
    <row r="4704" spans="6:9" x14ac:dyDescent="0.3">
      <c r="F4704" s="26"/>
      <c r="G4704" s="26"/>
      <c r="H4704" s="26"/>
      <c r="I4704" s="26"/>
    </row>
    <row r="4705" spans="6:9" x14ac:dyDescent="0.3">
      <c r="F4705" s="26"/>
      <c r="G4705" s="26"/>
      <c r="H4705" s="26"/>
      <c r="I4705" s="26"/>
    </row>
    <row r="4706" spans="6:9" x14ac:dyDescent="0.3">
      <c r="F4706" s="26"/>
      <c r="G4706" s="26"/>
      <c r="H4706" s="26"/>
      <c r="I4706" s="26"/>
    </row>
    <row r="4707" spans="6:9" x14ac:dyDescent="0.3">
      <c r="F4707" s="26"/>
      <c r="G4707" s="26"/>
      <c r="H4707" s="26"/>
      <c r="I4707" s="26"/>
    </row>
    <row r="4708" spans="6:9" x14ac:dyDescent="0.3">
      <c r="F4708" s="26"/>
      <c r="G4708" s="26"/>
      <c r="H4708" s="26"/>
      <c r="I4708" s="26"/>
    </row>
    <row r="4709" spans="6:9" x14ac:dyDescent="0.3">
      <c r="F4709" s="26"/>
      <c r="G4709" s="26"/>
      <c r="H4709" s="26"/>
      <c r="I4709" s="26"/>
    </row>
    <row r="4710" spans="6:9" x14ac:dyDescent="0.3">
      <c r="F4710" s="26"/>
      <c r="G4710" s="26"/>
      <c r="H4710" s="26"/>
      <c r="I4710" s="26"/>
    </row>
    <row r="4711" spans="6:9" x14ac:dyDescent="0.3">
      <c r="F4711" s="26"/>
      <c r="G4711" s="26"/>
      <c r="H4711" s="26"/>
      <c r="I4711" s="26"/>
    </row>
    <row r="4712" spans="6:9" x14ac:dyDescent="0.3">
      <c r="F4712" s="26"/>
      <c r="G4712" s="26"/>
      <c r="H4712" s="26"/>
      <c r="I4712" s="26"/>
    </row>
    <row r="4713" spans="6:9" x14ac:dyDescent="0.3">
      <c r="F4713" s="26"/>
      <c r="G4713" s="26"/>
      <c r="H4713" s="26"/>
      <c r="I4713" s="26"/>
    </row>
    <row r="4714" spans="6:9" x14ac:dyDescent="0.3">
      <c r="F4714" s="26"/>
      <c r="G4714" s="26"/>
      <c r="H4714" s="26"/>
      <c r="I4714" s="26"/>
    </row>
    <row r="4715" spans="6:9" x14ac:dyDescent="0.3">
      <c r="F4715" s="26"/>
      <c r="G4715" s="26"/>
      <c r="H4715" s="26"/>
      <c r="I4715" s="26"/>
    </row>
    <row r="4716" spans="6:9" x14ac:dyDescent="0.3">
      <c r="F4716" s="26"/>
      <c r="G4716" s="26"/>
      <c r="H4716" s="26"/>
      <c r="I4716" s="26"/>
    </row>
    <row r="4717" spans="6:9" x14ac:dyDescent="0.3">
      <c r="F4717" s="26"/>
      <c r="G4717" s="26"/>
      <c r="H4717" s="26"/>
      <c r="I4717" s="26"/>
    </row>
    <row r="4718" spans="6:9" x14ac:dyDescent="0.3">
      <c r="F4718" s="26"/>
      <c r="G4718" s="26"/>
      <c r="H4718" s="26"/>
      <c r="I4718" s="26"/>
    </row>
    <row r="4719" spans="6:9" x14ac:dyDescent="0.3">
      <c r="F4719" s="26"/>
      <c r="G4719" s="26"/>
      <c r="H4719" s="26"/>
      <c r="I4719" s="26"/>
    </row>
    <row r="4720" spans="6:9" x14ac:dyDescent="0.3">
      <c r="F4720" s="26"/>
      <c r="G4720" s="26"/>
      <c r="H4720" s="26"/>
      <c r="I4720" s="26"/>
    </row>
    <row r="4721" spans="6:9" x14ac:dyDescent="0.3">
      <c r="F4721" s="26"/>
      <c r="G4721" s="26"/>
      <c r="H4721" s="26"/>
      <c r="I4721" s="26"/>
    </row>
    <row r="4722" spans="6:9" x14ac:dyDescent="0.3">
      <c r="F4722" s="26"/>
      <c r="G4722" s="26"/>
      <c r="H4722" s="26"/>
      <c r="I4722" s="26"/>
    </row>
    <row r="4723" spans="6:9" x14ac:dyDescent="0.3">
      <c r="F4723" s="26"/>
      <c r="G4723" s="26"/>
      <c r="H4723" s="26"/>
      <c r="I4723" s="26"/>
    </row>
    <row r="4724" spans="6:9" x14ac:dyDescent="0.3">
      <c r="F4724" s="26"/>
      <c r="G4724" s="26"/>
      <c r="H4724" s="26"/>
      <c r="I4724" s="26"/>
    </row>
    <row r="4725" spans="6:9" x14ac:dyDescent="0.3">
      <c r="F4725" s="26"/>
      <c r="G4725" s="26"/>
      <c r="H4725" s="26"/>
      <c r="I4725" s="26"/>
    </row>
    <row r="4726" spans="6:9" x14ac:dyDescent="0.3">
      <c r="F4726" s="26"/>
      <c r="G4726" s="26"/>
      <c r="H4726" s="26"/>
      <c r="I4726" s="26"/>
    </row>
    <row r="4727" spans="6:9" x14ac:dyDescent="0.3">
      <c r="F4727" s="26"/>
      <c r="G4727" s="26"/>
      <c r="H4727" s="26"/>
      <c r="I4727" s="26"/>
    </row>
    <row r="4728" spans="6:9" x14ac:dyDescent="0.3">
      <c r="F4728" s="26"/>
      <c r="G4728" s="26"/>
      <c r="H4728" s="26"/>
      <c r="I4728" s="26"/>
    </row>
    <row r="4729" spans="6:9" x14ac:dyDescent="0.3">
      <c r="F4729" s="26"/>
      <c r="G4729" s="26"/>
      <c r="H4729" s="26"/>
      <c r="I4729" s="26"/>
    </row>
    <row r="4730" spans="6:9" x14ac:dyDescent="0.3">
      <c r="F4730" s="26"/>
      <c r="G4730" s="26"/>
      <c r="H4730" s="26"/>
      <c r="I4730" s="26"/>
    </row>
    <row r="4731" spans="6:9" x14ac:dyDescent="0.3">
      <c r="F4731" s="26"/>
      <c r="G4731" s="26"/>
      <c r="H4731" s="26"/>
      <c r="I4731" s="26"/>
    </row>
    <row r="4732" spans="6:9" x14ac:dyDescent="0.3">
      <c r="F4732" s="26"/>
      <c r="G4732" s="26"/>
      <c r="H4732" s="26"/>
      <c r="I4732" s="26"/>
    </row>
    <row r="4733" spans="6:9" x14ac:dyDescent="0.3">
      <c r="F4733" s="26"/>
      <c r="G4733" s="26"/>
      <c r="H4733" s="26"/>
      <c r="I4733" s="26"/>
    </row>
    <row r="4734" spans="6:9" x14ac:dyDescent="0.3">
      <c r="F4734" s="26"/>
      <c r="G4734" s="26"/>
      <c r="H4734" s="26"/>
      <c r="I4734" s="26"/>
    </row>
    <row r="4735" spans="6:9" x14ac:dyDescent="0.3">
      <c r="F4735" s="26"/>
      <c r="G4735" s="26"/>
      <c r="H4735" s="26"/>
      <c r="I4735" s="26"/>
    </row>
    <row r="4736" spans="6:9" x14ac:dyDescent="0.3">
      <c r="F4736" s="26"/>
      <c r="G4736" s="26"/>
      <c r="H4736" s="26"/>
      <c r="I4736" s="26"/>
    </row>
    <row r="4737" spans="6:9" x14ac:dyDescent="0.3">
      <c r="F4737" s="26"/>
      <c r="G4737" s="26"/>
      <c r="H4737" s="26"/>
      <c r="I4737" s="26"/>
    </row>
    <row r="4738" spans="6:9" x14ac:dyDescent="0.3">
      <c r="F4738" s="26"/>
      <c r="G4738" s="26"/>
      <c r="H4738" s="26"/>
      <c r="I4738" s="26"/>
    </row>
    <row r="4739" spans="6:9" x14ac:dyDescent="0.3">
      <c r="F4739" s="26"/>
      <c r="G4739" s="26"/>
      <c r="H4739" s="26"/>
      <c r="I4739" s="26"/>
    </row>
    <row r="4740" spans="6:9" x14ac:dyDescent="0.3">
      <c r="F4740" s="26"/>
      <c r="G4740" s="26"/>
      <c r="H4740" s="26"/>
      <c r="I4740" s="26"/>
    </row>
    <row r="4741" spans="6:9" x14ac:dyDescent="0.3">
      <c r="F4741" s="26"/>
      <c r="G4741" s="26"/>
      <c r="H4741" s="26"/>
      <c r="I4741" s="26"/>
    </row>
    <row r="4742" spans="6:9" x14ac:dyDescent="0.3">
      <c r="F4742" s="26"/>
      <c r="G4742" s="26"/>
      <c r="H4742" s="26"/>
      <c r="I4742" s="26"/>
    </row>
    <row r="4743" spans="6:9" x14ac:dyDescent="0.3">
      <c r="F4743" s="26"/>
      <c r="G4743" s="26"/>
      <c r="H4743" s="26"/>
      <c r="I4743" s="26"/>
    </row>
    <row r="4744" spans="6:9" x14ac:dyDescent="0.3">
      <c r="F4744" s="26"/>
      <c r="G4744" s="26"/>
      <c r="H4744" s="26"/>
      <c r="I4744" s="26"/>
    </row>
    <row r="4745" spans="6:9" x14ac:dyDescent="0.3">
      <c r="F4745" s="26"/>
      <c r="G4745" s="26"/>
      <c r="H4745" s="26"/>
      <c r="I4745" s="26"/>
    </row>
    <row r="4746" spans="6:9" x14ac:dyDescent="0.3">
      <c r="F4746" s="26"/>
      <c r="G4746" s="26"/>
      <c r="H4746" s="26"/>
      <c r="I4746" s="26"/>
    </row>
    <row r="4747" spans="6:9" x14ac:dyDescent="0.3">
      <c r="F4747" s="26"/>
      <c r="G4747" s="26"/>
      <c r="H4747" s="26"/>
      <c r="I4747" s="26"/>
    </row>
    <row r="4748" spans="6:9" x14ac:dyDescent="0.3">
      <c r="F4748" s="26"/>
      <c r="G4748" s="26"/>
      <c r="H4748" s="26"/>
      <c r="I4748" s="26"/>
    </row>
    <row r="4749" spans="6:9" x14ac:dyDescent="0.3">
      <c r="F4749" s="26"/>
      <c r="G4749" s="26"/>
      <c r="H4749" s="26"/>
      <c r="I4749" s="26"/>
    </row>
    <row r="4750" spans="6:9" x14ac:dyDescent="0.3">
      <c r="F4750" s="26"/>
      <c r="G4750" s="26"/>
      <c r="H4750" s="26"/>
      <c r="I4750" s="26"/>
    </row>
    <row r="4751" spans="6:9" x14ac:dyDescent="0.3">
      <c r="F4751" s="26"/>
      <c r="G4751" s="26"/>
      <c r="H4751" s="26"/>
      <c r="I4751" s="26"/>
    </row>
    <row r="4752" spans="6:9" x14ac:dyDescent="0.3">
      <c r="F4752" s="26"/>
      <c r="G4752" s="26"/>
      <c r="H4752" s="26"/>
      <c r="I4752" s="26"/>
    </row>
    <row r="4753" spans="6:9" x14ac:dyDescent="0.3">
      <c r="F4753" s="26"/>
      <c r="G4753" s="26"/>
      <c r="H4753" s="26"/>
      <c r="I4753" s="26"/>
    </row>
    <row r="4754" spans="6:9" x14ac:dyDescent="0.3">
      <c r="F4754" s="26"/>
      <c r="G4754" s="26"/>
      <c r="H4754" s="26"/>
      <c r="I4754" s="26"/>
    </row>
    <row r="4755" spans="6:9" x14ac:dyDescent="0.3">
      <c r="F4755" s="26"/>
      <c r="G4755" s="26"/>
      <c r="H4755" s="26"/>
      <c r="I4755" s="26"/>
    </row>
    <row r="4756" spans="6:9" x14ac:dyDescent="0.3">
      <c r="F4756" s="26"/>
      <c r="G4756" s="26"/>
      <c r="H4756" s="26"/>
      <c r="I4756" s="26"/>
    </row>
    <row r="4757" spans="6:9" x14ac:dyDescent="0.3">
      <c r="F4757" s="26"/>
      <c r="G4757" s="26"/>
      <c r="H4757" s="26"/>
      <c r="I4757" s="26"/>
    </row>
    <row r="4758" spans="6:9" x14ac:dyDescent="0.3">
      <c r="F4758" s="26"/>
      <c r="G4758" s="26"/>
      <c r="H4758" s="26"/>
      <c r="I4758" s="26"/>
    </row>
    <row r="4759" spans="6:9" x14ac:dyDescent="0.3">
      <c r="F4759" s="26"/>
      <c r="G4759" s="26"/>
      <c r="H4759" s="26"/>
      <c r="I4759" s="26"/>
    </row>
    <row r="4760" spans="6:9" x14ac:dyDescent="0.3">
      <c r="F4760" s="26"/>
      <c r="G4760" s="26"/>
      <c r="H4760" s="26"/>
      <c r="I4760" s="26"/>
    </row>
    <row r="4761" spans="6:9" x14ac:dyDescent="0.3">
      <c r="F4761" s="26"/>
      <c r="G4761" s="26"/>
      <c r="H4761" s="26"/>
      <c r="I4761" s="26"/>
    </row>
    <row r="4762" spans="6:9" x14ac:dyDescent="0.3">
      <c r="F4762" s="26"/>
      <c r="G4762" s="26"/>
      <c r="H4762" s="26"/>
      <c r="I4762" s="26"/>
    </row>
    <row r="4763" spans="6:9" x14ac:dyDescent="0.3">
      <c r="F4763" s="26"/>
      <c r="G4763" s="26"/>
      <c r="H4763" s="26"/>
      <c r="I4763" s="26"/>
    </row>
    <row r="4764" spans="6:9" x14ac:dyDescent="0.3">
      <c r="F4764" s="26"/>
      <c r="G4764" s="26"/>
      <c r="H4764" s="26"/>
      <c r="I4764" s="26"/>
    </row>
    <row r="4765" spans="6:9" x14ac:dyDescent="0.3">
      <c r="F4765" s="26"/>
      <c r="G4765" s="26"/>
      <c r="H4765" s="26"/>
      <c r="I4765" s="26"/>
    </row>
    <row r="4766" spans="6:9" x14ac:dyDescent="0.3">
      <c r="F4766" s="26"/>
      <c r="G4766" s="26"/>
      <c r="H4766" s="26"/>
      <c r="I4766" s="26"/>
    </row>
    <row r="4767" spans="6:9" x14ac:dyDescent="0.3">
      <c r="F4767" s="26"/>
      <c r="G4767" s="26"/>
      <c r="H4767" s="26"/>
      <c r="I4767" s="26"/>
    </row>
    <row r="4768" spans="6:9" x14ac:dyDescent="0.3">
      <c r="F4768" s="26"/>
      <c r="G4768" s="26"/>
      <c r="H4768" s="26"/>
      <c r="I4768" s="26"/>
    </row>
    <row r="4769" spans="6:9" x14ac:dyDescent="0.3">
      <c r="F4769" s="26"/>
      <c r="G4769" s="26"/>
      <c r="H4769" s="26"/>
      <c r="I4769" s="26"/>
    </row>
    <row r="4770" spans="6:9" x14ac:dyDescent="0.3">
      <c r="F4770" s="26"/>
      <c r="G4770" s="26"/>
      <c r="H4770" s="26"/>
      <c r="I4770" s="26"/>
    </row>
    <row r="4771" spans="6:9" x14ac:dyDescent="0.3">
      <c r="F4771" s="26"/>
      <c r="G4771" s="26"/>
      <c r="H4771" s="26"/>
      <c r="I4771" s="26"/>
    </row>
    <row r="4772" spans="6:9" x14ac:dyDescent="0.3">
      <c r="F4772" s="26"/>
      <c r="G4772" s="26"/>
      <c r="H4772" s="26"/>
      <c r="I4772" s="26"/>
    </row>
    <row r="4773" spans="6:9" x14ac:dyDescent="0.3">
      <c r="F4773" s="26"/>
      <c r="G4773" s="26"/>
      <c r="H4773" s="26"/>
      <c r="I4773" s="26"/>
    </row>
    <row r="4774" spans="6:9" x14ac:dyDescent="0.3">
      <c r="F4774" s="26"/>
      <c r="G4774" s="26"/>
      <c r="H4774" s="26"/>
      <c r="I4774" s="26"/>
    </row>
    <row r="4775" spans="6:9" x14ac:dyDescent="0.3">
      <c r="F4775" s="26"/>
      <c r="G4775" s="26"/>
      <c r="H4775" s="26"/>
      <c r="I4775" s="26"/>
    </row>
    <row r="4776" spans="6:9" x14ac:dyDescent="0.3">
      <c r="F4776" s="26"/>
      <c r="G4776" s="26"/>
      <c r="H4776" s="26"/>
      <c r="I4776" s="26"/>
    </row>
    <row r="4777" spans="6:9" x14ac:dyDescent="0.3">
      <c r="F4777" s="26"/>
      <c r="G4777" s="26"/>
      <c r="H4777" s="26"/>
      <c r="I4777" s="26"/>
    </row>
    <row r="4778" spans="6:9" x14ac:dyDescent="0.3">
      <c r="F4778" s="26"/>
      <c r="G4778" s="26"/>
      <c r="H4778" s="26"/>
      <c r="I4778" s="26"/>
    </row>
    <row r="4779" spans="6:9" x14ac:dyDescent="0.3">
      <c r="F4779" s="26"/>
      <c r="G4779" s="26"/>
      <c r="H4779" s="26"/>
      <c r="I4779" s="26"/>
    </row>
    <row r="4780" spans="6:9" x14ac:dyDescent="0.3">
      <c r="F4780" s="26"/>
      <c r="G4780" s="26"/>
      <c r="H4780" s="26"/>
      <c r="I4780" s="26"/>
    </row>
    <row r="4781" spans="6:9" x14ac:dyDescent="0.3">
      <c r="F4781" s="26"/>
      <c r="G4781" s="26"/>
      <c r="H4781" s="26"/>
      <c r="I4781" s="26"/>
    </row>
    <row r="4782" spans="6:9" x14ac:dyDescent="0.3">
      <c r="F4782" s="26"/>
      <c r="G4782" s="26"/>
      <c r="H4782" s="26"/>
      <c r="I4782" s="26"/>
    </row>
    <row r="4783" spans="6:9" x14ac:dyDescent="0.3">
      <c r="F4783" s="26"/>
      <c r="G4783" s="26"/>
      <c r="H4783" s="26"/>
      <c r="I4783" s="26"/>
    </row>
    <row r="4784" spans="6:9" x14ac:dyDescent="0.3">
      <c r="F4784" s="26"/>
      <c r="G4784" s="26"/>
      <c r="H4784" s="26"/>
      <c r="I4784" s="26"/>
    </row>
    <row r="4785" spans="6:9" x14ac:dyDescent="0.3">
      <c r="F4785" s="26"/>
      <c r="G4785" s="26"/>
      <c r="H4785" s="26"/>
      <c r="I4785" s="26"/>
    </row>
    <row r="4786" spans="6:9" x14ac:dyDescent="0.3">
      <c r="F4786" s="26"/>
      <c r="G4786" s="26"/>
      <c r="H4786" s="26"/>
      <c r="I4786" s="26"/>
    </row>
    <row r="4787" spans="6:9" x14ac:dyDescent="0.3">
      <c r="F4787" s="26"/>
      <c r="G4787" s="26"/>
      <c r="H4787" s="26"/>
      <c r="I4787" s="26"/>
    </row>
    <row r="4788" spans="6:9" x14ac:dyDescent="0.3">
      <c r="F4788" s="26"/>
      <c r="G4788" s="26"/>
      <c r="H4788" s="26"/>
      <c r="I4788" s="26"/>
    </row>
    <row r="4789" spans="6:9" x14ac:dyDescent="0.3">
      <c r="F4789" s="26"/>
      <c r="G4789" s="26"/>
      <c r="H4789" s="26"/>
      <c r="I4789" s="26"/>
    </row>
    <row r="4790" spans="6:9" x14ac:dyDescent="0.3">
      <c r="F4790" s="26"/>
      <c r="G4790" s="26"/>
      <c r="H4790" s="26"/>
      <c r="I4790" s="26"/>
    </row>
    <row r="4791" spans="6:9" x14ac:dyDescent="0.3">
      <c r="F4791" s="26"/>
      <c r="G4791" s="26"/>
      <c r="H4791" s="26"/>
      <c r="I4791" s="26"/>
    </row>
    <row r="4792" spans="6:9" x14ac:dyDescent="0.3">
      <c r="F4792" s="26"/>
      <c r="G4792" s="26"/>
      <c r="H4792" s="26"/>
      <c r="I4792" s="26"/>
    </row>
    <row r="4793" spans="6:9" x14ac:dyDescent="0.3">
      <c r="F4793" s="26"/>
      <c r="G4793" s="26"/>
      <c r="H4793" s="26"/>
      <c r="I4793" s="26"/>
    </row>
    <row r="4794" spans="6:9" x14ac:dyDescent="0.3">
      <c r="F4794" s="26"/>
      <c r="G4794" s="26"/>
      <c r="H4794" s="26"/>
      <c r="I4794" s="26"/>
    </row>
    <row r="4795" spans="6:9" x14ac:dyDescent="0.3">
      <c r="F4795" s="26"/>
      <c r="G4795" s="26"/>
      <c r="H4795" s="26"/>
      <c r="I4795" s="26"/>
    </row>
    <row r="4796" spans="6:9" x14ac:dyDescent="0.3">
      <c r="F4796" s="26"/>
      <c r="G4796" s="26"/>
      <c r="H4796" s="26"/>
      <c r="I4796" s="26"/>
    </row>
    <row r="4797" spans="6:9" x14ac:dyDescent="0.3">
      <c r="F4797" s="26"/>
      <c r="G4797" s="26"/>
      <c r="H4797" s="26"/>
      <c r="I4797" s="26"/>
    </row>
    <row r="4798" spans="6:9" x14ac:dyDescent="0.3">
      <c r="F4798" s="26"/>
      <c r="G4798" s="26"/>
      <c r="H4798" s="26"/>
      <c r="I4798" s="26"/>
    </row>
    <row r="4799" spans="6:9" x14ac:dyDescent="0.3">
      <c r="F4799" s="26"/>
      <c r="G4799" s="26"/>
      <c r="H4799" s="26"/>
      <c r="I4799" s="26"/>
    </row>
    <row r="4800" spans="6:9" x14ac:dyDescent="0.3">
      <c r="F4800" s="26"/>
      <c r="G4800" s="26"/>
      <c r="H4800" s="26"/>
      <c r="I4800" s="26"/>
    </row>
    <row r="4801" spans="6:9" x14ac:dyDescent="0.3">
      <c r="F4801" s="26"/>
      <c r="G4801" s="26"/>
      <c r="H4801" s="26"/>
      <c r="I4801" s="26"/>
    </row>
    <row r="4802" spans="6:9" x14ac:dyDescent="0.3">
      <c r="F4802" s="26"/>
      <c r="G4802" s="26"/>
      <c r="H4802" s="26"/>
      <c r="I4802" s="26"/>
    </row>
    <row r="4803" spans="6:9" x14ac:dyDescent="0.3">
      <c r="F4803" s="26"/>
      <c r="G4803" s="26"/>
      <c r="H4803" s="26"/>
      <c r="I4803" s="26"/>
    </row>
    <row r="4804" spans="6:9" x14ac:dyDescent="0.3">
      <c r="F4804" s="26"/>
      <c r="G4804" s="26"/>
      <c r="H4804" s="26"/>
      <c r="I4804" s="26"/>
    </row>
    <row r="4805" spans="6:9" x14ac:dyDescent="0.3">
      <c r="F4805" s="26"/>
      <c r="G4805" s="26"/>
      <c r="H4805" s="26"/>
      <c r="I4805" s="26"/>
    </row>
    <row r="4806" spans="6:9" x14ac:dyDescent="0.3">
      <c r="F4806" s="26"/>
      <c r="G4806" s="26"/>
      <c r="H4806" s="26"/>
      <c r="I4806" s="26"/>
    </row>
    <row r="4807" spans="6:9" x14ac:dyDescent="0.3">
      <c r="F4807" s="26"/>
      <c r="G4807" s="26"/>
      <c r="H4807" s="26"/>
      <c r="I4807" s="26"/>
    </row>
    <row r="4808" spans="6:9" x14ac:dyDescent="0.3">
      <c r="F4808" s="26"/>
      <c r="G4808" s="26"/>
      <c r="H4808" s="26"/>
      <c r="I4808" s="26"/>
    </row>
    <row r="4809" spans="6:9" x14ac:dyDescent="0.3">
      <c r="F4809" s="26"/>
      <c r="G4809" s="26"/>
      <c r="H4809" s="26"/>
      <c r="I4809" s="26"/>
    </row>
    <row r="4810" spans="6:9" x14ac:dyDescent="0.3">
      <c r="F4810" s="26"/>
      <c r="G4810" s="26"/>
      <c r="H4810" s="26"/>
      <c r="I4810" s="26"/>
    </row>
    <row r="4811" spans="6:9" x14ac:dyDescent="0.3">
      <c r="F4811" s="26"/>
      <c r="G4811" s="26"/>
      <c r="H4811" s="26"/>
      <c r="I4811" s="26"/>
    </row>
    <row r="4812" spans="6:9" x14ac:dyDescent="0.3">
      <c r="F4812" s="26"/>
      <c r="G4812" s="26"/>
      <c r="H4812" s="26"/>
      <c r="I4812" s="26"/>
    </row>
    <row r="4813" spans="6:9" x14ac:dyDescent="0.3">
      <c r="F4813" s="26"/>
      <c r="G4813" s="26"/>
      <c r="H4813" s="26"/>
      <c r="I4813" s="26"/>
    </row>
    <row r="4814" spans="6:9" x14ac:dyDescent="0.3">
      <c r="F4814" s="26"/>
      <c r="G4814" s="26"/>
      <c r="H4814" s="26"/>
      <c r="I4814" s="26"/>
    </row>
    <row r="4815" spans="6:9" x14ac:dyDescent="0.3">
      <c r="F4815" s="26"/>
      <c r="G4815" s="26"/>
      <c r="H4815" s="26"/>
      <c r="I4815" s="26"/>
    </row>
    <row r="4816" spans="6:9" x14ac:dyDescent="0.3">
      <c r="F4816" s="26"/>
      <c r="G4816" s="26"/>
      <c r="H4816" s="26"/>
      <c r="I4816" s="26"/>
    </row>
    <row r="4817" spans="6:9" x14ac:dyDescent="0.3">
      <c r="F4817" s="26"/>
      <c r="G4817" s="26"/>
      <c r="H4817" s="26"/>
      <c r="I4817" s="26"/>
    </row>
    <row r="4818" spans="6:9" x14ac:dyDescent="0.3">
      <c r="F4818" s="26"/>
      <c r="G4818" s="26"/>
      <c r="H4818" s="26"/>
      <c r="I4818" s="26"/>
    </row>
    <row r="4819" spans="6:9" x14ac:dyDescent="0.3">
      <c r="F4819" s="26"/>
      <c r="G4819" s="26"/>
      <c r="H4819" s="26"/>
      <c r="I4819" s="26"/>
    </row>
    <row r="4820" spans="6:9" x14ac:dyDescent="0.3">
      <c r="F4820" s="26"/>
      <c r="G4820" s="26"/>
      <c r="H4820" s="26"/>
      <c r="I4820" s="26"/>
    </row>
    <row r="4821" spans="6:9" x14ac:dyDescent="0.3">
      <c r="F4821" s="26"/>
      <c r="G4821" s="26"/>
      <c r="H4821" s="26"/>
      <c r="I4821" s="26"/>
    </row>
    <row r="4822" spans="6:9" x14ac:dyDescent="0.3">
      <c r="F4822" s="26"/>
      <c r="G4822" s="26"/>
      <c r="H4822" s="26"/>
      <c r="I4822" s="26"/>
    </row>
    <row r="4823" spans="6:9" x14ac:dyDescent="0.3">
      <c r="F4823" s="26"/>
      <c r="G4823" s="26"/>
      <c r="H4823" s="26"/>
      <c r="I4823" s="26"/>
    </row>
    <row r="4824" spans="6:9" x14ac:dyDescent="0.3">
      <c r="F4824" s="26"/>
      <c r="G4824" s="26"/>
      <c r="H4824" s="26"/>
      <c r="I4824" s="26"/>
    </row>
    <row r="4825" spans="6:9" x14ac:dyDescent="0.3">
      <c r="F4825" s="26"/>
      <c r="G4825" s="26"/>
      <c r="H4825" s="26"/>
      <c r="I4825" s="26"/>
    </row>
    <row r="4826" spans="6:9" x14ac:dyDescent="0.3">
      <c r="F4826" s="26"/>
      <c r="G4826" s="26"/>
      <c r="H4826" s="26"/>
      <c r="I4826" s="26"/>
    </row>
    <row r="4827" spans="6:9" x14ac:dyDescent="0.3">
      <c r="F4827" s="26"/>
      <c r="G4827" s="26"/>
      <c r="H4827" s="26"/>
      <c r="I4827" s="26"/>
    </row>
    <row r="4828" spans="6:9" x14ac:dyDescent="0.3">
      <c r="F4828" s="26"/>
      <c r="G4828" s="26"/>
      <c r="H4828" s="26"/>
      <c r="I4828" s="26"/>
    </row>
    <row r="4829" spans="6:9" x14ac:dyDescent="0.3">
      <c r="F4829" s="26"/>
      <c r="G4829" s="26"/>
      <c r="H4829" s="26"/>
      <c r="I4829" s="26"/>
    </row>
    <row r="4830" spans="6:9" x14ac:dyDescent="0.3">
      <c r="F4830" s="26"/>
      <c r="G4830" s="26"/>
      <c r="H4830" s="26"/>
      <c r="I4830" s="26"/>
    </row>
    <row r="4831" spans="6:9" x14ac:dyDescent="0.3">
      <c r="F4831" s="26"/>
      <c r="G4831" s="26"/>
      <c r="H4831" s="26"/>
      <c r="I4831" s="26"/>
    </row>
    <row r="4832" spans="6:9" x14ac:dyDescent="0.3">
      <c r="F4832" s="26"/>
      <c r="G4832" s="26"/>
      <c r="H4832" s="26"/>
      <c r="I4832" s="26"/>
    </row>
    <row r="4833" spans="6:9" x14ac:dyDescent="0.3">
      <c r="F4833" s="26"/>
      <c r="G4833" s="26"/>
      <c r="H4833" s="26"/>
      <c r="I4833" s="26"/>
    </row>
    <row r="4834" spans="6:9" x14ac:dyDescent="0.3">
      <c r="F4834" s="26"/>
      <c r="G4834" s="26"/>
      <c r="H4834" s="26"/>
      <c r="I4834" s="26"/>
    </row>
    <row r="4835" spans="6:9" x14ac:dyDescent="0.3">
      <c r="F4835" s="26"/>
      <c r="G4835" s="26"/>
      <c r="H4835" s="26"/>
      <c r="I4835" s="26"/>
    </row>
    <row r="4836" spans="6:9" x14ac:dyDescent="0.3">
      <c r="F4836" s="26"/>
      <c r="G4836" s="26"/>
      <c r="H4836" s="26"/>
      <c r="I4836" s="26"/>
    </row>
    <row r="4837" spans="6:9" x14ac:dyDescent="0.3">
      <c r="F4837" s="26"/>
      <c r="G4837" s="26"/>
      <c r="H4837" s="26"/>
      <c r="I4837" s="26"/>
    </row>
    <row r="4838" spans="6:9" x14ac:dyDescent="0.3">
      <c r="F4838" s="26"/>
      <c r="G4838" s="26"/>
      <c r="H4838" s="26"/>
      <c r="I4838" s="26"/>
    </row>
    <row r="4839" spans="6:9" x14ac:dyDescent="0.3">
      <c r="F4839" s="26"/>
      <c r="G4839" s="26"/>
      <c r="H4839" s="26"/>
      <c r="I4839" s="26"/>
    </row>
    <row r="4840" spans="6:9" x14ac:dyDescent="0.3">
      <c r="F4840" s="26"/>
      <c r="G4840" s="26"/>
      <c r="H4840" s="26"/>
      <c r="I4840" s="26"/>
    </row>
    <row r="4841" spans="6:9" x14ac:dyDescent="0.3">
      <c r="F4841" s="26"/>
      <c r="G4841" s="26"/>
      <c r="H4841" s="26"/>
      <c r="I4841" s="26"/>
    </row>
    <row r="4842" spans="6:9" x14ac:dyDescent="0.3">
      <c r="F4842" s="26"/>
      <c r="G4842" s="26"/>
      <c r="H4842" s="26"/>
      <c r="I4842" s="26"/>
    </row>
    <row r="4843" spans="6:9" x14ac:dyDescent="0.3">
      <c r="F4843" s="26"/>
      <c r="G4843" s="26"/>
      <c r="H4843" s="26"/>
      <c r="I4843" s="26"/>
    </row>
    <row r="4844" spans="6:9" x14ac:dyDescent="0.3">
      <c r="F4844" s="26"/>
      <c r="G4844" s="26"/>
      <c r="H4844" s="26"/>
      <c r="I4844" s="26"/>
    </row>
    <row r="4845" spans="6:9" x14ac:dyDescent="0.3">
      <c r="F4845" s="26"/>
      <c r="G4845" s="26"/>
      <c r="H4845" s="26"/>
      <c r="I4845" s="26"/>
    </row>
    <row r="4846" spans="6:9" x14ac:dyDescent="0.3">
      <c r="F4846" s="26"/>
      <c r="G4846" s="26"/>
      <c r="H4846" s="26"/>
      <c r="I4846" s="26"/>
    </row>
    <row r="4847" spans="6:9" x14ac:dyDescent="0.3">
      <c r="F4847" s="26"/>
      <c r="G4847" s="26"/>
      <c r="H4847" s="26"/>
      <c r="I4847" s="26"/>
    </row>
    <row r="4848" spans="6:9" x14ac:dyDescent="0.3">
      <c r="F4848" s="26"/>
      <c r="G4848" s="26"/>
      <c r="H4848" s="26"/>
      <c r="I4848" s="26"/>
    </row>
    <row r="4849" spans="6:9" x14ac:dyDescent="0.3">
      <c r="F4849" s="26"/>
      <c r="G4849" s="26"/>
      <c r="H4849" s="26"/>
      <c r="I4849" s="26"/>
    </row>
    <row r="4850" spans="6:9" x14ac:dyDescent="0.3">
      <c r="F4850" s="26"/>
      <c r="G4850" s="26"/>
      <c r="H4850" s="26"/>
      <c r="I4850" s="26"/>
    </row>
    <row r="4851" spans="6:9" x14ac:dyDescent="0.3">
      <c r="F4851" s="26"/>
      <c r="G4851" s="26"/>
      <c r="H4851" s="26"/>
      <c r="I4851" s="26"/>
    </row>
    <row r="4852" spans="6:9" x14ac:dyDescent="0.3">
      <c r="F4852" s="26"/>
      <c r="G4852" s="26"/>
      <c r="H4852" s="26"/>
      <c r="I4852" s="26"/>
    </row>
    <row r="4853" spans="6:9" x14ac:dyDescent="0.3">
      <c r="F4853" s="26"/>
      <c r="G4853" s="26"/>
      <c r="H4853" s="26"/>
      <c r="I4853" s="26"/>
    </row>
    <row r="4854" spans="6:9" x14ac:dyDescent="0.3">
      <c r="F4854" s="26"/>
      <c r="G4854" s="26"/>
      <c r="H4854" s="26"/>
      <c r="I4854" s="26"/>
    </row>
    <row r="4855" spans="6:9" x14ac:dyDescent="0.3">
      <c r="F4855" s="26"/>
      <c r="G4855" s="26"/>
      <c r="H4855" s="26"/>
      <c r="I4855" s="26"/>
    </row>
    <row r="4856" spans="6:9" x14ac:dyDescent="0.3">
      <c r="F4856" s="26"/>
      <c r="G4856" s="26"/>
      <c r="H4856" s="26"/>
      <c r="I4856" s="26"/>
    </row>
    <row r="4857" spans="6:9" x14ac:dyDescent="0.3">
      <c r="F4857" s="26"/>
      <c r="G4857" s="26"/>
      <c r="H4857" s="26"/>
      <c r="I4857" s="26"/>
    </row>
    <row r="4858" spans="6:9" x14ac:dyDescent="0.3">
      <c r="F4858" s="26"/>
      <c r="G4858" s="26"/>
      <c r="H4858" s="26"/>
      <c r="I4858" s="26"/>
    </row>
    <row r="4859" spans="6:9" x14ac:dyDescent="0.3">
      <c r="F4859" s="26"/>
      <c r="G4859" s="26"/>
      <c r="H4859" s="26"/>
      <c r="I4859" s="26"/>
    </row>
    <row r="4860" spans="6:9" x14ac:dyDescent="0.3">
      <c r="F4860" s="26"/>
      <c r="G4860" s="26"/>
      <c r="H4860" s="26"/>
      <c r="I4860" s="26"/>
    </row>
    <row r="4861" spans="6:9" x14ac:dyDescent="0.3">
      <c r="F4861" s="26"/>
      <c r="G4861" s="26"/>
      <c r="H4861" s="26"/>
      <c r="I4861" s="26"/>
    </row>
    <row r="4862" spans="6:9" x14ac:dyDescent="0.3">
      <c r="F4862" s="26"/>
      <c r="G4862" s="26"/>
      <c r="H4862" s="26"/>
      <c r="I4862" s="26"/>
    </row>
    <row r="4863" spans="6:9" x14ac:dyDescent="0.3">
      <c r="F4863" s="26"/>
      <c r="G4863" s="26"/>
      <c r="H4863" s="26"/>
      <c r="I4863" s="26"/>
    </row>
    <row r="4864" spans="6:9" x14ac:dyDescent="0.3">
      <c r="F4864" s="26"/>
      <c r="G4864" s="26"/>
      <c r="H4864" s="26"/>
      <c r="I4864" s="26"/>
    </row>
    <row r="4865" spans="6:9" x14ac:dyDescent="0.3">
      <c r="F4865" s="26"/>
      <c r="G4865" s="26"/>
      <c r="H4865" s="26"/>
      <c r="I4865" s="26"/>
    </row>
    <row r="4866" spans="6:9" x14ac:dyDescent="0.3">
      <c r="F4866" s="26"/>
      <c r="G4866" s="26"/>
      <c r="H4866" s="26"/>
      <c r="I4866" s="26"/>
    </row>
    <row r="4867" spans="6:9" x14ac:dyDescent="0.3">
      <c r="F4867" s="26"/>
      <c r="G4867" s="26"/>
      <c r="H4867" s="26"/>
      <c r="I4867" s="26"/>
    </row>
    <row r="4868" spans="6:9" x14ac:dyDescent="0.3">
      <c r="F4868" s="26"/>
      <c r="G4868" s="26"/>
      <c r="H4868" s="26"/>
      <c r="I4868" s="26"/>
    </row>
    <row r="4869" spans="6:9" x14ac:dyDescent="0.3">
      <c r="F4869" s="26"/>
      <c r="G4869" s="26"/>
      <c r="H4869" s="26"/>
      <c r="I4869" s="26"/>
    </row>
    <row r="4870" spans="6:9" x14ac:dyDescent="0.3">
      <c r="F4870" s="26"/>
      <c r="G4870" s="26"/>
      <c r="H4870" s="26"/>
      <c r="I4870" s="26"/>
    </row>
    <row r="4871" spans="6:9" x14ac:dyDescent="0.3">
      <c r="F4871" s="26"/>
      <c r="G4871" s="26"/>
      <c r="H4871" s="26"/>
      <c r="I4871" s="26"/>
    </row>
    <row r="4872" spans="6:9" x14ac:dyDescent="0.3">
      <c r="F4872" s="26"/>
      <c r="G4872" s="26"/>
      <c r="H4872" s="26"/>
      <c r="I4872" s="26"/>
    </row>
    <row r="4873" spans="6:9" x14ac:dyDescent="0.3">
      <c r="F4873" s="26"/>
      <c r="G4873" s="26"/>
      <c r="H4873" s="26"/>
      <c r="I4873" s="26"/>
    </row>
    <row r="4874" spans="6:9" x14ac:dyDescent="0.3">
      <c r="F4874" s="26"/>
      <c r="G4874" s="26"/>
      <c r="H4874" s="26"/>
      <c r="I4874" s="26"/>
    </row>
    <row r="4875" spans="6:9" x14ac:dyDescent="0.3">
      <c r="F4875" s="26"/>
      <c r="G4875" s="26"/>
      <c r="H4875" s="26"/>
      <c r="I4875" s="26"/>
    </row>
    <row r="4876" spans="6:9" x14ac:dyDescent="0.3">
      <c r="F4876" s="26"/>
      <c r="G4876" s="26"/>
      <c r="H4876" s="26"/>
      <c r="I4876" s="26"/>
    </row>
    <row r="4877" spans="6:9" x14ac:dyDescent="0.3">
      <c r="F4877" s="26"/>
      <c r="G4877" s="26"/>
      <c r="H4877" s="26"/>
      <c r="I4877" s="26"/>
    </row>
    <row r="4878" spans="6:9" x14ac:dyDescent="0.3">
      <c r="F4878" s="26"/>
      <c r="G4878" s="26"/>
      <c r="H4878" s="26"/>
      <c r="I4878" s="26"/>
    </row>
    <row r="4879" spans="6:9" x14ac:dyDescent="0.3">
      <c r="F4879" s="26"/>
      <c r="G4879" s="26"/>
      <c r="H4879" s="26"/>
      <c r="I4879" s="26"/>
    </row>
    <row r="4880" spans="6:9" x14ac:dyDescent="0.3">
      <c r="F4880" s="26"/>
      <c r="G4880" s="26"/>
      <c r="H4880" s="26"/>
      <c r="I4880" s="26"/>
    </row>
    <row r="4881" spans="6:9" x14ac:dyDescent="0.3">
      <c r="F4881" s="26"/>
      <c r="G4881" s="26"/>
      <c r="H4881" s="26"/>
      <c r="I4881" s="26"/>
    </row>
    <row r="4882" spans="6:9" x14ac:dyDescent="0.3">
      <c r="F4882" s="26"/>
      <c r="G4882" s="26"/>
      <c r="H4882" s="26"/>
      <c r="I4882" s="26"/>
    </row>
    <row r="4883" spans="6:9" x14ac:dyDescent="0.3">
      <c r="F4883" s="26"/>
      <c r="G4883" s="26"/>
      <c r="H4883" s="26"/>
      <c r="I4883" s="26"/>
    </row>
    <row r="4884" spans="6:9" x14ac:dyDescent="0.3">
      <c r="F4884" s="26"/>
      <c r="G4884" s="26"/>
      <c r="H4884" s="26"/>
      <c r="I4884" s="26"/>
    </row>
    <row r="4885" spans="6:9" x14ac:dyDescent="0.3">
      <c r="F4885" s="26"/>
      <c r="G4885" s="26"/>
      <c r="H4885" s="26"/>
      <c r="I4885" s="26"/>
    </row>
    <row r="4886" spans="6:9" x14ac:dyDescent="0.3">
      <c r="F4886" s="26"/>
      <c r="G4886" s="26"/>
      <c r="H4886" s="26"/>
      <c r="I4886" s="26"/>
    </row>
    <row r="4887" spans="6:9" x14ac:dyDescent="0.3">
      <c r="F4887" s="26"/>
      <c r="G4887" s="26"/>
      <c r="H4887" s="26"/>
      <c r="I4887" s="26"/>
    </row>
    <row r="4888" spans="6:9" x14ac:dyDescent="0.3">
      <c r="F4888" s="26"/>
      <c r="G4888" s="26"/>
      <c r="H4888" s="26"/>
      <c r="I4888" s="26"/>
    </row>
    <row r="4889" spans="6:9" x14ac:dyDescent="0.3">
      <c r="F4889" s="26"/>
      <c r="G4889" s="26"/>
      <c r="H4889" s="26"/>
      <c r="I4889" s="26"/>
    </row>
    <row r="4890" spans="6:9" x14ac:dyDescent="0.3">
      <c r="F4890" s="26"/>
      <c r="G4890" s="26"/>
      <c r="H4890" s="26"/>
      <c r="I4890" s="26"/>
    </row>
    <row r="4891" spans="6:9" x14ac:dyDescent="0.3">
      <c r="F4891" s="26"/>
      <c r="G4891" s="26"/>
      <c r="H4891" s="26"/>
      <c r="I4891" s="26"/>
    </row>
    <row r="4892" spans="6:9" x14ac:dyDescent="0.3">
      <c r="F4892" s="26"/>
      <c r="G4892" s="26"/>
      <c r="H4892" s="26"/>
      <c r="I4892" s="26"/>
    </row>
    <row r="4893" spans="6:9" x14ac:dyDescent="0.3">
      <c r="F4893" s="26"/>
      <c r="G4893" s="26"/>
      <c r="H4893" s="26"/>
      <c r="I4893" s="26"/>
    </row>
    <row r="4894" spans="6:9" x14ac:dyDescent="0.3">
      <c r="F4894" s="26"/>
      <c r="G4894" s="26"/>
      <c r="H4894" s="26"/>
      <c r="I4894" s="26"/>
    </row>
    <row r="4895" spans="6:9" x14ac:dyDescent="0.3">
      <c r="F4895" s="26"/>
      <c r="G4895" s="26"/>
      <c r="H4895" s="26"/>
      <c r="I4895" s="26"/>
    </row>
    <row r="4896" spans="6:9" x14ac:dyDescent="0.3">
      <c r="F4896" s="26"/>
      <c r="G4896" s="26"/>
      <c r="H4896" s="26"/>
      <c r="I4896" s="26"/>
    </row>
    <row r="4897" spans="6:9" x14ac:dyDescent="0.3">
      <c r="F4897" s="26"/>
      <c r="G4897" s="26"/>
      <c r="H4897" s="26"/>
      <c r="I4897" s="26"/>
    </row>
    <row r="4898" spans="6:9" x14ac:dyDescent="0.3">
      <c r="F4898" s="26"/>
      <c r="G4898" s="26"/>
      <c r="H4898" s="26"/>
      <c r="I4898" s="26"/>
    </row>
    <row r="4899" spans="6:9" x14ac:dyDescent="0.3">
      <c r="F4899" s="26"/>
      <c r="G4899" s="26"/>
      <c r="H4899" s="26"/>
      <c r="I4899" s="26"/>
    </row>
    <row r="4900" spans="6:9" x14ac:dyDescent="0.3">
      <c r="F4900" s="26"/>
      <c r="G4900" s="26"/>
      <c r="H4900" s="26"/>
      <c r="I4900" s="26"/>
    </row>
    <row r="4901" spans="6:9" x14ac:dyDescent="0.3">
      <c r="F4901" s="26"/>
      <c r="G4901" s="26"/>
      <c r="H4901" s="26"/>
      <c r="I4901" s="26"/>
    </row>
    <row r="4902" spans="6:9" x14ac:dyDescent="0.3">
      <c r="F4902" s="26"/>
      <c r="G4902" s="26"/>
      <c r="H4902" s="26"/>
      <c r="I4902" s="26"/>
    </row>
    <row r="4903" spans="6:9" x14ac:dyDescent="0.3">
      <c r="F4903" s="26"/>
      <c r="G4903" s="26"/>
      <c r="H4903" s="26"/>
      <c r="I4903" s="26"/>
    </row>
    <row r="4904" spans="6:9" x14ac:dyDescent="0.3">
      <c r="F4904" s="26"/>
      <c r="G4904" s="26"/>
      <c r="H4904" s="26"/>
      <c r="I4904" s="26"/>
    </row>
    <row r="4905" spans="6:9" x14ac:dyDescent="0.3">
      <c r="F4905" s="26"/>
      <c r="G4905" s="26"/>
      <c r="H4905" s="26"/>
      <c r="I4905" s="26"/>
    </row>
    <row r="4906" spans="6:9" x14ac:dyDescent="0.3">
      <c r="F4906" s="26"/>
      <c r="G4906" s="26"/>
      <c r="H4906" s="26"/>
      <c r="I4906" s="26"/>
    </row>
    <row r="4907" spans="6:9" x14ac:dyDescent="0.3">
      <c r="F4907" s="26"/>
      <c r="G4907" s="26"/>
      <c r="H4907" s="26"/>
      <c r="I4907" s="26"/>
    </row>
    <row r="4908" spans="6:9" x14ac:dyDescent="0.3">
      <c r="F4908" s="26"/>
      <c r="G4908" s="26"/>
      <c r="H4908" s="26"/>
      <c r="I4908" s="26"/>
    </row>
    <row r="4909" spans="6:9" x14ac:dyDescent="0.3">
      <c r="F4909" s="26"/>
      <c r="G4909" s="26"/>
      <c r="H4909" s="26"/>
      <c r="I4909" s="26"/>
    </row>
    <row r="4910" spans="6:9" x14ac:dyDescent="0.3">
      <c r="F4910" s="26"/>
      <c r="G4910" s="26"/>
      <c r="H4910" s="26"/>
      <c r="I4910" s="26"/>
    </row>
    <row r="4911" spans="6:9" x14ac:dyDescent="0.3">
      <c r="F4911" s="26"/>
      <c r="G4911" s="26"/>
      <c r="H4911" s="26"/>
      <c r="I4911" s="26"/>
    </row>
    <row r="4912" spans="6:9" x14ac:dyDescent="0.3">
      <c r="F4912" s="26"/>
      <c r="G4912" s="26"/>
      <c r="H4912" s="26"/>
      <c r="I4912" s="26"/>
    </row>
    <row r="4913" spans="6:9" x14ac:dyDescent="0.3">
      <c r="F4913" s="26"/>
      <c r="G4913" s="26"/>
      <c r="H4913" s="26"/>
      <c r="I4913" s="26"/>
    </row>
    <row r="4914" spans="6:9" x14ac:dyDescent="0.3">
      <c r="F4914" s="26"/>
      <c r="G4914" s="26"/>
      <c r="H4914" s="26"/>
      <c r="I4914" s="26"/>
    </row>
    <row r="4915" spans="6:9" x14ac:dyDescent="0.3">
      <c r="F4915" s="26"/>
      <c r="G4915" s="26"/>
      <c r="H4915" s="26"/>
      <c r="I4915" s="26"/>
    </row>
    <row r="4916" spans="6:9" x14ac:dyDescent="0.3">
      <c r="F4916" s="26"/>
      <c r="G4916" s="26"/>
      <c r="H4916" s="26"/>
      <c r="I4916" s="26"/>
    </row>
    <row r="4917" spans="6:9" x14ac:dyDescent="0.3">
      <c r="F4917" s="26"/>
      <c r="G4917" s="26"/>
      <c r="H4917" s="26"/>
      <c r="I4917" s="26"/>
    </row>
    <row r="4918" spans="6:9" x14ac:dyDescent="0.3">
      <c r="F4918" s="26"/>
      <c r="G4918" s="26"/>
      <c r="H4918" s="26"/>
      <c r="I4918" s="26"/>
    </row>
    <row r="4919" spans="6:9" x14ac:dyDescent="0.3">
      <c r="F4919" s="26"/>
      <c r="G4919" s="26"/>
      <c r="H4919" s="26"/>
      <c r="I4919" s="26"/>
    </row>
    <row r="4920" spans="6:9" x14ac:dyDescent="0.3">
      <c r="F4920" s="26"/>
      <c r="G4920" s="26"/>
      <c r="H4920" s="26"/>
      <c r="I4920" s="26"/>
    </row>
    <row r="4921" spans="6:9" x14ac:dyDescent="0.3">
      <c r="F4921" s="26"/>
      <c r="G4921" s="26"/>
      <c r="H4921" s="26"/>
      <c r="I4921" s="26"/>
    </row>
    <row r="4922" spans="6:9" x14ac:dyDescent="0.3">
      <c r="F4922" s="26"/>
      <c r="G4922" s="26"/>
      <c r="H4922" s="26"/>
      <c r="I4922" s="26"/>
    </row>
    <row r="4923" spans="6:9" x14ac:dyDescent="0.3">
      <c r="F4923" s="26"/>
      <c r="G4923" s="26"/>
      <c r="H4923" s="26"/>
      <c r="I4923" s="26"/>
    </row>
    <row r="4924" spans="6:9" x14ac:dyDescent="0.3">
      <c r="F4924" s="26"/>
      <c r="G4924" s="26"/>
      <c r="H4924" s="26"/>
      <c r="I4924" s="26"/>
    </row>
    <row r="4925" spans="6:9" x14ac:dyDescent="0.3">
      <c r="F4925" s="26"/>
      <c r="G4925" s="26"/>
      <c r="H4925" s="26"/>
      <c r="I4925" s="26"/>
    </row>
    <row r="4926" spans="6:9" x14ac:dyDescent="0.3">
      <c r="F4926" s="26"/>
      <c r="G4926" s="26"/>
      <c r="H4926" s="26"/>
      <c r="I4926" s="26"/>
    </row>
    <row r="4927" spans="6:9" x14ac:dyDescent="0.3">
      <c r="F4927" s="26"/>
      <c r="G4927" s="26"/>
      <c r="H4927" s="26"/>
      <c r="I4927" s="26"/>
    </row>
    <row r="4928" spans="6:9" x14ac:dyDescent="0.3">
      <c r="F4928" s="26"/>
      <c r="G4928" s="26"/>
      <c r="H4928" s="26"/>
      <c r="I4928" s="26"/>
    </row>
    <row r="4929" spans="6:9" x14ac:dyDescent="0.3">
      <c r="F4929" s="26"/>
      <c r="G4929" s="26"/>
      <c r="H4929" s="26"/>
      <c r="I4929" s="26"/>
    </row>
    <row r="4930" spans="6:9" x14ac:dyDescent="0.3">
      <c r="F4930" s="26"/>
      <c r="G4930" s="26"/>
      <c r="H4930" s="26"/>
      <c r="I4930" s="26"/>
    </row>
    <row r="4931" spans="6:9" x14ac:dyDescent="0.3">
      <c r="F4931" s="26"/>
      <c r="G4931" s="26"/>
      <c r="H4931" s="26"/>
      <c r="I4931" s="26"/>
    </row>
    <row r="4932" spans="6:9" x14ac:dyDescent="0.3">
      <c r="F4932" s="26"/>
      <c r="G4932" s="26"/>
      <c r="H4932" s="26"/>
      <c r="I4932" s="26"/>
    </row>
    <row r="4933" spans="6:9" x14ac:dyDescent="0.3">
      <c r="F4933" s="26"/>
      <c r="G4933" s="26"/>
      <c r="H4933" s="26"/>
      <c r="I4933" s="26"/>
    </row>
    <row r="4934" spans="6:9" x14ac:dyDescent="0.3">
      <c r="F4934" s="26"/>
      <c r="G4934" s="26"/>
      <c r="H4934" s="26"/>
      <c r="I4934" s="26"/>
    </row>
    <row r="4935" spans="6:9" x14ac:dyDescent="0.3">
      <c r="F4935" s="26"/>
      <c r="G4935" s="26"/>
      <c r="H4935" s="26"/>
      <c r="I4935" s="26"/>
    </row>
    <row r="4936" spans="6:9" x14ac:dyDescent="0.3">
      <c r="F4936" s="26"/>
      <c r="G4936" s="26"/>
      <c r="H4936" s="26"/>
      <c r="I4936" s="26"/>
    </row>
    <row r="4937" spans="6:9" x14ac:dyDescent="0.3">
      <c r="F4937" s="26"/>
      <c r="G4937" s="26"/>
      <c r="H4937" s="26"/>
      <c r="I4937" s="26"/>
    </row>
    <row r="4938" spans="6:9" x14ac:dyDescent="0.3">
      <c r="F4938" s="26"/>
      <c r="G4938" s="26"/>
      <c r="H4938" s="26"/>
      <c r="I4938" s="26"/>
    </row>
    <row r="4939" spans="6:9" x14ac:dyDescent="0.3">
      <c r="F4939" s="26"/>
      <c r="G4939" s="26"/>
      <c r="H4939" s="26"/>
      <c r="I4939" s="26"/>
    </row>
    <row r="4940" spans="6:9" x14ac:dyDescent="0.3">
      <c r="F4940" s="26"/>
      <c r="G4940" s="26"/>
      <c r="H4940" s="26"/>
      <c r="I4940" s="26"/>
    </row>
    <row r="4941" spans="6:9" x14ac:dyDescent="0.3">
      <c r="F4941" s="26"/>
      <c r="G4941" s="26"/>
      <c r="H4941" s="26"/>
      <c r="I4941" s="26"/>
    </row>
    <row r="4942" spans="6:9" x14ac:dyDescent="0.3">
      <c r="F4942" s="26"/>
      <c r="G4942" s="26"/>
      <c r="H4942" s="26"/>
      <c r="I4942" s="26"/>
    </row>
    <row r="4943" spans="6:9" x14ac:dyDescent="0.3">
      <c r="F4943" s="26"/>
      <c r="G4943" s="26"/>
      <c r="H4943" s="26"/>
      <c r="I4943" s="26"/>
    </row>
    <row r="4944" spans="6:9" x14ac:dyDescent="0.3">
      <c r="F4944" s="26"/>
      <c r="G4944" s="26"/>
      <c r="H4944" s="26"/>
      <c r="I4944" s="26"/>
    </row>
    <row r="4945" spans="6:9" x14ac:dyDescent="0.3">
      <c r="F4945" s="26"/>
      <c r="G4945" s="26"/>
      <c r="H4945" s="26"/>
      <c r="I4945" s="26"/>
    </row>
    <row r="4946" spans="6:9" x14ac:dyDescent="0.3">
      <c r="F4946" s="26"/>
      <c r="G4946" s="26"/>
      <c r="H4946" s="26"/>
      <c r="I4946" s="26"/>
    </row>
    <row r="4947" spans="6:9" x14ac:dyDescent="0.3">
      <c r="F4947" s="26"/>
      <c r="G4947" s="26"/>
      <c r="H4947" s="26"/>
      <c r="I4947" s="26"/>
    </row>
    <row r="4948" spans="6:9" x14ac:dyDescent="0.3">
      <c r="F4948" s="26"/>
      <c r="G4948" s="26"/>
      <c r="H4948" s="26"/>
      <c r="I4948" s="26"/>
    </row>
    <row r="4949" spans="6:9" x14ac:dyDescent="0.3">
      <c r="F4949" s="26"/>
      <c r="G4949" s="26"/>
      <c r="H4949" s="26"/>
      <c r="I4949" s="26"/>
    </row>
    <row r="4950" spans="6:9" x14ac:dyDescent="0.3">
      <c r="F4950" s="26"/>
      <c r="G4950" s="26"/>
      <c r="H4950" s="26"/>
      <c r="I4950" s="26"/>
    </row>
    <row r="4951" spans="6:9" x14ac:dyDescent="0.3">
      <c r="F4951" s="26"/>
      <c r="G4951" s="26"/>
      <c r="H4951" s="26"/>
      <c r="I4951" s="26"/>
    </row>
    <row r="4952" spans="6:9" x14ac:dyDescent="0.3">
      <c r="F4952" s="26"/>
      <c r="G4952" s="26"/>
      <c r="H4952" s="26"/>
      <c r="I4952" s="26"/>
    </row>
    <row r="4953" spans="6:9" x14ac:dyDescent="0.3">
      <c r="F4953" s="26"/>
      <c r="G4953" s="26"/>
      <c r="H4953" s="26"/>
      <c r="I4953" s="26"/>
    </row>
    <row r="4954" spans="6:9" x14ac:dyDescent="0.3">
      <c r="F4954" s="26"/>
      <c r="G4954" s="26"/>
      <c r="H4954" s="26"/>
      <c r="I4954" s="26"/>
    </row>
    <row r="4955" spans="6:9" x14ac:dyDescent="0.3">
      <c r="F4955" s="26"/>
      <c r="G4955" s="26"/>
      <c r="H4955" s="26"/>
      <c r="I4955" s="26"/>
    </row>
    <row r="4956" spans="6:9" x14ac:dyDescent="0.3">
      <c r="F4956" s="26"/>
      <c r="G4956" s="26"/>
      <c r="H4956" s="26"/>
      <c r="I4956" s="26"/>
    </row>
    <row r="4957" spans="6:9" x14ac:dyDescent="0.3">
      <c r="F4957" s="26"/>
      <c r="G4957" s="26"/>
      <c r="H4957" s="26"/>
      <c r="I4957" s="26"/>
    </row>
    <row r="4958" spans="6:9" x14ac:dyDescent="0.3">
      <c r="F4958" s="26"/>
      <c r="G4958" s="26"/>
      <c r="H4958" s="26"/>
      <c r="I4958" s="26"/>
    </row>
    <row r="4959" spans="6:9" x14ac:dyDescent="0.3">
      <c r="F4959" s="26"/>
      <c r="G4959" s="26"/>
      <c r="H4959" s="26"/>
      <c r="I4959" s="26"/>
    </row>
    <row r="4960" spans="6:9" x14ac:dyDescent="0.3">
      <c r="F4960" s="26"/>
      <c r="G4960" s="26"/>
      <c r="H4960" s="26"/>
      <c r="I4960" s="26"/>
    </row>
    <row r="4961" spans="6:9" x14ac:dyDescent="0.3">
      <c r="F4961" s="26"/>
      <c r="G4961" s="26"/>
      <c r="H4961" s="26"/>
      <c r="I4961" s="26"/>
    </row>
    <row r="4962" spans="6:9" x14ac:dyDescent="0.3">
      <c r="F4962" s="26"/>
      <c r="G4962" s="26"/>
      <c r="H4962" s="26"/>
      <c r="I4962" s="26"/>
    </row>
    <row r="4963" spans="6:9" x14ac:dyDescent="0.3">
      <c r="F4963" s="26"/>
      <c r="G4963" s="26"/>
      <c r="H4963" s="26"/>
      <c r="I4963" s="26"/>
    </row>
    <row r="4964" spans="6:9" x14ac:dyDescent="0.3">
      <c r="F4964" s="26"/>
      <c r="G4964" s="26"/>
      <c r="H4964" s="26"/>
      <c r="I4964" s="26"/>
    </row>
    <row r="4965" spans="6:9" x14ac:dyDescent="0.3">
      <c r="F4965" s="26"/>
      <c r="G4965" s="26"/>
      <c r="H4965" s="26"/>
      <c r="I4965" s="26"/>
    </row>
    <row r="4966" spans="6:9" x14ac:dyDescent="0.3">
      <c r="F4966" s="26"/>
      <c r="G4966" s="26"/>
      <c r="H4966" s="26"/>
      <c r="I4966" s="26"/>
    </row>
    <row r="4967" spans="6:9" x14ac:dyDescent="0.3">
      <c r="F4967" s="26"/>
      <c r="G4967" s="26"/>
      <c r="H4967" s="26"/>
      <c r="I4967" s="26"/>
    </row>
    <row r="4968" spans="6:9" x14ac:dyDescent="0.3">
      <c r="F4968" s="26"/>
      <c r="G4968" s="26"/>
      <c r="H4968" s="26"/>
      <c r="I4968" s="26"/>
    </row>
    <row r="4969" spans="6:9" x14ac:dyDescent="0.3">
      <c r="F4969" s="26"/>
      <c r="G4969" s="26"/>
      <c r="H4969" s="26"/>
      <c r="I4969" s="26"/>
    </row>
    <row r="4970" spans="6:9" x14ac:dyDescent="0.3">
      <c r="F4970" s="26"/>
      <c r="G4970" s="26"/>
      <c r="H4970" s="26"/>
      <c r="I4970" s="26"/>
    </row>
    <row r="4971" spans="6:9" x14ac:dyDescent="0.3">
      <c r="F4971" s="26"/>
      <c r="G4971" s="26"/>
      <c r="H4971" s="26"/>
      <c r="I4971" s="26"/>
    </row>
    <row r="4972" spans="6:9" x14ac:dyDescent="0.3">
      <c r="F4972" s="26"/>
      <c r="G4972" s="26"/>
      <c r="H4972" s="26"/>
      <c r="I4972" s="26"/>
    </row>
    <row r="4973" spans="6:9" x14ac:dyDescent="0.3">
      <c r="F4973" s="26"/>
      <c r="G4973" s="26"/>
      <c r="H4973" s="26"/>
      <c r="I4973" s="26"/>
    </row>
    <row r="4974" spans="6:9" x14ac:dyDescent="0.3">
      <c r="F4974" s="26"/>
      <c r="G4974" s="26"/>
      <c r="H4974" s="26"/>
      <c r="I4974" s="26"/>
    </row>
    <row r="4975" spans="6:9" x14ac:dyDescent="0.3">
      <c r="F4975" s="26"/>
      <c r="G4975" s="26"/>
      <c r="H4975" s="26"/>
      <c r="I4975" s="26"/>
    </row>
    <row r="4976" spans="6:9" x14ac:dyDescent="0.3">
      <c r="F4976" s="26"/>
      <c r="G4976" s="26"/>
      <c r="H4976" s="26"/>
      <c r="I4976" s="26"/>
    </row>
    <row r="4977" spans="6:9" x14ac:dyDescent="0.3">
      <c r="F4977" s="26"/>
      <c r="G4977" s="26"/>
      <c r="H4977" s="26"/>
      <c r="I4977" s="26"/>
    </row>
    <row r="4978" spans="6:9" x14ac:dyDescent="0.3">
      <c r="F4978" s="26"/>
      <c r="G4978" s="26"/>
      <c r="H4978" s="26"/>
      <c r="I4978" s="26"/>
    </row>
    <row r="4979" spans="6:9" x14ac:dyDescent="0.3">
      <c r="F4979" s="26"/>
      <c r="G4979" s="26"/>
      <c r="H4979" s="26"/>
      <c r="I4979" s="26"/>
    </row>
    <row r="4980" spans="6:9" x14ac:dyDescent="0.3">
      <c r="F4980" s="26"/>
      <c r="G4980" s="26"/>
      <c r="H4980" s="26"/>
      <c r="I4980" s="26"/>
    </row>
    <row r="4981" spans="6:9" x14ac:dyDescent="0.3">
      <c r="F4981" s="26"/>
      <c r="G4981" s="26"/>
      <c r="H4981" s="26"/>
      <c r="I4981" s="26"/>
    </row>
    <row r="4982" spans="6:9" x14ac:dyDescent="0.3">
      <c r="F4982" s="26"/>
      <c r="G4982" s="26"/>
      <c r="H4982" s="26"/>
      <c r="I4982" s="26"/>
    </row>
    <row r="4983" spans="6:9" x14ac:dyDescent="0.3">
      <c r="F4983" s="26"/>
      <c r="G4983" s="26"/>
      <c r="H4983" s="26"/>
      <c r="I4983" s="26"/>
    </row>
    <row r="4984" spans="6:9" x14ac:dyDescent="0.3">
      <c r="F4984" s="26"/>
      <c r="G4984" s="26"/>
      <c r="H4984" s="26"/>
      <c r="I4984" s="26"/>
    </row>
    <row r="4985" spans="6:9" x14ac:dyDescent="0.3">
      <c r="F4985" s="26"/>
      <c r="G4985" s="26"/>
      <c r="H4985" s="26"/>
      <c r="I4985" s="26"/>
    </row>
    <row r="4986" spans="6:9" x14ac:dyDescent="0.3">
      <c r="F4986" s="26"/>
      <c r="G4986" s="26"/>
      <c r="H4986" s="26"/>
      <c r="I4986" s="26"/>
    </row>
    <row r="4987" spans="6:9" x14ac:dyDescent="0.3">
      <c r="F4987" s="26"/>
      <c r="G4987" s="26"/>
      <c r="H4987" s="26"/>
      <c r="I4987" s="26"/>
    </row>
    <row r="4988" spans="6:9" x14ac:dyDescent="0.3">
      <c r="F4988" s="26"/>
      <c r="G4988" s="26"/>
      <c r="H4988" s="26"/>
      <c r="I4988" s="26"/>
    </row>
    <row r="4989" spans="6:9" x14ac:dyDescent="0.3">
      <c r="F4989" s="26"/>
      <c r="G4989" s="26"/>
      <c r="H4989" s="26"/>
      <c r="I4989" s="26"/>
    </row>
    <row r="4990" spans="6:9" x14ac:dyDescent="0.3">
      <c r="F4990" s="26"/>
      <c r="G4990" s="26"/>
      <c r="H4990" s="26"/>
      <c r="I4990" s="26"/>
    </row>
    <row r="4991" spans="6:9" x14ac:dyDescent="0.3">
      <c r="F4991" s="26"/>
      <c r="G4991" s="26"/>
      <c r="H4991" s="26"/>
      <c r="I4991" s="26"/>
    </row>
    <row r="4992" spans="6:9" x14ac:dyDescent="0.3">
      <c r="F4992" s="26"/>
      <c r="G4992" s="26"/>
      <c r="H4992" s="26"/>
      <c r="I4992" s="26"/>
    </row>
    <row r="4993" spans="6:9" x14ac:dyDescent="0.3">
      <c r="F4993" s="26"/>
      <c r="G4993" s="26"/>
      <c r="H4993" s="26"/>
      <c r="I4993" s="26"/>
    </row>
    <row r="4994" spans="6:9" x14ac:dyDescent="0.3">
      <c r="F4994" s="26"/>
      <c r="G4994" s="26"/>
      <c r="H4994" s="26"/>
      <c r="I4994" s="26"/>
    </row>
    <row r="4995" spans="6:9" x14ac:dyDescent="0.3">
      <c r="F4995" s="26"/>
    </row>
    <row r="4996" spans="6:9" x14ac:dyDescent="0.3">
      <c r="F4996" s="26"/>
    </row>
    <row r="4997" spans="6:9" x14ac:dyDescent="0.3">
      <c r="F4997" s="26"/>
    </row>
    <row r="4998" spans="6:9" x14ac:dyDescent="0.3">
      <c r="F4998" s="26"/>
    </row>
    <row r="4999" spans="6:9" x14ac:dyDescent="0.3">
      <c r="F4999" s="26"/>
    </row>
    <row r="5000" spans="6:9" x14ac:dyDescent="0.3">
      <c r="F5000" s="26"/>
    </row>
  </sheetData>
  <mergeCells count="162">
    <mergeCell ref="G15:H15"/>
    <mergeCell ref="G13:G14"/>
    <mergeCell ref="H2:I2"/>
    <mergeCell ref="G3:H3"/>
    <mergeCell ref="G4:H4"/>
    <mergeCell ref="G5:G6"/>
    <mergeCell ref="G7:H7"/>
    <mergeCell ref="G8:H8"/>
    <mergeCell ref="G9:H9"/>
    <mergeCell ref="G10:H10"/>
    <mergeCell ref="G11:H11"/>
    <mergeCell ref="G12:H12"/>
    <mergeCell ref="AV145:AV148"/>
    <mergeCell ref="AX145:AX148"/>
    <mergeCell ref="AY145:AY148"/>
    <mergeCell ref="AV149:AV154"/>
    <mergeCell ref="AX149:AX154"/>
    <mergeCell ref="AY149:AY154"/>
    <mergeCell ref="AV136:AV139"/>
    <mergeCell ref="AX136:AX139"/>
    <mergeCell ref="AY136:AY139"/>
    <mergeCell ref="AV140:AV144"/>
    <mergeCell ref="AX140:AX144"/>
    <mergeCell ref="AY140:AY144"/>
    <mergeCell ref="AV127:AV132"/>
    <mergeCell ref="AX127:AX132"/>
    <mergeCell ref="AY127:AY132"/>
    <mergeCell ref="AI134:AY134"/>
    <mergeCell ref="AL135:AN135"/>
    <mergeCell ref="AQ135:AR135"/>
    <mergeCell ref="AV118:AV122"/>
    <mergeCell ref="AX118:AX122"/>
    <mergeCell ref="AY118:AY122"/>
    <mergeCell ref="AV123:AV126"/>
    <mergeCell ref="AX123:AX126"/>
    <mergeCell ref="AY123:AY126"/>
    <mergeCell ref="AX114:AX117"/>
    <mergeCell ref="AY114:AY117"/>
    <mergeCell ref="BF3:BF4"/>
    <mergeCell ref="BA2:BF2"/>
    <mergeCell ref="BA3:BA4"/>
    <mergeCell ref="BC3:BE3"/>
    <mergeCell ref="BD4:BE4"/>
    <mergeCell ref="AV101:AV104"/>
    <mergeCell ref="AX101:AX104"/>
    <mergeCell ref="AV105:AV110"/>
    <mergeCell ref="AX105:AX110"/>
    <mergeCell ref="AV83:AV88"/>
    <mergeCell ref="AX83:AX88"/>
    <mergeCell ref="AI90:AY90"/>
    <mergeCell ref="AQ91:AR91"/>
    <mergeCell ref="AV92:AV95"/>
    <mergeCell ref="AX92:AX95"/>
    <mergeCell ref="AX57:AX60"/>
    <mergeCell ref="AV61:AV66"/>
    <mergeCell ref="AX61:AX66"/>
    <mergeCell ref="AV96:AV100"/>
    <mergeCell ref="AX96:AX100"/>
    <mergeCell ref="AL91:AN91"/>
    <mergeCell ref="AI92:AI95"/>
    <mergeCell ref="AI149:AI154"/>
    <mergeCell ref="AL3:AN3"/>
    <mergeCell ref="AI46:AY46"/>
    <mergeCell ref="AQ47:AR47"/>
    <mergeCell ref="AV48:AV51"/>
    <mergeCell ref="AX48:AX51"/>
    <mergeCell ref="AV52:AV56"/>
    <mergeCell ref="AI140:AI144"/>
    <mergeCell ref="AI145:AI148"/>
    <mergeCell ref="AI136:AI139"/>
    <mergeCell ref="AI123:AI126"/>
    <mergeCell ref="AI127:AI132"/>
    <mergeCell ref="AI114:AI117"/>
    <mergeCell ref="AI118:AI122"/>
    <mergeCell ref="AI105:AI110"/>
    <mergeCell ref="AY105:AY110"/>
    <mergeCell ref="AI96:AI100"/>
    <mergeCell ref="AY96:AY100"/>
    <mergeCell ref="AI101:AI104"/>
    <mergeCell ref="AY101:AY104"/>
    <mergeCell ref="AI112:AY112"/>
    <mergeCell ref="AL113:AN113"/>
    <mergeCell ref="AQ113:AR113"/>
    <mergeCell ref="AV114:AV117"/>
    <mergeCell ref="AY92:AY95"/>
    <mergeCell ref="AI79:AI82"/>
    <mergeCell ref="AY79:AY82"/>
    <mergeCell ref="AI83:AI88"/>
    <mergeCell ref="AY83:AY88"/>
    <mergeCell ref="AV79:AV82"/>
    <mergeCell ref="AX79:AX82"/>
    <mergeCell ref="AI70:AI73"/>
    <mergeCell ref="AY70:AY73"/>
    <mergeCell ref="AI74:AI78"/>
    <mergeCell ref="AY74:AY78"/>
    <mergeCell ref="AV74:AV78"/>
    <mergeCell ref="AX74:AX78"/>
    <mergeCell ref="AI61:AI66"/>
    <mergeCell ref="AY61:AY66"/>
    <mergeCell ref="AL69:AN69"/>
    <mergeCell ref="AI68:AY68"/>
    <mergeCell ref="AQ69:AR69"/>
    <mergeCell ref="AV70:AV73"/>
    <mergeCell ref="AX70:AX73"/>
    <mergeCell ref="AI52:AI56"/>
    <mergeCell ref="AY52:AY56"/>
    <mergeCell ref="AI57:AI60"/>
    <mergeCell ref="AY57:AY60"/>
    <mergeCell ref="AX52:AX56"/>
    <mergeCell ref="AV57:AV60"/>
    <mergeCell ref="AL47:AN47"/>
    <mergeCell ref="AI48:AI51"/>
    <mergeCell ref="AY48:AY51"/>
    <mergeCell ref="AI35:AI38"/>
    <mergeCell ref="AV35:AV38"/>
    <mergeCell ref="AX35:AX38"/>
    <mergeCell ref="AY35:AY38"/>
    <mergeCell ref="AI39:AI44"/>
    <mergeCell ref="AV39:AV44"/>
    <mergeCell ref="AX39:AX44"/>
    <mergeCell ref="AY39:AY44"/>
    <mergeCell ref="AI26:AI29"/>
    <mergeCell ref="AV26:AV29"/>
    <mergeCell ref="AX26:AX29"/>
    <mergeCell ref="AY26:AY29"/>
    <mergeCell ref="AI30:AI34"/>
    <mergeCell ref="AV30:AV34"/>
    <mergeCell ref="AX30:AX34"/>
    <mergeCell ref="AY30:AY34"/>
    <mergeCell ref="AY4:AY7"/>
    <mergeCell ref="AI8:AI12"/>
    <mergeCell ref="AV8:AV12"/>
    <mergeCell ref="AX8:AX12"/>
    <mergeCell ref="AY8:AY12"/>
    <mergeCell ref="AI13:AI16"/>
    <mergeCell ref="AV13:AV16"/>
    <mergeCell ref="AX13:AX16"/>
    <mergeCell ref="AY13:AY16"/>
    <mergeCell ref="K2:Q26"/>
    <mergeCell ref="S2:T2"/>
    <mergeCell ref="V2:V4"/>
    <mergeCell ref="W2:X3"/>
    <mergeCell ref="Y2:Z3"/>
    <mergeCell ref="AA2:AA4"/>
    <mergeCell ref="AI2:AY2"/>
    <mergeCell ref="AQ3:AR3"/>
    <mergeCell ref="AI4:AI7"/>
    <mergeCell ref="AV4:AV7"/>
    <mergeCell ref="AX4:AX7"/>
    <mergeCell ref="AB2:AB4"/>
    <mergeCell ref="AC2:AC4"/>
    <mergeCell ref="AD2:AD4"/>
    <mergeCell ref="AE2:AE4"/>
    <mergeCell ref="AF2:AF4"/>
    <mergeCell ref="AG2:AG4"/>
    <mergeCell ref="AI17:AI22"/>
    <mergeCell ref="AV17:AV22"/>
    <mergeCell ref="AX17:AX22"/>
    <mergeCell ref="AY17:AY22"/>
    <mergeCell ref="AI24:AY24"/>
    <mergeCell ref="AL25:AN25"/>
    <mergeCell ref="AQ25:AR2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Proyeccion</vt:lpstr>
      <vt:lpstr>Pozo-succion bom. 1</vt:lpstr>
      <vt:lpstr>Succion-elevado bom. 3</vt:lpstr>
      <vt:lpstr>Tanques Calculos</vt:lpstr>
      <vt:lpstr>Dotación tub. actual</vt:lpstr>
      <vt:lpstr>Masa actual</vt:lpstr>
      <vt:lpstr>Energia actual</vt:lpstr>
      <vt:lpstr>Dotación tub. propuesta</vt:lpstr>
      <vt:lpstr>Masa propuesta</vt:lpstr>
      <vt:lpstr>Energia propuesta</vt:lpstr>
      <vt:lpstr>Anclajes tub. propuesta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2019-01-15T00:36:52Z</dcterms:modified>
</cp:coreProperties>
</file>