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Auxiliatura en investigación\Documentos de entrega\CRAI\"/>
    </mc:Choice>
  </mc:AlternateContent>
  <bookViews>
    <workbookView xWindow="0" yWindow="0" windowWidth="14925" windowHeight="7515" firstSheet="5" activeTab="12"/>
  </bookViews>
  <sheets>
    <sheet name="RESPEL" sheetId="21" r:id="rId1"/>
    <sheet name="Introducción" sheetId="14" r:id="rId2"/>
    <sheet name="Biología" sheetId="1" r:id="rId3"/>
    <sheet name="Química inorgánica" sheetId="25" r:id="rId4"/>
    <sheet name="Mecánica de fluidos" sheetId="15" r:id="rId5"/>
    <sheet name="Química Orgánica" sheetId="2" r:id="rId6"/>
    <sheet name="Microbiología Ambiental" sheetId="4" r:id="rId7"/>
    <sheet name="Técnicas de campo" sheetId="3" r:id="rId8"/>
    <sheet name="T.A.P" sheetId="5" r:id="rId9"/>
    <sheet name="Energías Alternativas" sheetId="20" r:id="rId10"/>
    <sheet name="T.A.R" sheetId="28" r:id="rId11"/>
    <sheet name="Electroquímica" sheetId="19" r:id="rId12"/>
    <sheet name="Termodinámica" sheetId="16" r:id="rId13"/>
  </sheets>
  <definedNames>
    <definedName name="OLE_LINK1" localSheetId="7">'Técnicas de campo'!#REF!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L28" i="19" l="1"/>
  <c r="K17" i="28" l="1"/>
  <c r="K16" i="28"/>
  <c r="N16" i="28" s="1"/>
  <c r="K15" i="28"/>
  <c r="N15" i="28" s="1"/>
  <c r="K18" i="5"/>
  <c r="M18" i="5" s="1"/>
  <c r="N18" i="5" s="1"/>
  <c r="L20" i="5"/>
  <c r="K20" i="5"/>
  <c r="M20" i="5" s="1"/>
  <c r="N20" i="5" s="1"/>
  <c r="L19" i="5"/>
  <c r="K19" i="5"/>
  <c r="M19" i="5" s="1"/>
  <c r="N19" i="5" s="1"/>
  <c r="K8" i="5"/>
  <c r="M8" i="5" s="1"/>
  <c r="N8" i="5" s="1"/>
  <c r="L11" i="5"/>
  <c r="K9" i="5"/>
  <c r="M9" i="5" s="1"/>
  <c r="N9" i="5" s="1"/>
  <c r="L9" i="5"/>
  <c r="L10" i="5"/>
  <c r="K11" i="5"/>
  <c r="M11" i="5" s="1"/>
  <c r="N11" i="5" s="1"/>
  <c r="K10" i="5"/>
  <c r="M10" i="5" s="1"/>
  <c r="N10" i="5" s="1"/>
  <c r="K7" i="5"/>
  <c r="K17" i="5"/>
  <c r="M17" i="5" s="1"/>
  <c r="J12" i="5"/>
  <c r="K8" i="3"/>
  <c r="M8" i="3" s="1"/>
  <c r="N8" i="3" s="1"/>
  <c r="L10" i="3"/>
  <c r="K10" i="3"/>
  <c r="M10" i="3" s="1"/>
  <c r="N10" i="3" s="1"/>
  <c r="L9" i="3"/>
  <c r="K9" i="3"/>
  <c r="M9" i="3" s="1"/>
  <c r="N9" i="3" s="1"/>
  <c r="K7" i="3"/>
  <c r="J11" i="3"/>
  <c r="K21" i="5" l="1"/>
  <c r="L11" i="3"/>
  <c r="K11" i="3"/>
  <c r="M21" i="5"/>
  <c r="M7" i="3"/>
  <c r="L21" i="5"/>
  <c r="L12" i="5"/>
  <c r="M7" i="5"/>
  <c r="N7" i="5" s="1"/>
  <c r="N12" i="5" s="1"/>
  <c r="K12" i="5"/>
  <c r="N17" i="5"/>
  <c r="N21" i="5" s="1"/>
  <c r="K436" i="25"/>
  <c r="M436" i="25" s="1"/>
  <c r="L437" i="25"/>
  <c r="K438" i="25"/>
  <c r="K437" i="25"/>
  <c r="M12" i="5" l="1"/>
  <c r="M11" i="3"/>
  <c r="N7" i="3"/>
  <c r="N11" i="3" s="1"/>
  <c r="K8" i="14" l="1"/>
  <c r="K7" i="14"/>
  <c r="L19" i="19"/>
  <c r="L81" i="28"/>
  <c r="K81" i="28"/>
  <c r="K14" i="28"/>
  <c r="N14" i="28" s="1"/>
  <c r="M17" i="28"/>
  <c r="K18" i="28"/>
  <c r="L17" i="28"/>
  <c r="N17" i="28" s="1"/>
  <c r="K291" i="2"/>
  <c r="K290" i="2"/>
  <c r="K281" i="2"/>
  <c r="M281" i="2" s="1"/>
  <c r="N281" i="2" s="1"/>
  <c r="K283" i="2"/>
  <c r="M283" i="2" s="1"/>
  <c r="N283" i="2" s="1"/>
  <c r="K282" i="2"/>
  <c r="M282" i="2" s="1"/>
  <c r="N282" i="2" s="1"/>
  <c r="L283" i="2"/>
  <c r="L282" i="2"/>
  <c r="K280" i="2"/>
  <c r="M280" i="2" s="1"/>
  <c r="K271" i="2"/>
  <c r="M271" i="2" s="1"/>
  <c r="N271" i="2" s="1"/>
  <c r="K270" i="2"/>
  <c r="M270" i="2" s="1"/>
  <c r="L273" i="2"/>
  <c r="M273" i="2" s="1"/>
  <c r="N273" i="2" s="1"/>
  <c r="L272" i="2"/>
  <c r="M272" i="2" s="1"/>
  <c r="N272" i="2" s="1"/>
  <c r="K273" i="2"/>
  <c r="K272" i="2"/>
  <c r="K261" i="2"/>
  <c r="M261" i="2" s="1"/>
  <c r="N261" i="2" s="1"/>
  <c r="L264" i="2"/>
  <c r="M264" i="2" s="1"/>
  <c r="N264" i="2" s="1"/>
  <c r="L263" i="2"/>
  <c r="M263" i="2" s="1"/>
  <c r="N263" i="2" s="1"/>
  <c r="L262" i="2"/>
  <c r="M262" i="2" s="1"/>
  <c r="N262" i="2" s="1"/>
  <c r="K263" i="2"/>
  <c r="K264" i="2"/>
  <c r="K262" i="2"/>
  <c r="K260" i="2"/>
  <c r="L98" i="2"/>
  <c r="M98" i="2" s="1"/>
  <c r="N98" i="2" s="1"/>
  <c r="L97" i="2"/>
  <c r="M97" i="2" s="1"/>
  <c r="N97" i="2" s="1"/>
  <c r="K98" i="2"/>
  <c r="K97" i="2"/>
  <c r="K96" i="2"/>
  <c r="K95" i="2"/>
  <c r="M95" i="2" s="1"/>
  <c r="N95" i="2" s="1"/>
  <c r="J89" i="2"/>
  <c r="K86" i="2"/>
  <c r="M86" i="2" s="1"/>
  <c r="N86" i="2" s="1"/>
  <c r="L87" i="2"/>
  <c r="L88" i="2"/>
  <c r="K88" i="2"/>
  <c r="M88" i="2" s="1"/>
  <c r="N88" i="2" s="1"/>
  <c r="K87" i="2"/>
  <c r="M87" i="2" s="1"/>
  <c r="N87" i="2" s="1"/>
  <c r="K84" i="2"/>
  <c r="M84" i="2" s="1"/>
  <c r="L151" i="2"/>
  <c r="L150" i="2"/>
  <c r="K151" i="2"/>
  <c r="K150" i="2"/>
  <c r="K147" i="2"/>
  <c r="M147" i="2" s="1"/>
  <c r="K139" i="2"/>
  <c r="M139" i="2" s="1"/>
  <c r="N139" i="2" s="1"/>
  <c r="L142" i="2"/>
  <c r="L141" i="2"/>
  <c r="K142" i="2"/>
  <c r="M142" i="2" s="1"/>
  <c r="K141" i="2"/>
  <c r="M141" i="2" s="1"/>
  <c r="K138" i="2"/>
  <c r="M138" i="2" s="1"/>
  <c r="L133" i="2"/>
  <c r="L132" i="2"/>
  <c r="K130" i="2"/>
  <c r="M130" i="2" s="1"/>
  <c r="K133" i="2"/>
  <c r="K132" i="2"/>
  <c r="K113" i="2"/>
  <c r="M113" i="2" s="1"/>
  <c r="N113" i="2" s="1"/>
  <c r="K120" i="2"/>
  <c r="M120" i="2" s="1"/>
  <c r="K121" i="2"/>
  <c r="M121" i="2" s="1"/>
  <c r="K115" i="2"/>
  <c r="L19" i="2"/>
  <c r="L18" i="2"/>
  <c r="K19" i="2"/>
  <c r="K18" i="2"/>
  <c r="K16" i="2"/>
  <c r="M16" i="2" s="1"/>
  <c r="K446" i="25"/>
  <c r="M446" i="25" s="1"/>
  <c r="N446" i="25" s="1"/>
  <c r="J450" i="25"/>
  <c r="L449" i="25"/>
  <c r="L448" i="25"/>
  <c r="L447" i="25"/>
  <c r="K449" i="25"/>
  <c r="M449" i="25" s="1"/>
  <c r="K448" i="25"/>
  <c r="M448" i="25" s="1"/>
  <c r="K447" i="25"/>
  <c r="M447" i="25" s="1"/>
  <c r="J441" i="25"/>
  <c r="M437" i="25"/>
  <c r="N436" i="25"/>
  <c r="L440" i="25"/>
  <c r="L439" i="25"/>
  <c r="L438" i="25"/>
  <c r="K440" i="25"/>
  <c r="K439" i="25"/>
  <c r="K435" i="25"/>
  <c r="M435" i="25" s="1"/>
  <c r="K427" i="25"/>
  <c r="K418" i="25"/>
  <c r="M418" i="25" s="1"/>
  <c r="N418" i="25" s="1"/>
  <c r="K417" i="25"/>
  <c r="M417" i="25" s="1"/>
  <c r="N417" i="25" s="1"/>
  <c r="L421" i="25"/>
  <c r="L420" i="25"/>
  <c r="L419" i="25"/>
  <c r="K421" i="25"/>
  <c r="K420" i="25"/>
  <c r="K419" i="25"/>
  <c r="M412" i="25"/>
  <c r="K408" i="25"/>
  <c r="M408" i="25" s="1"/>
  <c r="L412" i="25"/>
  <c r="L411" i="25"/>
  <c r="L410" i="25"/>
  <c r="L409" i="25"/>
  <c r="K412" i="25"/>
  <c r="K411" i="25"/>
  <c r="M411" i="25" s="1"/>
  <c r="K410" i="25"/>
  <c r="M410" i="25" s="1"/>
  <c r="K409" i="25"/>
  <c r="M409" i="25" s="1"/>
  <c r="K398" i="25"/>
  <c r="M398" i="25"/>
  <c r="L402" i="25"/>
  <c r="L401" i="25"/>
  <c r="L400" i="25"/>
  <c r="L399" i="25"/>
  <c r="K402" i="25"/>
  <c r="M402" i="25" s="1"/>
  <c r="K401" i="25"/>
  <c r="M401" i="25" s="1"/>
  <c r="K400" i="25"/>
  <c r="M400" i="25" s="1"/>
  <c r="K399" i="25"/>
  <c r="M399" i="25" s="1"/>
  <c r="K391" i="25"/>
  <c r="M391" i="25" s="1"/>
  <c r="K390" i="25"/>
  <c r="L391" i="25"/>
  <c r="K381" i="25"/>
  <c r="M381" i="25" s="1"/>
  <c r="L382" i="25"/>
  <c r="K384" i="25"/>
  <c r="K383" i="25"/>
  <c r="K382" i="25"/>
  <c r="M382" i="25" s="1"/>
  <c r="K380" i="25"/>
  <c r="M380" i="25" s="1"/>
  <c r="M372" i="25"/>
  <c r="N372" i="25" s="1"/>
  <c r="K373" i="25"/>
  <c r="M373" i="25" s="1"/>
  <c r="N373" i="25" s="1"/>
  <c r="L375" i="25"/>
  <c r="M375" i="25" s="1"/>
  <c r="N375" i="25" s="1"/>
  <c r="L374" i="25"/>
  <c r="M374" i="25" s="1"/>
  <c r="K375" i="25"/>
  <c r="K374" i="25"/>
  <c r="K372" i="25"/>
  <c r="M364" i="25"/>
  <c r="N364" i="25" s="1"/>
  <c r="K364" i="25"/>
  <c r="L367" i="25"/>
  <c r="L366" i="25"/>
  <c r="L365" i="25"/>
  <c r="K365" i="25"/>
  <c r="M365" i="25" s="1"/>
  <c r="N365" i="25" s="1"/>
  <c r="K367" i="25"/>
  <c r="M367" i="25" s="1"/>
  <c r="N367" i="25" s="1"/>
  <c r="K366" i="25"/>
  <c r="M366" i="25" s="1"/>
  <c r="N366" i="25" s="1"/>
  <c r="K363" i="25"/>
  <c r="K356" i="25"/>
  <c r="M356" i="25"/>
  <c r="N356" i="25" s="1"/>
  <c r="K357" i="25"/>
  <c r="M355" i="25"/>
  <c r="K355" i="25"/>
  <c r="M310" i="25"/>
  <c r="K233" i="25"/>
  <c r="M226" i="25"/>
  <c r="J233" i="25"/>
  <c r="K218" i="25"/>
  <c r="M218" i="25" s="1"/>
  <c r="N218" i="25" s="1"/>
  <c r="K220" i="25"/>
  <c r="K219" i="25"/>
  <c r="L220" i="25"/>
  <c r="M220" i="25" s="1"/>
  <c r="L219" i="25"/>
  <c r="M219" i="25" s="1"/>
  <c r="K217" i="25"/>
  <c r="K203" i="25"/>
  <c r="J194" i="25"/>
  <c r="K194" i="25"/>
  <c r="M183" i="25"/>
  <c r="N183" i="25" s="1"/>
  <c r="K183" i="25"/>
  <c r="K185" i="25"/>
  <c r="K184" i="25"/>
  <c r="K182" i="25"/>
  <c r="M182" i="25" s="1"/>
  <c r="K174" i="25"/>
  <c r="M174" i="25" s="1"/>
  <c r="K173" i="25"/>
  <c r="N174" i="25"/>
  <c r="M175" i="25"/>
  <c r="N175" i="25" s="1"/>
  <c r="K176" i="25"/>
  <c r="M176" i="25" s="1"/>
  <c r="N176" i="25" s="1"/>
  <c r="K175" i="25"/>
  <c r="J186" i="25"/>
  <c r="K149" i="25"/>
  <c r="K150" i="25"/>
  <c r="K142" i="25"/>
  <c r="K6" i="14"/>
  <c r="M6" i="14" s="1"/>
  <c r="L7" i="14"/>
  <c r="K141" i="25"/>
  <c r="M141" i="25" s="1"/>
  <c r="N141" i="25" s="1"/>
  <c r="K117" i="25"/>
  <c r="M117" i="25" s="1"/>
  <c r="M55" i="1"/>
  <c r="M56" i="1" s="1"/>
  <c r="M36" i="25"/>
  <c r="K25" i="25"/>
  <c r="M25" i="25" s="1"/>
  <c r="L6" i="25"/>
  <c r="M6" i="25" s="1"/>
  <c r="L5" i="25"/>
  <c r="L72" i="1"/>
  <c r="K72" i="1"/>
  <c r="M65" i="1"/>
  <c r="M66" i="1" s="1"/>
  <c r="L66" i="1"/>
  <c r="K66" i="1"/>
  <c r="L60" i="1"/>
  <c r="K60" i="1"/>
  <c r="L56" i="1"/>
  <c r="K56" i="1"/>
  <c r="K52" i="1"/>
  <c r="L46" i="1"/>
  <c r="L52" i="1"/>
  <c r="K46" i="1"/>
  <c r="L42" i="1"/>
  <c r="K42" i="1"/>
  <c r="M41" i="1"/>
  <c r="M37" i="1"/>
  <c r="N37" i="1" s="1"/>
  <c r="N38" i="1" s="1"/>
  <c r="K38" i="1"/>
  <c r="L38" i="1"/>
  <c r="K25" i="1"/>
  <c r="M24" i="1"/>
  <c r="M25" i="1" s="1"/>
  <c r="L31" i="1"/>
  <c r="K31" i="1"/>
  <c r="L25" i="1"/>
  <c r="K20" i="1"/>
  <c r="L20" i="1"/>
  <c r="L13" i="1"/>
  <c r="K13" i="1"/>
  <c r="L7" i="1"/>
  <c r="K7" i="1"/>
  <c r="K5" i="14"/>
  <c r="M5" i="14" s="1"/>
  <c r="N5" i="14" s="1"/>
  <c r="L89" i="2" l="1"/>
  <c r="L99" i="2"/>
  <c r="K284" i="2"/>
  <c r="N65" i="1"/>
  <c r="N66" i="1" s="1"/>
  <c r="K99" i="2"/>
  <c r="K9" i="14"/>
  <c r="M38" i="1"/>
  <c r="N41" i="1"/>
  <c r="N42" i="1" s="1"/>
  <c r="M42" i="1"/>
  <c r="M173" i="25"/>
  <c r="L221" i="25"/>
  <c r="M217" i="25"/>
  <c r="N217" i="25" s="1"/>
  <c r="N270" i="2"/>
  <c r="N274" i="2" s="1"/>
  <c r="M274" i="2"/>
  <c r="M284" i="2"/>
  <c r="K441" i="25"/>
  <c r="L274" i="2"/>
  <c r="L284" i="2"/>
  <c r="N280" i="2"/>
  <c r="N284" i="2" s="1"/>
  <c r="K368" i="25"/>
  <c r="N435" i="25"/>
  <c r="L441" i="25"/>
  <c r="L143" i="2"/>
  <c r="L265" i="2"/>
  <c r="K274" i="2"/>
  <c r="N84" i="2"/>
  <c r="N89" i="2" s="1"/>
  <c r="M89" i="2"/>
  <c r="M96" i="2"/>
  <c r="N96" i="2" s="1"/>
  <c r="N99" i="2" s="1"/>
  <c r="K265" i="2"/>
  <c r="M260" i="2"/>
  <c r="K89" i="2"/>
  <c r="N138" i="2"/>
  <c r="M143" i="2"/>
  <c r="K422" i="25"/>
  <c r="L422" i="25"/>
  <c r="L368" i="25"/>
  <c r="N182" i="25"/>
  <c r="K221" i="25"/>
  <c r="K186" i="25"/>
  <c r="K251" i="2"/>
  <c r="M251" i="2" s="1"/>
  <c r="N251" i="2" s="1"/>
  <c r="L253" i="2"/>
  <c r="L252" i="2"/>
  <c r="K253" i="2"/>
  <c r="M253" i="2" s="1"/>
  <c r="N253" i="2" s="1"/>
  <c r="K252" i="2"/>
  <c r="M252" i="2" s="1"/>
  <c r="N252" i="2" s="1"/>
  <c r="K250" i="2"/>
  <c r="K229" i="2"/>
  <c r="M229" i="2" s="1"/>
  <c r="N229" i="2" s="1"/>
  <c r="L233" i="2"/>
  <c r="L232" i="2"/>
  <c r="L231" i="2"/>
  <c r="L230" i="2"/>
  <c r="K233" i="2"/>
  <c r="M233" i="2" s="1"/>
  <c r="N233" i="2" s="1"/>
  <c r="K232" i="2"/>
  <c r="M232" i="2" s="1"/>
  <c r="N232" i="2" s="1"/>
  <c r="K231" i="2"/>
  <c r="M231" i="2" s="1"/>
  <c r="N231" i="2" s="1"/>
  <c r="K230" i="2"/>
  <c r="M230" i="2" s="1"/>
  <c r="N230" i="2" s="1"/>
  <c r="K228" i="2"/>
  <c r="K219" i="2"/>
  <c r="L223" i="2"/>
  <c r="L222" i="2"/>
  <c r="L221" i="2"/>
  <c r="L220" i="2"/>
  <c r="K223" i="2"/>
  <c r="K222" i="2"/>
  <c r="M222" i="2" s="1"/>
  <c r="N222" i="2" s="1"/>
  <c r="K221" i="2"/>
  <c r="M221" i="2" s="1"/>
  <c r="N221" i="2" s="1"/>
  <c r="K220" i="2"/>
  <c r="M220" i="2" s="1"/>
  <c r="N220" i="2" s="1"/>
  <c r="K218" i="2"/>
  <c r="M218" i="2" s="1"/>
  <c r="K208" i="2"/>
  <c r="L210" i="2"/>
  <c r="L209" i="2"/>
  <c r="K210" i="2"/>
  <c r="M210" i="2" s="1"/>
  <c r="N210" i="2" s="1"/>
  <c r="K209" i="2"/>
  <c r="M209" i="2" s="1"/>
  <c r="N209" i="2" s="1"/>
  <c r="K207" i="2"/>
  <c r="M207" i="2" s="1"/>
  <c r="N207" i="2" s="1"/>
  <c r="K199" i="2"/>
  <c r="M199" i="2" s="1"/>
  <c r="N199" i="2" s="1"/>
  <c r="K201" i="2"/>
  <c r="M201" i="2" s="1"/>
  <c r="N201" i="2" s="1"/>
  <c r="K200" i="2"/>
  <c r="M200" i="2" s="1"/>
  <c r="N200" i="2" s="1"/>
  <c r="K198" i="2"/>
  <c r="M198" i="2" s="1"/>
  <c r="N198" i="2" s="1"/>
  <c r="K190" i="2"/>
  <c r="M190" i="2" s="1"/>
  <c r="N190" i="2" s="1"/>
  <c r="L192" i="2"/>
  <c r="L191" i="2"/>
  <c r="K192" i="2"/>
  <c r="M192" i="2" s="1"/>
  <c r="N192" i="2" s="1"/>
  <c r="K191" i="2"/>
  <c r="M191" i="2" s="1"/>
  <c r="N191" i="2" s="1"/>
  <c r="K189" i="2"/>
  <c r="J183" i="2"/>
  <c r="K178" i="2"/>
  <c r="M178" i="2" s="1"/>
  <c r="K177" i="2"/>
  <c r="L182" i="2"/>
  <c r="L181" i="2"/>
  <c r="L180" i="2"/>
  <c r="L179" i="2"/>
  <c r="K182" i="2"/>
  <c r="M182" i="2" s="1"/>
  <c r="K181" i="2"/>
  <c r="M181" i="2" s="1"/>
  <c r="K180" i="2"/>
  <c r="M180" i="2" s="1"/>
  <c r="K179" i="2"/>
  <c r="M179" i="2" s="1"/>
  <c r="K167" i="2"/>
  <c r="M167" i="2" s="1"/>
  <c r="K168" i="2"/>
  <c r="L172" i="2"/>
  <c r="L171" i="2"/>
  <c r="L170" i="2"/>
  <c r="L169" i="2"/>
  <c r="K172" i="2"/>
  <c r="M172" i="2" s="1"/>
  <c r="N172" i="2" s="1"/>
  <c r="K171" i="2"/>
  <c r="M171" i="2" s="1"/>
  <c r="N171" i="2" s="1"/>
  <c r="K170" i="2"/>
  <c r="M170" i="2" s="1"/>
  <c r="N170" i="2" s="1"/>
  <c r="K169" i="2"/>
  <c r="K158" i="2"/>
  <c r="M158" i="2" s="1"/>
  <c r="N158" i="2" s="1"/>
  <c r="L162" i="2"/>
  <c r="L161" i="2"/>
  <c r="L160" i="2"/>
  <c r="L159" i="2"/>
  <c r="K162" i="2"/>
  <c r="M162" i="2" s="1"/>
  <c r="N162" i="2" s="1"/>
  <c r="K161" i="2"/>
  <c r="M161" i="2" s="1"/>
  <c r="N161" i="2" s="1"/>
  <c r="K160" i="2"/>
  <c r="M160" i="2" s="1"/>
  <c r="N160" i="2" s="1"/>
  <c r="K159" i="2"/>
  <c r="M159" i="2" s="1"/>
  <c r="N159" i="2" s="1"/>
  <c r="K157" i="2"/>
  <c r="K148" i="2"/>
  <c r="L152" i="2" s="1"/>
  <c r="M151" i="2"/>
  <c r="N151" i="2" s="1"/>
  <c r="M150" i="2"/>
  <c r="N150" i="2" s="1"/>
  <c r="N141" i="2"/>
  <c r="N142" i="2"/>
  <c r="M133" i="2"/>
  <c r="M132" i="2"/>
  <c r="K129" i="2"/>
  <c r="N121" i="2"/>
  <c r="L123" i="2"/>
  <c r="L122" i="2"/>
  <c r="K123" i="2"/>
  <c r="K122" i="2"/>
  <c r="L115" i="2"/>
  <c r="M115" i="2" s="1"/>
  <c r="N115" i="2" s="1"/>
  <c r="L114" i="2"/>
  <c r="M114" i="2" s="1"/>
  <c r="N114" i="2" s="1"/>
  <c r="K114" i="2"/>
  <c r="K112" i="2"/>
  <c r="M112" i="2" s="1"/>
  <c r="N112" i="2" s="1"/>
  <c r="K104" i="2"/>
  <c r="L107" i="2"/>
  <c r="L106" i="2"/>
  <c r="L105" i="2"/>
  <c r="K107" i="2"/>
  <c r="M107" i="2" s="1"/>
  <c r="N107" i="2" s="1"/>
  <c r="K106" i="2"/>
  <c r="M106" i="2" s="1"/>
  <c r="N106" i="2" s="1"/>
  <c r="K105" i="2"/>
  <c r="M105" i="2" s="1"/>
  <c r="N105" i="2" s="1"/>
  <c r="K103" i="2"/>
  <c r="M103" i="2" s="1"/>
  <c r="N103" i="2" s="1"/>
  <c r="K77" i="2"/>
  <c r="L79" i="2"/>
  <c r="L78" i="2"/>
  <c r="K79" i="2"/>
  <c r="M79" i="2" s="1"/>
  <c r="N79" i="2" s="1"/>
  <c r="K78" i="2"/>
  <c r="M78" i="2" s="1"/>
  <c r="N78" i="2" s="1"/>
  <c r="K76" i="2"/>
  <c r="M76" i="2" s="1"/>
  <c r="K68" i="2"/>
  <c r="M68" i="2" s="1"/>
  <c r="K67" i="2"/>
  <c r="M67" i="2" s="1"/>
  <c r="L70" i="2"/>
  <c r="L69" i="2"/>
  <c r="K70" i="2"/>
  <c r="M70" i="2" s="1"/>
  <c r="K69" i="2"/>
  <c r="M69" i="2" s="1"/>
  <c r="M61" i="2"/>
  <c r="N61" i="2" s="1"/>
  <c r="N62" i="2" s="1"/>
  <c r="K62" i="2"/>
  <c r="J62" i="2"/>
  <c r="M55" i="2"/>
  <c r="N55" i="2" s="1"/>
  <c r="N56" i="2" s="1"/>
  <c r="J56" i="2"/>
  <c r="K56" i="2"/>
  <c r="K47" i="2"/>
  <c r="M47" i="2" s="1"/>
  <c r="N47" i="2" s="1"/>
  <c r="L48" i="2"/>
  <c r="L49" i="2"/>
  <c r="K49" i="2"/>
  <c r="M49" i="2" s="1"/>
  <c r="N49" i="2" s="1"/>
  <c r="K48" i="2"/>
  <c r="M48" i="2" s="1"/>
  <c r="N48" i="2" s="1"/>
  <c r="K46" i="2"/>
  <c r="K40" i="2"/>
  <c r="M40" i="2" s="1"/>
  <c r="N40" i="2" s="1"/>
  <c r="L41" i="2"/>
  <c r="K41" i="2"/>
  <c r="M41" i="2" s="1"/>
  <c r="N41" i="2" s="1"/>
  <c r="K39" i="2"/>
  <c r="J35" i="2"/>
  <c r="K33" i="2"/>
  <c r="M33" i="2" s="1"/>
  <c r="N33" i="2" s="1"/>
  <c r="L34" i="2"/>
  <c r="K34" i="2"/>
  <c r="M34" i="2" s="1"/>
  <c r="N34" i="2" s="1"/>
  <c r="K32" i="2"/>
  <c r="K25" i="2"/>
  <c r="M25" i="2" s="1"/>
  <c r="N25" i="2" s="1"/>
  <c r="L26" i="2"/>
  <c r="L27" i="2"/>
  <c r="K27" i="2"/>
  <c r="M27" i="2" s="1"/>
  <c r="N27" i="2" s="1"/>
  <c r="K26" i="2"/>
  <c r="M26" i="2" s="1"/>
  <c r="N26" i="2" s="1"/>
  <c r="M18" i="2"/>
  <c r="K24" i="2"/>
  <c r="M24" i="2" s="1"/>
  <c r="N24" i="2" s="1"/>
  <c r="K17" i="2"/>
  <c r="M19" i="2"/>
  <c r="J12" i="2"/>
  <c r="J20" i="2"/>
  <c r="M9" i="2"/>
  <c r="N9" i="2" s="1"/>
  <c r="L11" i="2"/>
  <c r="L10" i="2"/>
  <c r="K11" i="2"/>
  <c r="M11" i="2" s="1"/>
  <c r="N11" i="2" s="1"/>
  <c r="K10" i="2"/>
  <c r="K8" i="2"/>
  <c r="K6" i="16"/>
  <c r="L6" i="16" s="1"/>
  <c r="L7" i="16" s="1"/>
  <c r="J7" i="16"/>
  <c r="I7" i="16"/>
  <c r="K28" i="19"/>
  <c r="J28" i="19"/>
  <c r="L27" i="19"/>
  <c r="M19" i="19"/>
  <c r="K22" i="19"/>
  <c r="J22" i="19"/>
  <c r="L21" i="19"/>
  <c r="M21" i="19" s="1"/>
  <c r="L20" i="19"/>
  <c r="M20" i="19" s="1"/>
  <c r="L12" i="19"/>
  <c r="L13" i="19"/>
  <c r="K13" i="19"/>
  <c r="J13" i="19"/>
  <c r="L5" i="19"/>
  <c r="M5" i="19" s="1"/>
  <c r="M7" i="19" s="1"/>
  <c r="K7" i="19"/>
  <c r="J7" i="19"/>
  <c r="L6" i="19"/>
  <c r="M6" i="19" s="1"/>
  <c r="K97" i="28"/>
  <c r="K99" i="28"/>
  <c r="M99" i="28" s="1"/>
  <c r="N99" i="28" s="1"/>
  <c r="L98" i="28"/>
  <c r="L99" i="28"/>
  <c r="K98" i="28"/>
  <c r="M98" i="28" s="1"/>
  <c r="N98" i="28" s="1"/>
  <c r="K96" i="28"/>
  <c r="M96" i="28" s="1"/>
  <c r="N96" i="28" s="1"/>
  <c r="K88" i="28"/>
  <c r="M88" i="28" s="1"/>
  <c r="N88" i="28" s="1"/>
  <c r="L90" i="28"/>
  <c r="L89" i="28"/>
  <c r="K90" i="28"/>
  <c r="M90" i="28" s="1"/>
  <c r="N90" i="28" s="1"/>
  <c r="K89" i="28"/>
  <c r="M89" i="28" s="1"/>
  <c r="N89" i="28" s="1"/>
  <c r="K80" i="28"/>
  <c r="M80" i="28" s="1"/>
  <c r="N80" i="28"/>
  <c r="M81" i="28"/>
  <c r="N81" i="28" s="1"/>
  <c r="K87" i="28"/>
  <c r="J83" i="28"/>
  <c r="K82" i="28"/>
  <c r="M82" i="28" s="1"/>
  <c r="N82" i="28" s="1"/>
  <c r="L82" i="28"/>
  <c r="L83" i="28" s="1"/>
  <c r="K79" i="28"/>
  <c r="M79" i="28" s="1"/>
  <c r="K74" i="28"/>
  <c r="J74" i="28"/>
  <c r="L73" i="28"/>
  <c r="M73" i="28" s="1"/>
  <c r="M74" i="28" s="1"/>
  <c r="L63" i="28"/>
  <c r="M63" i="28" s="1"/>
  <c r="L67" i="28"/>
  <c r="M67" i="28" s="1"/>
  <c r="L66" i="28"/>
  <c r="M66" i="28" s="1"/>
  <c r="L65" i="28"/>
  <c r="M65" i="28" s="1"/>
  <c r="L64" i="28"/>
  <c r="M64" i="28" s="1"/>
  <c r="L62" i="28"/>
  <c r="K68" i="28"/>
  <c r="J68" i="28"/>
  <c r="K54" i="28"/>
  <c r="M54" i="28" s="1"/>
  <c r="N54" i="28" s="1"/>
  <c r="L56" i="28"/>
  <c r="L55" i="28"/>
  <c r="K56" i="28"/>
  <c r="M56" i="28" s="1"/>
  <c r="N56" i="28" s="1"/>
  <c r="K55" i="28"/>
  <c r="M55" i="28" s="1"/>
  <c r="N55" i="28" s="1"/>
  <c r="K53" i="28"/>
  <c r="L48" i="28"/>
  <c r="L47" i="28"/>
  <c r="K48" i="28"/>
  <c r="M48" i="28" s="1"/>
  <c r="N48" i="28" s="1"/>
  <c r="K47" i="28"/>
  <c r="M47" i="28" s="1"/>
  <c r="N47" i="28" s="1"/>
  <c r="K45" i="28"/>
  <c r="M45" i="28" s="1"/>
  <c r="K46" i="28"/>
  <c r="M46" i="28" s="1"/>
  <c r="N46" i="28" s="1"/>
  <c r="J49" i="28"/>
  <c r="L39" i="28"/>
  <c r="M39" i="28" s="1"/>
  <c r="L38" i="28"/>
  <c r="M38" i="28" s="1"/>
  <c r="L37" i="28"/>
  <c r="M37" i="28" s="1"/>
  <c r="L36" i="28"/>
  <c r="M36" i="28" s="1"/>
  <c r="L35" i="28"/>
  <c r="K40" i="28"/>
  <c r="J40" i="28"/>
  <c r="K30" i="28"/>
  <c r="J30" i="28"/>
  <c r="L29" i="28"/>
  <c r="M29" i="28" s="1"/>
  <c r="L28" i="28"/>
  <c r="M28" i="28" s="1"/>
  <c r="L27" i="28"/>
  <c r="M27" i="28" s="1"/>
  <c r="L26" i="28"/>
  <c r="M26" i="28" s="1"/>
  <c r="L25" i="28"/>
  <c r="M25" i="28" s="1"/>
  <c r="L24" i="28"/>
  <c r="M24" i="28" s="1"/>
  <c r="O18" i="28"/>
  <c r="O17" i="28"/>
  <c r="O15" i="28"/>
  <c r="M18" i="28"/>
  <c r="M19" i="28" s="1"/>
  <c r="O14" i="28"/>
  <c r="L18" i="28"/>
  <c r="K6" i="28"/>
  <c r="M6" i="28" s="1"/>
  <c r="N6" i="28" s="1"/>
  <c r="K5" i="28"/>
  <c r="M5" i="28" s="1"/>
  <c r="L9" i="28"/>
  <c r="L8" i="28"/>
  <c r="L7" i="28"/>
  <c r="K9" i="28"/>
  <c r="M9" i="28" s="1"/>
  <c r="N9" i="28" s="1"/>
  <c r="K8" i="28"/>
  <c r="M8" i="28" s="1"/>
  <c r="K7" i="28"/>
  <c r="M7" i="28" s="1"/>
  <c r="J8" i="20"/>
  <c r="M7" i="20"/>
  <c r="N7" i="20" s="1"/>
  <c r="M6" i="20"/>
  <c r="N6" i="20" s="1"/>
  <c r="N8" i="20" s="1"/>
  <c r="K28" i="5"/>
  <c r="M28" i="5" s="1"/>
  <c r="N28" i="5" s="1"/>
  <c r="K27" i="5"/>
  <c r="L30" i="5"/>
  <c r="L29" i="5"/>
  <c r="K30" i="5"/>
  <c r="M30" i="5" s="1"/>
  <c r="N30" i="5" s="1"/>
  <c r="K29" i="5"/>
  <c r="M29" i="5" s="1"/>
  <c r="N29" i="5" s="1"/>
  <c r="J31" i="5"/>
  <c r="J21" i="5"/>
  <c r="J23" i="4"/>
  <c r="L23" i="4"/>
  <c r="K23" i="4"/>
  <c r="L16" i="4"/>
  <c r="K16" i="4"/>
  <c r="J16" i="4"/>
  <c r="L12" i="4"/>
  <c r="K12" i="4"/>
  <c r="J12" i="4"/>
  <c r="L8" i="4"/>
  <c r="K8" i="4"/>
  <c r="J8" i="4"/>
  <c r="J10" i="15"/>
  <c r="K9" i="15"/>
  <c r="L9" i="15" s="1"/>
  <c r="K8" i="15"/>
  <c r="L8" i="15" s="1"/>
  <c r="K7" i="15"/>
  <c r="L7" i="15" s="1"/>
  <c r="L54" i="25"/>
  <c r="L53" i="25"/>
  <c r="L52" i="25"/>
  <c r="L51" i="25"/>
  <c r="K57" i="25"/>
  <c r="L45" i="25"/>
  <c r="M45" i="25" s="1"/>
  <c r="L44" i="25"/>
  <c r="M44" i="25" s="1"/>
  <c r="L43" i="25"/>
  <c r="L46" i="25" s="1"/>
  <c r="M43" i="25"/>
  <c r="J46" i="25"/>
  <c r="K46" i="25"/>
  <c r="M10" i="2" l="1"/>
  <c r="N10" i="2" s="1"/>
  <c r="K7" i="16"/>
  <c r="L40" i="28"/>
  <c r="K57" i="28"/>
  <c r="L68" i="28"/>
  <c r="M46" i="25"/>
  <c r="L10" i="15"/>
  <c r="K91" i="28"/>
  <c r="M22" i="19"/>
  <c r="K10" i="15"/>
  <c r="M35" i="28"/>
  <c r="M40" i="28" s="1"/>
  <c r="M62" i="28"/>
  <c r="M68" i="28" s="1"/>
  <c r="L74" i="28"/>
  <c r="L7" i="19"/>
  <c r="M8" i="20"/>
  <c r="L30" i="28"/>
  <c r="L100" i="28"/>
  <c r="L22" i="19"/>
  <c r="N173" i="25"/>
  <c r="K100" i="28"/>
  <c r="M97" i="28"/>
  <c r="N97" i="28" s="1"/>
  <c r="N100" i="28" s="1"/>
  <c r="L57" i="28"/>
  <c r="M53" i="28"/>
  <c r="M49" i="28"/>
  <c r="N45" i="28"/>
  <c r="N49" i="28" s="1"/>
  <c r="K49" i="28"/>
  <c r="L49" i="28"/>
  <c r="L10" i="28"/>
  <c r="M10" i="28"/>
  <c r="N5" i="28"/>
  <c r="K10" i="28"/>
  <c r="L91" i="28"/>
  <c r="M87" i="28"/>
  <c r="N87" i="28" s="1"/>
  <c r="N91" i="28" s="1"/>
  <c r="M83" i="28"/>
  <c r="N79" i="28"/>
  <c r="N83" i="28" s="1"/>
  <c r="K83" i="28"/>
  <c r="K31" i="5"/>
  <c r="M27" i="5"/>
  <c r="L31" i="5"/>
  <c r="M99" i="2"/>
  <c r="M265" i="2"/>
  <c r="N260" i="2"/>
  <c r="N265" i="2" s="1"/>
  <c r="K108" i="2"/>
  <c r="N143" i="2"/>
  <c r="N116" i="2"/>
  <c r="M122" i="2"/>
  <c r="M123" i="2"/>
  <c r="N123" i="2" s="1"/>
  <c r="M129" i="2"/>
  <c r="K134" i="2"/>
  <c r="L134" i="2"/>
  <c r="K20" i="2"/>
  <c r="L20" i="2"/>
  <c r="M17" i="2"/>
  <c r="N218" i="2"/>
  <c r="L254" i="2"/>
  <c r="K152" i="2"/>
  <c r="K116" i="2"/>
  <c r="L42" i="2"/>
  <c r="M104" i="2"/>
  <c r="N104" i="2" s="1"/>
  <c r="N108" i="2" s="1"/>
  <c r="L124" i="2"/>
  <c r="L116" i="2"/>
  <c r="K173" i="2"/>
  <c r="K224" i="2"/>
  <c r="N202" i="2"/>
  <c r="L163" i="2"/>
  <c r="M223" i="2"/>
  <c r="N223" i="2" s="1"/>
  <c r="K254" i="2"/>
  <c r="K143" i="2"/>
  <c r="K163" i="2"/>
  <c r="L183" i="2"/>
  <c r="K202" i="2"/>
  <c r="L211" i="2"/>
  <c r="M208" i="2"/>
  <c r="N208" i="2" s="1"/>
  <c r="N167" i="2"/>
  <c r="L193" i="2"/>
  <c r="M189" i="2"/>
  <c r="K193" i="2"/>
  <c r="L234" i="2"/>
  <c r="K234" i="2"/>
  <c r="M228" i="2"/>
  <c r="K124" i="2"/>
  <c r="M202" i="2"/>
  <c r="M169" i="2"/>
  <c r="N169" i="2" s="1"/>
  <c r="M177" i="2"/>
  <c r="L12" i="2"/>
  <c r="L108" i="2"/>
  <c r="M157" i="2"/>
  <c r="L173" i="2"/>
  <c r="K183" i="2"/>
  <c r="L224" i="2"/>
  <c r="M250" i="2"/>
  <c r="M168" i="2"/>
  <c r="N168" i="2" s="1"/>
  <c r="M219" i="2"/>
  <c r="N219" i="2" s="1"/>
  <c r="K211" i="2"/>
  <c r="M148" i="2"/>
  <c r="N130" i="2"/>
  <c r="L28" i="2"/>
  <c r="L35" i="2"/>
  <c r="L50" i="2"/>
  <c r="M8" i="2"/>
  <c r="N8" i="2" s="1"/>
  <c r="M32" i="2"/>
  <c r="M35" i="2" s="1"/>
  <c r="M46" i="2"/>
  <c r="N46" i="2" s="1"/>
  <c r="N50" i="2" s="1"/>
  <c r="M56" i="2"/>
  <c r="M39" i="2"/>
  <c r="M42" i="2" s="1"/>
  <c r="L80" i="2"/>
  <c r="N28" i="2"/>
  <c r="N76" i="2"/>
  <c r="N67" i="2"/>
  <c r="M71" i="2"/>
  <c r="K12" i="2"/>
  <c r="K35" i="2"/>
  <c r="K42" i="2"/>
  <c r="K50" i="2"/>
  <c r="M62" i="2"/>
  <c r="L71" i="2"/>
  <c r="K80" i="2"/>
  <c r="M28" i="2"/>
  <c r="K71" i="2"/>
  <c r="K28" i="2"/>
  <c r="M77" i="2"/>
  <c r="N77" i="2" s="1"/>
  <c r="M20" i="2"/>
  <c r="L19" i="28"/>
  <c r="K19" i="28"/>
  <c r="L15" i="25"/>
  <c r="K475" i="25"/>
  <c r="L478" i="25"/>
  <c r="L477" i="25"/>
  <c r="L476" i="25"/>
  <c r="K478" i="25"/>
  <c r="M478" i="25" s="1"/>
  <c r="N478" i="25" s="1"/>
  <c r="K477" i="25"/>
  <c r="M477" i="25" s="1"/>
  <c r="N477" i="25" s="1"/>
  <c r="K476" i="25"/>
  <c r="M476" i="25" s="1"/>
  <c r="N476" i="25" s="1"/>
  <c r="K474" i="25"/>
  <c r="M474" i="25" s="1"/>
  <c r="N474" i="25" s="1"/>
  <c r="K464" i="25"/>
  <c r="K463" i="25"/>
  <c r="N463" i="25" s="1"/>
  <c r="O463" i="25" s="1"/>
  <c r="L465" i="25"/>
  <c r="N464" i="25"/>
  <c r="O464" i="25" s="1"/>
  <c r="N465" i="25"/>
  <c r="O465" i="25" s="1"/>
  <c r="L469" i="25"/>
  <c r="N469" i="25" s="1"/>
  <c r="O469" i="25" s="1"/>
  <c r="L468" i="25"/>
  <c r="N468" i="25" s="1"/>
  <c r="O468" i="25" s="1"/>
  <c r="L467" i="25"/>
  <c r="N467" i="25" s="1"/>
  <c r="O467" i="25" s="1"/>
  <c r="L466" i="25"/>
  <c r="N466" i="25" s="1"/>
  <c r="O466" i="25" s="1"/>
  <c r="K469" i="25"/>
  <c r="K468" i="25"/>
  <c r="K467" i="25"/>
  <c r="K466" i="25"/>
  <c r="K465" i="25"/>
  <c r="M465" i="25"/>
  <c r="K462" i="25"/>
  <c r="K455" i="25"/>
  <c r="L457" i="25"/>
  <c r="L456" i="25"/>
  <c r="K457" i="25"/>
  <c r="M457" i="25" s="1"/>
  <c r="N457" i="25" s="1"/>
  <c r="K456" i="25"/>
  <c r="M456" i="25" s="1"/>
  <c r="N456" i="25" s="1"/>
  <c r="K454" i="25"/>
  <c r="K445" i="25"/>
  <c r="M445" i="25" s="1"/>
  <c r="M440" i="25"/>
  <c r="N440" i="25" s="1"/>
  <c r="M439" i="25"/>
  <c r="N439" i="25" s="1"/>
  <c r="M438" i="25"/>
  <c r="N437" i="25"/>
  <c r="L430" i="25"/>
  <c r="M430" i="25" s="1"/>
  <c r="N430" i="25" s="1"/>
  <c r="L429" i="25"/>
  <c r="L428" i="25"/>
  <c r="M428" i="25" s="1"/>
  <c r="N428" i="25" s="1"/>
  <c r="K430" i="25"/>
  <c r="K429" i="25"/>
  <c r="K428" i="25"/>
  <c r="K426" i="25"/>
  <c r="M426" i="25" s="1"/>
  <c r="N426" i="25" s="1"/>
  <c r="M421" i="25"/>
  <c r="N421" i="25" s="1"/>
  <c r="M420" i="25"/>
  <c r="N420" i="25" s="1"/>
  <c r="M419" i="25"/>
  <c r="N419" i="25" s="1"/>
  <c r="K397" i="25"/>
  <c r="K407" i="25"/>
  <c r="N401" i="25"/>
  <c r="N402" i="25"/>
  <c r="N400" i="25"/>
  <c r="N399" i="25"/>
  <c r="K303" i="25"/>
  <c r="M303" i="25" s="1"/>
  <c r="N303" i="25" s="1"/>
  <c r="K327" i="25"/>
  <c r="M327" i="25" s="1"/>
  <c r="K336" i="25"/>
  <c r="M336" i="25" s="1"/>
  <c r="N336" i="25" s="1"/>
  <c r="M363" i="25"/>
  <c r="N380" i="25"/>
  <c r="K389" i="25"/>
  <c r="M389" i="25" s="1"/>
  <c r="N389" i="25" s="1"/>
  <c r="L392" i="25"/>
  <c r="K392" i="25"/>
  <c r="M390" i="25"/>
  <c r="N390" i="25" s="1"/>
  <c r="N381" i="25"/>
  <c r="L384" i="25"/>
  <c r="L383" i="25"/>
  <c r="M384" i="25"/>
  <c r="N384" i="25" s="1"/>
  <c r="M383" i="25"/>
  <c r="N382" i="25"/>
  <c r="N374" i="25"/>
  <c r="N376" i="25" s="1"/>
  <c r="J359" i="25"/>
  <c r="N355" i="25"/>
  <c r="L357" i="25"/>
  <c r="L358" i="25"/>
  <c r="M358" i="25" s="1"/>
  <c r="K358" i="25"/>
  <c r="M348" i="25"/>
  <c r="N348" i="25" s="1"/>
  <c r="M347" i="25"/>
  <c r="N347" i="25" s="1"/>
  <c r="M346" i="25"/>
  <c r="N346" i="25" s="1"/>
  <c r="M345" i="25"/>
  <c r="J349" i="25"/>
  <c r="K349" i="25"/>
  <c r="J340" i="25"/>
  <c r="L339" i="25"/>
  <c r="L338" i="25"/>
  <c r="K339" i="25"/>
  <c r="M339" i="25" s="1"/>
  <c r="N339" i="25" s="1"/>
  <c r="K338" i="25"/>
  <c r="M338" i="25" s="1"/>
  <c r="N338" i="25" s="1"/>
  <c r="K328" i="25"/>
  <c r="M328" i="25" s="1"/>
  <c r="N328" i="25" s="1"/>
  <c r="L330" i="25"/>
  <c r="K330" i="25"/>
  <c r="M330" i="25" s="1"/>
  <c r="N330" i="25" s="1"/>
  <c r="L329" i="25"/>
  <c r="K329" i="25"/>
  <c r="M329" i="25" s="1"/>
  <c r="N329" i="25" s="1"/>
  <c r="J331" i="25"/>
  <c r="K323" i="25"/>
  <c r="M322" i="25"/>
  <c r="N322" i="25" s="1"/>
  <c r="M321" i="25"/>
  <c r="N321" i="25" s="1"/>
  <c r="K317" i="25"/>
  <c r="M316" i="25"/>
  <c r="M315" i="25"/>
  <c r="N315" i="25" s="1"/>
  <c r="J317" i="25"/>
  <c r="M311" i="25"/>
  <c r="N310" i="25"/>
  <c r="N311" i="25" s="1"/>
  <c r="K304" i="25"/>
  <c r="M304" i="25" s="1"/>
  <c r="L305" i="25"/>
  <c r="K305" i="25"/>
  <c r="M305" i="25" s="1"/>
  <c r="N305" i="25" s="1"/>
  <c r="K297" i="25"/>
  <c r="J297" i="25"/>
  <c r="M292" i="25"/>
  <c r="N292" i="25" s="1"/>
  <c r="M291" i="25"/>
  <c r="N291" i="25" s="1"/>
  <c r="J287" i="25"/>
  <c r="K287" i="25"/>
  <c r="M282" i="25"/>
  <c r="N282" i="25" s="1"/>
  <c r="M281" i="25"/>
  <c r="N281" i="25" s="1"/>
  <c r="M280" i="25"/>
  <c r="J276" i="25"/>
  <c r="K276" i="25"/>
  <c r="M271" i="25"/>
  <c r="N271" i="25" s="1"/>
  <c r="M270" i="25"/>
  <c r="N270" i="25" s="1"/>
  <c r="M269" i="25"/>
  <c r="N269" i="25" s="1"/>
  <c r="J265" i="25"/>
  <c r="K265" i="25"/>
  <c r="K255" i="25"/>
  <c r="K244" i="25"/>
  <c r="M260" i="25"/>
  <c r="M259" i="25"/>
  <c r="M250" i="25"/>
  <c r="N250" i="25" s="1"/>
  <c r="M249" i="25"/>
  <c r="N249" i="25" s="1"/>
  <c r="M248" i="25"/>
  <c r="N248" i="25" s="1"/>
  <c r="M239" i="25"/>
  <c r="N239" i="25" s="1"/>
  <c r="M238" i="25"/>
  <c r="N238" i="25" s="1"/>
  <c r="M237" i="25"/>
  <c r="N237" i="25" s="1"/>
  <c r="M227" i="25"/>
  <c r="N227" i="25" s="1"/>
  <c r="N226" i="25"/>
  <c r="J221" i="25"/>
  <c r="J212" i="25"/>
  <c r="N220" i="25"/>
  <c r="N219" i="25"/>
  <c r="K209" i="25"/>
  <c r="M209" i="25" s="1"/>
  <c r="N209" i="25" s="1"/>
  <c r="K210" i="25"/>
  <c r="M210" i="25" s="1"/>
  <c r="N210" i="25" s="1"/>
  <c r="L211" i="25"/>
  <c r="L210" i="25"/>
  <c r="K211" i="25"/>
  <c r="M211" i="25" s="1"/>
  <c r="N211" i="25" s="1"/>
  <c r="K208" i="25"/>
  <c r="J203" i="25"/>
  <c r="M200" i="25"/>
  <c r="N200" i="25" s="1"/>
  <c r="M199" i="25"/>
  <c r="M191" i="25"/>
  <c r="N191" i="25" s="1"/>
  <c r="M190" i="25"/>
  <c r="M165" i="25"/>
  <c r="K166" i="25"/>
  <c r="M166" i="25" s="1"/>
  <c r="N166" i="25" s="1"/>
  <c r="K167" i="25"/>
  <c r="M167" i="25" s="1"/>
  <c r="N167" i="25" s="1"/>
  <c r="L168" i="25"/>
  <c r="L167" i="25"/>
  <c r="K168" i="25"/>
  <c r="M168" i="25" s="1"/>
  <c r="N168" i="25" s="1"/>
  <c r="M159" i="25"/>
  <c r="N159" i="25" s="1"/>
  <c r="K160" i="25"/>
  <c r="M158" i="25"/>
  <c r="N158" i="25" s="1"/>
  <c r="M157" i="25"/>
  <c r="M148" i="25"/>
  <c r="M150" i="25"/>
  <c r="L151" i="25"/>
  <c r="L150" i="25"/>
  <c r="K151" i="25"/>
  <c r="M151" i="25" s="1"/>
  <c r="N151" i="25" s="1"/>
  <c r="L142" i="25"/>
  <c r="M142" i="25"/>
  <c r="N142" i="25" s="1"/>
  <c r="L143" i="25"/>
  <c r="M143" i="25" s="1"/>
  <c r="N143" i="25" s="1"/>
  <c r="K143" i="25"/>
  <c r="K140" i="25"/>
  <c r="N127" i="25"/>
  <c r="K133" i="25"/>
  <c r="M133" i="25" s="1"/>
  <c r="N133" i="25" s="1"/>
  <c r="K134" i="25"/>
  <c r="M134" i="25" s="1"/>
  <c r="N134" i="25" s="1"/>
  <c r="L135" i="25"/>
  <c r="L134" i="25"/>
  <c r="K135" i="25"/>
  <c r="M135" i="25" s="1"/>
  <c r="N135" i="25" s="1"/>
  <c r="K132" i="25"/>
  <c r="M132" i="25" s="1"/>
  <c r="N126" i="25"/>
  <c r="K125" i="25"/>
  <c r="L127" i="25"/>
  <c r="L126" i="25"/>
  <c r="K127" i="25"/>
  <c r="K126" i="25"/>
  <c r="K124" i="25"/>
  <c r="M116" i="25"/>
  <c r="L118" i="25"/>
  <c r="L119" i="25"/>
  <c r="K118" i="25"/>
  <c r="K119" i="25"/>
  <c r="K112" i="25"/>
  <c r="L111" i="25"/>
  <c r="M111" i="25" s="1"/>
  <c r="L110" i="25"/>
  <c r="M110" i="25" s="1"/>
  <c r="L102" i="25"/>
  <c r="M102" i="25" s="1"/>
  <c r="L101" i="25"/>
  <c r="M101" i="25" s="1"/>
  <c r="L100" i="25"/>
  <c r="M100" i="25" s="1"/>
  <c r="L99" i="25"/>
  <c r="M99" i="25" s="1"/>
  <c r="L98" i="25"/>
  <c r="M98" i="25" s="1"/>
  <c r="K103" i="25"/>
  <c r="J103" i="25"/>
  <c r="K92" i="25"/>
  <c r="M92" i="25" s="1"/>
  <c r="N92" i="25" s="1"/>
  <c r="K93" i="25"/>
  <c r="M93" i="25" s="1"/>
  <c r="N93" i="25" s="1"/>
  <c r="L93" i="25"/>
  <c r="K91" i="25"/>
  <c r="M91" i="25" s="1"/>
  <c r="K87" i="25"/>
  <c r="L86" i="25"/>
  <c r="M86" i="25" s="1"/>
  <c r="L85" i="25"/>
  <c r="M85" i="25" s="1"/>
  <c r="L80" i="25"/>
  <c r="K80" i="25"/>
  <c r="K79" i="25"/>
  <c r="M79" i="25" s="1"/>
  <c r="K78" i="25"/>
  <c r="M78" i="25" s="1"/>
  <c r="J74" i="25"/>
  <c r="M70" i="25"/>
  <c r="N70" i="25" s="1"/>
  <c r="L73" i="25"/>
  <c r="K71" i="25"/>
  <c r="K73" i="25"/>
  <c r="M73" i="25" s="1"/>
  <c r="N73" i="25" s="1"/>
  <c r="L72" i="25"/>
  <c r="K72" i="25"/>
  <c r="M72" i="25" s="1"/>
  <c r="N72" i="25" s="1"/>
  <c r="L63" i="25"/>
  <c r="M63" i="25" s="1"/>
  <c r="L62" i="25"/>
  <c r="M62" i="25" s="1"/>
  <c r="J57" i="25"/>
  <c r="L56" i="25"/>
  <c r="M56" i="25" s="1"/>
  <c r="L55" i="25"/>
  <c r="M55" i="25" s="1"/>
  <c r="M54" i="25"/>
  <c r="M53" i="25"/>
  <c r="M52" i="25"/>
  <c r="M51" i="25"/>
  <c r="M37" i="25"/>
  <c r="K36" i="25"/>
  <c r="L36" i="25"/>
  <c r="N36" i="25" s="1"/>
  <c r="L37" i="25"/>
  <c r="N37" i="25" s="1"/>
  <c r="K37" i="25"/>
  <c r="K35" i="25"/>
  <c r="N35" i="25" s="1"/>
  <c r="K34" i="25"/>
  <c r="N34" i="25" s="1"/>
  <c r="O34" i="25" s="1"/>
  <c r="K33" i="25"/>
  <c r="J38" i="25"/>
  <c r="N12" i="2" l="1"/>
  <c r="L470" i="25"/>
  <c r="M136" i="25"/>
  <c r="N244" i="25"/>
  <c r="K458" i="25"/>
  <c r="M397" i="25"/>
  <c r="M403" i="25" s="1"/>
  <c r="N438" i="25"/>
  <c r="M441" i="25"/>
  <c r="N383" i="25"/>
  <c r="M385" i="25"/>
  <c r="M392" i="25"/>
  <c r="N392" i="25" s="1"/>
  <c r="N363" i="25"/>
  <c r="N368" i="25" s="1"/>
  <c r="M368" i="25"/>
  <c r="K413" i="25"/>
  <c r="L413" i="25"/>
  <c r="M429" i="25"/>
  <c r="N429" i="25" s="1"/>
  <c r="L458" i="25"/>
  <c r="M57" i="28"/>
  <c r="N53" i="28"/>
  <c r="N57" i="28" s="1"/>
  <c r="M31" i="5"/>
  <c r="N27" i="5"/>
  <c r="N31" i="5" s="1"/>
  <c r="N19" i="28"/>
  <c r="O16" i="28"/>
  <c r="O19" i="28" s="1"/>
  <c r="N32" i="2"/>
  <c r="N35" i="2" s="1"/>
  <c r="M124" i="2"/>
  <c r="N148" i="2"/>
  <c r="M152" i="2"/>
  <c r="M224" i="2"/>
  <c r="M134" i="2"/>
  <c r="N129" i="2"/>
  <c r="N122" i="2"/>
  <c r="N148" i="25"/>
  <c r="L450" i="25"/>
  <c r="M323" i="25"/>
  <c r="L359" i="25"/>
  <c r="M357" i="25"/>
  <c r="N357" i="25" s="1"/>
  <c r="M454" i="25"/>
  <c r="N116" i="25"/>
  <c r="M125" i="25"/>
  <c r="N125" i="25" s="1"/>
  <c r="M455" i="25"/>
  <c r="N455" i="25" s="1"/>
  <c r="K470" i="25"/>
  <c r="N462" i="25"/>
  <c r="O462" i="25" s="1"/>
  <c r="L479" i="25"/>
  <c r="N119" i="25"/>
  <c r="M119" i="25"/>
  <c r="M118" i="25"/>
  <c r="M194" i="25"/>
  <c r="N190" i="25"/>
  <c r="N194" i="25" s="1"/>
  <c r="M317" i="25"/>
  <c r="N358" i="25"/>
  <c r="K359" i="25"/>
  <c r="L431" i="25"/>
  <c r="K479" i="25"/>
  <c r="N224" i="2"/>
  <c r="M108" i="2"/>
  <c r="M183" i="2"/>
  <c r="N177" i="2"/>
  <c r="M234" i="2"/>
  <c r="N228" i="2"/>
  <c r="N234" i="2" s="1"/>
  <c r="N173" i="2"/>
  <c r="N120" i="2"/>
  <c r="M193" i="2"/>
  <c r="N189" i="2"/>
  <c r="N193" i="2" s="1"/>
  <c r="N39" i="2"/>
  <c r="N42" i="2" s="1"/>
  <c r="N147" i="2"/>
  <c r="N157" i="2"/>
  <c r="N163" i="2" s="1"/>
  <c r="M163" i="2"/>
  <c r="M254" i="2"/>
  <c r="N250" i="2"/>
  <c r="N254" i="2" s="1"/>
  <c r="M173" i="2"/>
  <c r="N80" i="2"/>
  <c r="M12" i="2"/>
  <c r="M80" i="2"/>
  <c r="M475" i="25"/>
  <c r="O470" i="25"/>
  <c r="K450" i="25"/>
  <c r="M203" i="25"/>
  <c r="K212" i="25"/>
  <c r="K393" i="25"/>
  <c r="M427" i="25"/>
  <c r="K120" i="25"/>
  <c r="L169" i="25"/>
  <c r="M221" i="25"/>
  <c r="M244" i="25"/>
  <c r="L306" i="25"/>
  <c r="L393" i="25"/>
  <c r="L376" i="25"/>
  <c r="M431" i="25"/>
  <c r="K431" i="25"/>
  <c r="N422" i="25"/>
  <c r="M422" i="25"/>
  <c r="M233" i="25"/>
  <c r="M160" i="25"/>
  <c r="M287" i="25"/>
  <c r="N391" i="25"/>
  <c r="M276" i="25"/>
  <c r="N117" i="25"/>
  <c r="L136" i="25"/>
  <c r="K144" i="25"/>
  <c r="M140" i="25"/>
  <c r="L152" i="25"/>
  <c r="M169" i="25"/>
  <c r="N233" i="25"/>
  <c r="M255" i="25"/>
  <c r="M265" i="25"/>
  <c r="N280" i="25"/>
  <c r="M349" i="25"/>
  <c r="N345" i="25"/>
  <c r="N349" i="25" s="1"/>
  <c r="L385" i="25"/>
  <c r="N287" i="25"/>
  <c r="N297" i="25"/>
  <c r="M331" i="25"/>
  <c r="N327" i="25"/>
  <c r="N331" i="25" s="1"/>
  <c r="N255" i="25"/>
  <c r="N304" i="25"/>
  <c r="N306" i="25" s="1"/>
  <c r="M306" i="25"/>
  <c r="M149" i="25"/>
  <c r="N149" i="25" s="1"/>
  <c r="L212" i="25"/>
  <c r="M297" i="25"/>
  <c r="K136" i="25"/>
  <c r="N132" i="25"/>
  <c r="N136" i="25" s="1"/>
  <c r="K152" i="25"/>
  <c r="N157" i="25"/>
  <c r="N160" i="25" s="1"/>
  <c r="N165" i="25"/>
  <c r="N169" i="25" s="1"/>
  <c r="N199" i="25"/>
  <c r="N203" i="25" s="1"/>
  <c r="M208" i="25"/>
  <c r="N316" i="25"/>
  <c r="N317" i="25" s="1"/>
  <c r="K331" i="25"/>
  <c r="K385" i="25"/>
  <c r="N221" i="25"/>
  <c r="K403" i="25"/>
  <c r="K169" i="25"/>
  <c r="L331" i="25"/>
  <c r="K376" i="25"/>
  <c r="M393" i="25"/>
  <c r="M407" i="25"/>
  <c r="M413" i="25" s="1"/>
  <c r="M87" i="25"/>
  <c r="L128" i="25"/>
  <c r="L144" i="25"/>
  <c r="K306" i="25"/>
  <c r="N385" i="25"/>
  <c r="N398" i="25"/>
  <c r="L403" i="25"/>
  <c r="M376" i="25"/>
  <c r="M103" i="25"/>
  <c r="L38" i="25"/>
  <c r="L120" i="25"/>
  <c r="K128" i="25"/>
  <c r="L64" i="25"/>
  <c r="M124" i="25"/>
  <c r="L74" i="25"/>
  <c r="K81" i="25"/>
  <c r="L103" i="25"/>
  <c r="M94" i="25"/>
  <c r="M57" i="25"/>
  <c r="M112" i="25"/>
  <c r="M64" i="25"/>
  <c r="M38" i="25"/>
  <c r="L81" i="25"/>
  <c r="L94" i="25"/>
  <c r="N33" i="25"/>
  <c r="O33" i="25" s="1"/>
  <c r="K38" i="25"/>
  <c r="L57" i="25"/>
  <c r="K74" i="25"/>
  <c r="M80" i="25"/>
  <c r="M81" i="25" s="1"/>
  <c r="L87" i="25"/>
  <c r="M71" i="25"/>
  <c r="N71" i="25" s="1"/>
  <c r="N74" i="25" s="1"/>
  <c r="N91" i="25"/>
  <c r="N94" i="25" s="1"/>
  <c r="K94" i="25"/>
  <c r="N25" i="25"/>
  <c r="L26" i="25"/>
  <c r="K26" i="25"/>
  <c r="M26" i="25" s="1"/>
  <c r="N26" i="25" s="1"/>
  <c r="K24" i="25"/>
  <c r="J19" i="25"/>
  <c r="L18" i="25"/>
  <c r="L17" i="25"/>
  <c r="L16" i="25"/>
  <c r="L14" i="25"/>
  <c r="L7" i="25"/>
  <c r="M71" i="1"/>
  <c r="M51" i="1"/>
  <c r="M52" i="1" s="1"/>
  <c r="M19" i="1"/>
  <c r="M6" i="1"/>
  <c r="N6" i="14"/>
  <c r="M8" i="14"/>
  <c r="M7" i="14"/>
  <c r="M9" i="14" s="1"/>
  <c r="L8" i="14"/>
  <c r="L9" i="14" s="1"/>
  <c r="J9" i="25"/>
  <c r="L8" i="25"/>
  <c r="M8" i="25" s="1"/>
  <c r="M59" i="1"/>
  <c r="M45" i="1"/>
  <c r="M46" i="1" s="1"/>
  <c r="M30" i="1"/>
  <c r="M31" i="1" s="1"/>
  <c r="M12" i="1"/>
  <c r="M13" i="1" s="1"/>
  <c r="N152" i="2" l="1"/>
  <c r="M120" i="25"/>
  <c r="N393" i="25"/>
  <c r="N7" i="14"/>
  <c r="M7" i="1"/>
  <c r="N6" i="1"/>
  <c r="N7" i="1" s="1"/>
  <c r="N359" i="25"/>
  <c r="M152" i="25"/>
  <c r="N59" i="1"/>
  <c r="N60" i="1" s="1"/>
  <c r="M60" i="1"/>
  <c r="N71" i="1"/>
  <c r="N72" i="1" s="1"/>
  <c r="M72" i="1"/>
  <c r="N427" i="25"/>
  <c r="N431" i="25" s="1"/>
  <c r="N470" i="25"/>
  <c r="N397" i="25"/>
  <c r="N403" i="25" s="1"/>
  <c r="N124" i="2"/>
  <c r="N140" i="25"/>
  <c r="N144" i="25" s="1"/>
  <c r="M144" i="25"/>
  <c r="L9" i="25"/>
  <c r="M359" i="25"/>
  <c r="N118" i="25"/>
  <c r="N454" i="25"/>
  <c r="N458" i="25" s="1"/>
  <c r="M458" i="25"/>
  <c r="N441" i="25"/>
  <c r="N12" i="1"/>
  <c r="N13" i="1" s="1"/>
  <c r="M20" i="1"/>
  <c r="N19" i="1"/>
  <c r="N20" i="1" s="1"/>
  <c r="N475" i="25"/>
  <c r="N479" i="25" s="1"/>
  <c r="M479" i="25"/>
  <c r="L19" i="25"/>
  <c r="M212" i="25"/>
  <c r="N208" i="25"/>
  <c r="N212" i="25" s="1"/>
  <c r="M128" i="25"/>
  <c r="N124" i="25"/>
  <c r="N128" i="25" s="1"/>
  <c r="M24" i="25"/>
  <c r="N24" i="25" s="1"/>
  <c r="J211" i="2" l="1"/>
  <c r="L201" i="2"/>
  <c r="L200" i="2"/>
  <c r="J202" i="2"/>
  <c r="J193" i="2"/>
  <c r="L202" i="2" l="1"/>
  <c r="N211" i="2"/>
  <c r="M211" i="2"/>
  <c r="J152" i="2" l="1"/>
  <c r="J143" i="2" l="1"/>
  <c r="J134" i="2"/>
  <c r="N133" i="2"/>
  <c r="N132" i="2" l="1"/>
  <c r="N134" i="2" s="1"/>
  <c r="I10" i="15"/>
  <c r="J100" i="28" l="1"/>
  <c r="J91" i="28"/>
  <c r="J57" i="28"/>
  <c r="J19" i="28"/>
  <c r="J10" i="28"/>
  <c r="N8" i="28"/>
  <c r="N7" i="28"/>
  <c r="M469" i="25"/>
  <c r="M468" i="25"/>
  <c r="M467" i="25"/>
  <c r="M466" i="25"/>
  <c r="J470" i="25"/>
  <c r="J479" i="25"/>
  <c r="J458" i="25"/>
  <c r="M450" i="25"/>
  <c r="N449" i="25"/>
  <c r="N448" i="25"/>
  <c r="N447" i="25"/>
  <c r="J431" i="25"/>
  <c r="J422" i="25"/>
  <c r="J413" i="25"/>
  <c r="N412" i="25"/>
  <c r="N411" i="25"/>
  <c r="N410" i="25"/>
  <c r="N409" i="25"/>
  <c r="N408" i="25"/>
  <c r="N407" i="25"/>
  <c r="J403" i="25"/>
  <c r="J393" i="25"/>
  <c r="J385" i="25"/>
  <c r="J376" i="25"/>
  <c r="J368" i="25"/>
  <c r="K337" i="25"/>
  <c r="J323" i="25"/>
  <c r="N323" i="25"/>
  <c r="J306" i="25"/>
  <c r="N260" i="25"/>
  <c r="N259" i="25"/>
  <c r="J255" i="25"/>
  <c r="J244" i="25"/>
  <c r="L185" i="25"/>
  <c r="M185" i="25" s="1"/>
  <c r="N185" i="25" s="1"/>
  <c r="L184" i="25"/>
  <c r="L177" i="25"/>
  <c r="K177" i="25"/>
  <c r="L176" i="25"/>
  <c r="L175" i="25"/>
  <c r="J169" i="25"/>
  <c r="J160" i="25"/>
  <c r="N150" i="25"/>
  <c r="N152" i="25" s="1"/>
  <c r="J128" i="25"/>
  <c r="J120" i="25"/>
  <c r="L112" i="25"/>
  <c r="J112" i="25"/>
  <c r="J94" i="25"/>
  <c r="J87" i="25"/>
  <c r="J81" i="25"/>
  <c r="N80" i="25"/>
  <c r="K64" i="25"/>
  <c r="J64" i="25"/>
  <c r="O37" i="25"/>
  <c r="O36" i="25"/>
  <c r="O35" i="25"/>
  <c r="J28" i="25"/>
  <c r="L27" i="25"/>
  <c r="L28" i="25" s="1"/>
  <c r="K27" i="25"/>
  <c r="M18" i="25"/>
  <c r="M17" i="25"/>
  <c r="M16" i="25"/>
  <c r="M15" i="25"/>
  <c r="M14" i="25"/>
  <c r="M7" i="25"/>
  <c r="M5" i="25"/>
  <c r="L178" i="25" l="1"/>
  <c r="N10" i="28"/>
  <c r="L186" i="25"/>
  <c r="M184" i="25"/>
  <c r="M177" i="25"/>
  <c r="M178" i="25" s="1"/>
  <c r="K178" i="25"/>
  <c r="M470" i="25"/>
  <c r="N265" i="25"/>
  <c r="M337" i="25"/>
  <c r="K340" i="25"/>
  <c r="L340" i="25"/>
  <c r="M19" i="25"/>
  <c r="M27" i="25"/>
  <c r="K28" i="25"/>
  <c r="M9" i="25"/>
  <c r="M100" i="28"/>
  <c r="M91" i="28"/>
  <c r="M30" i="28"/>
  <c r="N450" i="25"/>
  <c r="N276" i="25"/>
  <c r="N413" i="25"/>
  <c r="N120" i="25"/>
  <c r="M74" i="25"/>
  <c r="O38" i="25"/>
  <c r="N38" i="25"/>
  <c r="J124" i="2"/>
  <c r="J116" i="2"/>
  <c r="J274" i="2"/>
  <c r="J284" i="2"/>
  <c r="N184" i="25" l="1"/>
  <c r="N186" i="25" s="1"/>
  <c r="M186" i="25"/>
  <c r="N177" i="25"/>
  <c r="N178" i="25" s="1"/>
  <c r="N337" i="25"/>
  <c r="N340" i="25" s="1"/>
  <c r="M340" i="25"/>
  <c r="N27" i="25"/>
  <c r="N28" i="25" s="1"/>
  <c r="M28" i="25"/>
  <c r="N79" i="25"/>
  <c r="N81" i="25" s="1"/>
  <c r="K307" i="2"/>
  <c r="M307" i="2" s="1"/>
  <c r="L308" i="2"/>
  <c r="K308" i="2"/>
  <c r="L307" i="2"/>
  <c r="J309" i="2"/>
  <c r="M116" i="2" l="1"/>
  <c r="K309" i="2"/>
  <c r="L309" i="2"/>
  <c r="M308" i="2"/>
  <c r="N308" i="2" s="1"/>
  <c r="N307" i="2"/>
  <c r="J265" i="2"/>
  <c r="J254" i="2"/>
  <c r="N309" i="2" l="1"/>
  <c r="M309" i="2"/>
  <c r="J71" i="2"/>
  <c r="N70" i="2"/>
  <c r="N69" i="2"/>
  <c r="N68" i="2"/>
  <c r="J50" i="2"/>
  <c r="M11" i="4"/>
  <c r="M12" i="4" s="1"/>
  <c r="M15" i="4"/>
  <c r="M16" i="4" s="1"/>
  <c r="M7" i="4"/>
  <c r="M8" i="4" s="1"/>
  <c r="N71" i="2" l="1"/>
  <c r="M50" i="2"/>
  <c r="M22" i="4"/>
  <c r="M23" i="4" s="1"/>
  <c r="N51" i="1" l="1"/>
  <c r="N52" i="1" s="1"/>
  <c r="N55" i="1"/>
  <c r="N56" i="1" s="1"/>
  <c r="M12" i="19" l="1"/>
  <c r="M13" i="19" s="1"/>
  <c r="M27" i="19"/>
  <c r="M28" i="19" s="1"/>
  <c r="J9" i="14"/>
  <c r="N8" i="14" l="1"/>
  <c r="N9" i="14" s="1"/>
  <c r="J28" i="2"/>
  <c r="N45" i="1" l="1"/>
  <c r="N46" i="1" s="1"/>
  <c r="N30" i="1"/>
  <c r="N31" i="1" s="1"/>
  <c r="N24" i="1"/>
  <c r="N25" i="1" s="1"/>
  <c r="K298" i="2"/>
  <c r="M290" i="2"/>
  <c r="M298" i="2" l="1"/>
  <c r="N298" i="2" s="1"/>
  <c r="N290" i="2"/>
  <c r="K300" i="2"/>
  <c r="M300" i="2" s="1"/>
  <c r="N300" i="2" s="1"/>
  <c r="K299" i="2"/>
  <c r="J301" i="2"/>
  <c r="J293" i="2"/>
  <c r="K292" i="2"/>
  <c r="M292" i="2" s="1"/>
  <c r="N292" i="2" s="1"/>
  <c r="J234" i="2"/>
  <c r="J224" i="2"/>
  <c r="N182" i="2"/>
  <c r="N181" i="2"/>
  <c r="N180" i="2"/>
  <c r="N179" i="2"/>
  <c r="K301" i="2" l="1"/>
  <c r="M291" i="2"/>
  <c r="N291" i="2" s="1"/>
  <c r="K293" i="2"/>
  <c r="M299" i="2"/>
  <c r="J173" i="2"/>
  <c r="J163" i="2"/>
  <c r="M293" i="2" l="1"/>
  <c r="M301" i="2"/>
  <c r="N299" i="2"/>
  <c r="N301" i="2" s="1"/>
  <c r="N293" i="2"/>
  <c r="N178" i="2"/>
  <c r="N183" i="2" s="1"/>
  <c r="J108" i="2"/>
  <c r="J99" i="2"/>
  <c r="J80" i="2" l="1"/>
  <c r="J42" i="2" l="1"/>
  <c r="N19" i="2" l="1"/>
  <c r="N17" i="2"/>
  <c r="N18" i="2" l="1"/>
  <c r="N20" i="2" s="1"/>
</calcChain>
</file>

<file path=xl/comments1.xml><?xml version="1.0" encoding="utf-8"?>
<comments xmlns="http://schemas.openxmlformats.org/spreadsheetml/2006/main">
  <authors>
    <author>Saul</author>
  </authors>
  <commentList>
    <comment ref="O116" authorId="0" shapeId="0">
      <text>
        <r>
          <rPr>
            <b/>
            <sz val="9"/>
            <color indexed="81"/>
            <rFont val="Tahoma"/>
            <family val="2"/>
          </rPr>
          <t>Saul:</t>
        </r>
        <r>
          <rPr>
            <sz val="9"/>
            <color indexed="81"/>
            <rFont val="Tahoma"/>
            <family val="2"/>
          </rPr>
          <t xml:space="preserve">
Que pasó ? El hexano tiene clasificación
</t>
        </r>
      </text>
    </comment>
  </commentList>
</comments>
</file>

<file path=xl/comments2.xml><?xml version="1.0" encoding="utf-8"?>
<comments xmlns="http://schemas.openxmlformats.org/spreadsheetml/2006/main">
  <authors>
    <author>Saul</author>
  </authors>
  <commentList>
    <comment ref="K240" authorId="0" shapeId="0">
      <text>
        <r>
          <rPr>
            <b/>
            <sz val="9"/>
            <color indexed="81"/>
            <rFont val="Tahoma"/>
            <family val="2"/>
          </rPr>
          <t>Saul:</t>
        </r>
        <r>
          <rPr>
            <sz val="9"/>
            <color indexed="81"/>
            <rFont val="Tahoma"/>
            <family val="2"/>
          </rPr>
          <t xml:space="preserve">
Quedaría como un residuo de KOH
</t>
        </r>
      </text>
    </comment>
  </commentList>
</comments>
</file>

<file path=xl/sharedStrings.xml><?xml version="1.0" encoding="utf-8"?>
<sst xmlns="http://schemas.openxmlformats.org/spreadsheetml/2006/main" count="2703" uniqueCount="913">
  <si>
    <t>Reactivo</t>
  </si>
  <si>
    <t>Compuesto</t>
  </si>
  <si>
    <t>Masa molar (g/mol)</t>
  </si>
  <si>
    <t>RESPEL</t>
  </si>
  <si>
    <t>Guía N° 1: Microscopía</t>
  </si>
  <si>
    <t>Etanol</t>
  </si>
  <si>
    <r>
      <t>C</t>
    </r>
    <r>
      <rPr>
        <vertAlign val="subscript"/>
        <sz val="11"/>
        <color rgb="FF222222"/>
        <rFont val="Times New Roman"/>
        <family val="1"/>
      </rPr>
      <t>2</t>
    </r>
    <r>
      <rPr>
        <sz val="11"/>
        <color rgb="FF222222"/>
        <rFont val="Times New Roman"/>
        <family val="1"/>
      </rPr>
      <t>H</t>
    </r>
    <r>
      <rPr>
        <vertAlign val="subscript"/>
        <sz val="11"/>
        <color rgb="FF222222"/>
        <rFont val="Times New Roman"/>
        <family val="1"/>
      </rPr>
      <t>5</t>
    </r>
    <r>
      <rPr>
        <sz val="11"/>
        <color rgb="FF222222"/>
        <rFont val="Times New Roman"/>
        <family val="1"/>
      </rPr>
      <t>OH</t>
    </r>
  </si>
  <si>
    <t>Alcohol etílico</t>
  </si>
  <si>
    <t>Guía N° 2: Carcaterísticas de los seres vivos</t>
  </si>
  <si>
    <t>Azul de metileno</t>
  </si>
  <si>
    <t>C₁₆H₁₈ClN₃S</t>
  </si>
  <si>
    <t>Guía N° 3: Células vegetales</t>
  </si>
  <si>
    <t>Yodo</t>
  </si>
  <si>
    <t>I</t>
  </si>
  <si>
    <t>Guía N° 4: Células animales</t>
  </si>
  <si>
    <t>Guía N° 5: Mitosis y meiosis</t>
  </si>
  <si>
    <r>
      <t>C</t>
    </r>
    <r>
      <rPr>
        <vertAlign val="subscript"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13</t>
    </r>
  </si>
  <si>
    <t>Limpieza</t>
  </si>
  <si>
    <t>Procedimiento 1</t>
  </si>
  <si>
    <t>Procedimiento 2</t>
  </si>
  <si>
    <t>Orceína</t>
  </si>
  <si>
    <r>
      <t>C</t>
    </r>
    <r>
      <rPr>
        <vertAlign val="subscript"/>
        <sz val="12"/>
        <color rgb="FF222222"/>
        <rFont val="Times New Roman"/>
        <family val="1"/>
      </rPr>
      <t>28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24</t>
    </r>
    <r>
      <rPr>
        <sz val="12"/>
        <color rgb="FF222222"/>
        <rFont val="Times New Roman"/>
        <family val="1"/>
      </rPr>
      <t>N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7</t>
    </r>
  </si>
  <si>
    <t>Guía N° 7: Protozoos, hongos y levaduras</t>
  </si>
  <si>
    <t>Azul de lactofenol</t>
  </si>
  <si>
    <t>Observación de levaduras</t>
  </si>
  <si>
    <t>Observación de hifas y esporas de moho de pan</t>
  </si>
  <si>
    <t>Guía N° 8:Tejidos humanos</t>
  </si>
  <si>
    <t>Guía N° 9: Genética</t>
  </si>
  <si>
    <t>Guía N° 3: Descripción macroscópica y microscópica</t>
  </si>
  <si>
    <t>Cristal violeta</t>
  </si>
  <si>
    <t>Lugol de gram o solución de yodo</t>
  </si>
  <si>
    <r>
      <t>C</t>
    </r>
    <r>
      <rPr>
        <vertAlign val="subscript"/>
        <sz val="12"/>
        <color rgb="FF222222"/>
        <rFont val="Times New Roman"/>
        <family val="1"/>
      </rPr>
      <t>24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28</t>
    </r>
    <r>
      <rPr>
        <sz val="12"/>
        <color rgb="FF222222"/>
        <rFont val="Times New Roman"/>
        <family val="1"/>
      </rPr>
      <t>N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Cl</t>
    </r>
  </si>
  <si>
    <t>Tinción de hongos</t>
  </si>
  <si>
    <t>Guía N° 5: Curva de crecimiento</t>
  </si>
  <si>
    <t>Cloruro de amonio</t>
  </si>
  <si>
    <r>
      <t>NH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Cl</t>
    </r>
  </si>
  <si>
    <t>Ácido sulfúrico</t>
  </si>
  <si>
    <t>H₂SO₄</t>
  </si>
  <si>
    <t>Ácido nítrico</t>
  </si>
  <si>
    <t>Guía N° 1: Determinación de características físicas de agua</t>
  </si>
  <si>
    <t>Cloruro de potasio</t>
  </si>
  <si>
    <t>KCl</t>
  </si>
  <si>
    <t>Guía N° 6: Test de jarras</t>
  </si>
  <si>
    <t>Sulfato de aluminio</t>
  </si>
  <si>
    <r>
      <t>Al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(SO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)</t>
    </r>
    <r>
      <rPr>
        <vertAlign val="subscript"/>
        <sz val="12"/>
        <color rgb="FF222222"/>
        <rFont val="Times New Roman"/>
        <family val="1"/>
      </rPr>
      <t>3</t>
    </r>
  </si>
  <si>
    <t>Agua</t>
  </si>
  <si>
    <r>
      <t>H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</si>
  <si>
    <t>Guía N° 7: Test de jarras + alcalinidad</t>
  </si>
  <si>
    <t>Ión hidronio</t>
  </si>
  <si>
    <t>Sulfato</t>
  </si>
  <si>
    <r>
      <t>H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O</t>
    </r>
  </si>
  <si>
    <t>SO₄²-</t>
  </si>
  <si>
    <t>Test de jarras</t>
  </si>
  <si>
    <t>Total</t>
  </si>
  <si>
    <t>Guía N° 1: Diferencias entre compuestos orgánicos e inorgánicos</t>
  </si>
  <si>
    <t>Ácido fórmico</t>
  </si>
  <si>
    <t>CH₂O₂</t>
  </si>
  <si>
    <t>Hidróxido</t>
  </si>
  <si>
    <t>OH</t>
  </si>
  <si>
    <t>Formaldehído</t>
  </si>
  <si>
    <t>Acetona</t>
  </si>
  <si>
    <r>
      <t>C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O</t>
    </r>
  </si>
  <si>
    <t>Ácido acético</t>
  </si>
  <si>
    <t>Metanol</t>
  </si>
  <si>
    <t>CH₃COOH</t>
  </si>
  <si>
    <r>
      <t>CH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OH</t>
    </r>
  </si>
  <si>
    <r>
      <t>C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</si>
  <si>
    <r>
      <t>H</t>
    </r>
    <r>
      <rPr>
        <vertAlign val="subscript"/>
        <sz val="12"/>
        <color rgb="FF222222"/>
        <rFont val="Times New Roman"/>
        <family val="1"/>
      </rPr>
      <t>20</t>
    </r>
  </si>
  <si>
    <t>Metanodiol</t>
  </si>
  <si>
    <r>
      <t>CH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</si>
  <si>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t>Ácido salicílico</t>
  </si>
  <si>
    <r>
      <t>C</t>
    </r>
    <r>
      <rPr>
        <vertAlign val="subscript"/>
        <sz val="12"/>
        <color rgb="FF222222"/>
        <rFont val="Times New Roman"/>
        <family val="1"/>
      </rPr>
      <t>7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</si>
  <si>
    <r>
      <t>C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</si>
  <si>
    <t>Ácido benzoico</t>
  </si>
  <si>
    <r>
      <t>C</t>
    </r>
    <r>
      <rPr>
        <vertAlign val="subscript"/>
        <sz val="12"/>
        <color rgb="FF222222"/>
        <rFont val="Times New Roman"/>
        <family val="1"/>
      </rPr>
      <t>7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</si>
  <si>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t>Tubo 2</t>
  </si>
  <si>
    <t>Tubo 3</t>
  </si>
  <si>
    <t>Tubo 4</t>
  </si>
  <si>
    <t>Tubo 5</t>
  </si>
  <si>
    <t>Estabilidad térmica</t>
  </si>
  <si>
    <t>Cloruro de sodio</t>
  </si>
  <si>
    <t>NaCl</t>
  </si>
  <si>
    <t>Punto de ebullición</t>
  </si>
  <si>
    <t>Hidróxido de sodio</t>
  </si>
  <si>
    <t>Dihidrógeno</t>
  </si>
  <si>
    <t>NaOH</t>
  </si>
  <si>
    <r>
      <t>H</t>
    </r>
    <r>
      <rPr>
        <vertAlign val="subscript"/>
        <sz val="12"/>
        <color rgb="FF222222"/>
        <rFont val="Times New Roman"/>
        <family val="1"/>
      </rPr>
      <t>2</t>
    </r>
  </si>
  <si>
    <t>Velocidad de reacción</t>
  </si>
  <si>
    <t>Sodio</t>
  </si>
  <si>
    <t>Na</t>
  </si>
  <si>
    <r>
      <t>C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OH</t>
    </r>
  </si>
  <si>
    <t>Guía N° 2: Reconocimiento de alcoholes y fenoles</t>
  </si>
  <si>
    <t>Hidróxido de potasio</t>
  </si>
  <si>
    <t>KOH</t>
  </si>
  <si>
    <t>Isopropanol</t>
  </si>
  <si>
    <r>
      <t>C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O</t>
    </r>
  </si>
  <si>
    <t>Prueba del xantato</t>
  </si>
  <si>
    <t>Terbutanol</t>
  </si>
  <si>
    <r>
      <t>C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O</t>
    </r>
  </si>
  <si>
    <t>Propilenglicol</t>
  </si>
  <si>
    <r>
      <t>C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</si>
  <si>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t>Éter etílico</t>
  </si>
  <si>
    <r>
      <t>(C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)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</si>
  <si>
    <t>Sulfuro de carbono</t>
  </si>
  <si>
    <r>
      <t>CS</t>
    </r>
    <r>
      <rPr>
        <vertAlign val="subscript"/>
        <sz val="12"/>
        <color rgb="FF222222"/>
        <rFont val="Times New Roman"/>
        <family val="1"/>
      </rPr>
      <t>2</t>
    </r>
  </si>
  <si>
    <t>Prueba del sodio metálico</t>
  </si>
  <si>
    <r>
      <t>C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5</t>
    </r>
    <r>
      <rPr>
        <sz val="12"/>
        <color rgb="FF222222"/>
        <rFont val="Times New Roman"/>
        <family val="1"/>
      </rPr>
      <t>ONa</t>
    </r>
  </si>
  <si>
    <t>Fenolftaleína</t>
  </si>
  <si>
    <r>
      <t> </t>
    </r>
    <r>
      <rPr>
        <sz val="12"/>
        <color rgb="FF222222"/>
        <rFont val="Times New Roman"/>
        <family val="1"/>
      </rPr>
      <t>C₂₀H₁₄O₄</t>
    </r>
  </si>
  <si>
    <t>Alcohol isopropílico</t>
  </si>
  <si>
    <t>Alcohol terbutílico</t>
  </si>
  <si>
    <r>
      <t>(CH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COH</t>
    </r>
  </si>
  <si>
    <t>Reacción de oxidación</t>
  </si>
  <si>
    <t>Permanganato de potasio</t>
  </si>
  <si>
    <t>KMnO₄</t>
  </si>
  <si>
    <t>Óxido de manganeso</t>
  </si>
  <si>
    <t>MnO₂</t>
  </si>
  <si>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KMnO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+ </t>
    </r>
    <r>
      <rPr>
        <b/>
        <sz val="12"/>
        <color rgb="FFFF0000"/>
        <rFont val="Times New Roman"/>
        <family val="1"/>
      </rPr>
      <t>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OH → </t>
    </r>
    <r>
      <rPr>
        <b/>
        <sz val="12"/>
        <color rgb="FFFF0000"/>
        <rFont val="Times New Roman"/>
        <family val="1"/>
      </rPr>
      <t>3</t>
    </r>
    <r>
      <rPr>
        <sz val="12"/>
        <color theme="1"/>
        <rFont val="Times New Roman"/>
        <family val="1"/>
      </rPr>
      <t>CH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COOH + 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MnO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KOH + 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</si>
  <si>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Ácido propanoico</t>
  </si>
  <si>
    <t>C₃H₆O₂</t>
  </si>
  <si>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KMnO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+ </t>
    </r>
    <r>
      <rPr>
        <b/>
        <sz val="12"/>
        <color rgb="FFFF0000"/>
        <rFont val="Times New Roman"/>
        <family val="1"/>
      </rPr>
      <t>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O →</t>
    </r>
    <r>
      <rPr>
        <b/>
        <sz val="12"/>
        <color rgb="FFFF0000"/>
        <rFont val="Times New Roman"/>
        <family val="1"/>
      </rPr>
      <t> 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MnO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KOH + 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</si>
  <si>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Ácido butírico</t>
  </si>
  <si>
    <r>
      <t> </t>
    </r>
    <r>
      <rPr>
        <sz val="12"/>
        <color rgb="FF222222"/>
        <rFont val="Times New Roman"/>
        <family val="1"/>
      </rPr>
      <t>C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</si>
  <si>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KMnO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+</t>
    </r>
    <r>
      <rPr>
        <b/>
        <sz val="12"/>
        <color rgb="FFFF0000"/>
        <rFont val="Times New Roman"/>
        <family val="1"/>
      </rPr>
      <t xml:space="preserve"> 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O →</t>
    </r>
    <r>
      <rPr>
        <b/>
        <sz val="12"/>
        <color rgb="FFFF0000"/>
        <rFont val="Times New Roman"/>
        <family val="1"/>
      </rPr>
      <t> 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 4</t>
    </r>
    <r>
      <rPr>
        <sz val="12"/>
        <color theme="1"/>
        <rFont val="Times New Roman"/>
        <family val="1"/>
      </rPr>
      <t>KOH + 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MnO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</si>
  <si>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t>Reactivo de Lucas</t>
  </si>
  <si>
    <t>HCl</t>
  </si>
  <si>
    <t>Ácido clorhídrico</t>
  </si>
  <si>
    <t>Guía N° 4: Reacciones de aldehídos y cetonas</t>
  </si>
  <si>
    <r>
      <t>CH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</si>
  <si>
    <t>Oxidación de acetona y formol</t>
  </si>
  <si>
    <t>Óxido de Manganeso</t>
  </si>
  <si>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NaOH + C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8</t>
    </r>
    <r>
      <rPr>
        <sz val="14"/>
        <color rgb="FF212529"/>
        <rFont val="Times New Roman"/>
        <family val="1"/>
      </rPr>
      <t>O → C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Na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</t>
    </r>
  </si>
  <si>
    <r>
      <t>CO</t>
    </r>
    <r>
      <rPr>
        <vertAlign val="subscript"/>
        <sz val="12"/>
        <color rgb="FF222222"/>
        <rFont val="Times New Roman"/>
        <family val="1"/>
      </rPr>
      <t>2</t>
    </r>
  </si>
  <si>
    <r>
      <t>CH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 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OH + HCOH</t>
    </r>
  </si>
  <si>
    <r>
      <t>2</t>
    </r>
    <r>
      <rPr>
        <sz val="14"/>
        <color rgb="FF212529"/>
        <rFont val="Times New Roman"/>
        <family val="1"/>
      </rPr>
      <t>C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 + </t>
    </r>
    <r>
      <rPr>
        <b/>
        <sz val="14"/>
        <color rgb="FFFF0000"/>
        <rFont val="Times New Roman"/>
        <family val="1"/>
      </rPr>
      <t>4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COOH + </t>
    </r>
    <r>
      <rPr>
        <b/>
        <sz val="14"/>
        <color rgb="FFFF0000"/>
        <rFont val="Times New Roman"/>
        <family val="1"/>
      </rPr>
      <t>4</t>
    </r>
    <r>
      <rPr>
        <sz val="14"/>
        <color rgb="FF212529"/>
        <rFont val="Times New Roman"/>
        <family val="1"/>
      </rPr>
      <t>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OH</t>
    </r>
  </si>
  <si>
    <r>
      <t>10</t>
    </r>
    <r>
      <rPr>
        <sz val="14"/>
        <color rgb="FF212529"/>
        <rFont val="Times New Roman"/>
        <family val="1"/>
      </rPr>
      <t>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COOH + </t>
    </r>
    <r>
      <rPr>
        <b/>
        <sz val="14"/>
        <color rgb="FFFF0000"/>
        <rFont val="Times New Roman"/>
        <family val="1"/>
      </rPr>
      <t>10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10</t>
    </r>
    <r>
      <rPr>
        <sz val="14"/>
        <color rgb="FF212529"/>
        <rFont val="Times New Roman"/>
        <family val="1"/>
      </rPr>
      <t>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COOOH + H</t>
    </r>
    <r>
      <rPr>
        <vertAlign val="subscript"/>
        <sz val="11"/>
        <color rgb="FF212529"/>
        <rFont val="Times New Roman"/>
        <family val="1"/>
      </rPr>
      <t>20</t>
    </r>
  </si>
  <si>
    <r>
      <t>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COOH + </t>
    </r>
    <r>
      <rPr>
        <b/>
        <sz val="14"/>
        <color rgb="FFFF0000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sz val="14"/>
        <color rgb="FF212529"/>
        <rFont val="Times New Roman"/>
        <family val="1"/>
      </rPr>
      <t> →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CH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OOH</t>
    </r>
  </si>
  <si>
    <r>
      <t>2</t>
    </r>
    <r>
      <rPr>
        <sz val="14"/>
        <color rgb="FF212529"/>
        <rFont val="Times New Roman"/>
        <family val="1"/>
      </rPr>
      <t>C</t>
    </r>
    <r>
      <rPr>
        <vertAlign val="subscript"/>
        <sz val="11"/>
        <color rgb="FF212529"/>
        <rFont val="Times New Roman"/>
        <family val="1"/>
      </rPr>
      <t>7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8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7</t>
    </r>
    <r>
      <rPr>
        <sz val="14"/>
        <color rgb="FF212529"/>
        <rFont val="Times New Roman"/>
        <family val="1"/>
      </rPr>
      <t>C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O</t>
    </r>
    <r>
      <rPr>
        <vertAlign val="subscript"/>
        <sz val="11"/>
        <color rgb="FF212529"/>
        <rFont val="Times New Roman"/>
        <family val="1"/>
      </rPr>
      <t>2</t>
    </r>
  </si>
  <si>
    <r>
      <t>2</t>
    </r>
    <r>
      <rPr>
        <sz val="14"/>
        <color rgb="FF212529"/>
        <rFont val="Times New Roman"/>
        <family val="1"/>
      </rPr>
      <t>Na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NaOH + H</t>
    </r>
    <r>
      <rPr>
        <vertAlign val="subscript"/>
        <sz val="11"/>
        <color rgb="FF212529"/>
        <rFont val="Times New Roman"/>
        <family val="1"/>
      </rPr>
      <t>2</t>
    </r>
  </si>
  <si>
    <r>
      <t>16</t>
    </r>
    <r>
      <rPr>
        <sz val="12"/>
        <color theme="1"/>
        <rFont val="Times New Roman"/>
        <family val="1"/>
      </rPr>
      <t>KMnO</t>
    </r>
    <r>
      <rPr>
        <vertAlign val="subscript"/>
        <sz val="12"/>
        <color theme="1"/>
        <rFont val="Times New Roman"/>
        <family val="1"/>
      </rPr>
      <t xml:space="preserve">4 </t>
    </r>
    <r>
      <rPr>
        <sz val="12"/>
        <color theme="1"/>
        <rFont val="Times New Roman"/>
        <family val="1"/>
      </rPr>
      <t xml:space="preserve">+ </t>
    </r>
    <r>
      <rPr>
        <b/>
        <sz val="12"/>
        <color rgb="FFFF0000"/>
        <rFont val="Times New Roman"/>
        <family val="1"/>
      </rPr>
      <t>3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O → </t>
    </r>
    <r>
      <rPr>
        <b/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MnO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 + </t>
    </r>
    <r>
      <rPr>
        <b/>
        <sz val="12"/>
        <color rgb="FFFF0000"/>
        <rFont val="Times New Roman"/>
        <family val="1"/>
      </rPr>
      <t>9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+ 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O + </t>
    </r>
    <r>
      <rPr>
        <b/>
        <sz val="12"/>
        <color rgb="FFFF0000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KOH</t>
    </r>
  </si>
  <si>
    <t>Carbonato de Potasio</t>
  </si>
  <si>
    <r>
      <t>K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CO</t>
    </r>
    <r>
      <rPr>
        <vertAlign val="subscript"/>
        <sz val="14"/>
        <color rgb="FF212529"/>
        <rFont val="Times New Roman"/>
        <family val="1"/>
      </rPr>
      <t>3</t>
    </r>
  </si>
  <si>
    <r>
      <t>4</t>
    </r>
    <r>
      <rPr>
        <sz val="12"/>
        <color theme="1"/>
        <rFont val="Times New Roman"/>
        <family val="1"/>
      </rPr>
      <t>KMnO</t>
    </r>
    <r>
      <rPr>
        <vertAlign val="subscript"/>
        <sz val="12"/>
        <color theme="1"/>
        <rFont val="Times New Roman"/>
        <family val="1"/>
      </rPr>
      <t>4</t>
    </r>
    <r>
      <rPr>
        <sz val="14"/>
        <color rgb="FF212529"/>
        <rFont val="Times New Roman"/>
        <family val="1"/>
      </rPr>
      <t xml:space="preserve"> + </t>
    </r>
    <r>
      <rPr>
        <b/>
        <sz val="14"/>
        <color rgb="FFFF0000"/>
        <rFont val="Times New Roman"/>
        <family val="1"/>
      </rPr>
      <t>3</t>
    </r>
    <r>
      <rPr>
        <sz val="14"/>
        <color rgb="FF212529"/>
        <rFont val="Times New Roman"/>
        <family val="1"/>
      </rPr>
      <t>CH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 → </t>
    </r>
    <r>
      <rPr>
        <b/>
        <sz val="14"/>
        <color rgb="FFFF0000"/>
        <rFont val="Times New Roman"/>
        <family val="1"/>
      </rPr>
      <t>2</t>
    </r>
    <r>
      <rPr>
        <sz val="14"/>
        <color theme="1"/>
        <rFont val="Times New Roman"/>
        <family val="1"/>
      </rPr>
      <t>K</t>
    </r>
    <r>
      <rPr>
        <vertAlign val="sub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CO</t>
    </r>
    <r>
      <rPr>
        <vertAlign val="sub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+ </t>
    </r>
    <r>
      <rPr>
        <b/>
        <sz val="12"/>
        <color rgb="FFFF0000"/>
        <rFont val="Times New Roman"/>
        <family val="1"/>
      </rPr>
      <t>4</t>
    </r>
    <r>
      <rPr>
        <sz val="12"/>
        <color theme="1"/>
        <rFont val="Times New Roman"/>
        <family val="1"/>
      </rPr>
      <t>MnO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 + </t>
    </r>
    <r>
      <rPr>
        <b/>
        <sz val="12"/>
        <color rgb="FFFF0000"/>
        <rFont val="Times New Roman"/>
        <family val="1"/>
      </rPr>
      <t>3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 + CO</t>
    </r>
    <r>
      <rPr>
        <vertAlign val="subscript"/>
        <sz val="12"/>
        <color theme="1"/>
        <rFont val="Times New Roman"/>
        <family val="1"/>
      </rPr>
      <t>2</t>
    </r>
  </si>
  <si>
    <t>Lugol</t>
  </si>
  <si>
    <t>Guía N° 5: Identificación de ácidos carboxílicos y reacciones de esterificación</t>
  </si>
  <si>
    <t>Purificación de ácido benzoico en agua</t>
  </si>
  <si>
    <t>Formación del benzoato de etilo</t>
  </si>
  <si>
    <t>Formación del salicilato de etilo</t>
  </si>
  <si>
    <r>
      <t>C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3</t>
    </r>
  </si>
  <si>
    <r>
      <t>C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</si>
  <si>
    <t>Preparación de ésteres derivados de haluros de ácido</t>
  </si>
  <si>
    <t>Cloruro de acetilo</t>
  </si>
  <si>
    <r>
      <t>CH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COCl</t>
    </r>
  </si>
  <si>
    <t>Ácido valérico</t>
  </si>
  <si>
    <t>Cloruro de hidrógeno</t>
  </si>
  <si>
    <r>
      <t>C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</si>
  <si>
    <t>Isobutanol</t>
  </si>
  <si>
    <t>Acetato de isobutilo</t>
  </si>
  <si>
    <r>
      <t>C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12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</si>
  <si>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t>Alcohol isoamílico</t>
  </si>
  <si>
    <r>
      <t>C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>O</t>
    </r>
  </si>
  <si>
    <t>Acetato de amila</t>
  </si>
  <si>
    <r>
      <t>C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</si>
  <si>
    <t xml:space="preserve">    Entrada     (g)</t>
  </si>
  <si>
    <r>
      <t>Densidad (g/cm</t>
    </r>
    <r>
      <rPr>
        <b/>
        <vertAlign val="superscript"/>
        <sz val="12"/>
        <color theme="1"/>
        <rFont val="Times New Roman"/>
        <family val="1"/>
      </rPr>
      <t>3</t>
    </r>
  </si>
  <si>
    <t>Observación de microorganismos</t>
  </si>
  <si>
    <t>Tinción de Gram</t>
  </si>
  <si>
    <t>Guía N° 1: características fisicoquímicas y biológicas de la calidad del agua</t>
  </si>
  <si>
    <t>Procedimiento conductividad</t>
  </si>
  <si>
    <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SO</t>
    </r>
    <r>
      <rPr>
        <vertAlign val="subscript"/>
        <sz val="11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SO</t>
    </r>
    <r>
      <rPr>
        <vertAlign val="subscript"/>
        <sz val="11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O</t>
    </r>
  </si>
  <si>
    <t>Solubilidad tubo 1</t>
  </si>
  <si>
    <r>
      <t>CH</t>
    </r>
    <r>
      <rPr>
        <vertAlign val="subscript"/>
        <sz val="11"/>
        <color rgb="FF222222"/>
        <rFont val="Times New Roman"/>
        <family val="1"/>
      </rPr>
      <t>2</t>
    </r>
    <r>
      <rPr>
        <sz val="11"/>
        <color rgb="FF222222"/>
        <rFont val="Times New Roman"/>
        <family val="1"/>
      </rPr>
      <t>O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</si>
  <si>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SO</t>
    </r>
    <r>
      <rPr>
        <vertAlign val="subscript"/>
        <sz val="12"/>
        <color theme="1"/>
        <rFont val="Times New Roman"/>
        <family val="1"/>
      </rPr>
      <t>4</t>
    </r>
  </si>
  <si>
    <t>Al(OH)3</t>
  </si>
  <si>
    <t>Hidróxido de aluminio</t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</si>
  <si>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</si>
  <si>
    <r>
      <t>Al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(SO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>3</t>
    </r>
  </si>
  <si>
    <t xml:space="preserve">Respel </t>
  </si>
  <si>
    <r>
      <t>Al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(SO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)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+</t>
    </r>
    <r>
      <rPr>
        <b/>
        <sz val="12"/>
        <color rgb="FFFF0000"/>
        <rFont val="Times New Roman"/>
        <family val="1"/>
      </rPr>
      <t>6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O ----&gt; 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Al(OH)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3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4 </t>
    </r>
  </si>
  <si>
    <t>Guía N° 1: Test de jarras</t>
  </si>
  <si>
    <t xml:space="preserve">Total </t>
  </si>
  <si>
    <r>
      <t>H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O</t>
    </r>
  </si>
  <si>
    <t xml:space="preserve">Agua </t>
  </si>
  <si>
    <r>
      <t>C</t>
    </r>
    <r>
      <rPr>
        <vertAlign val="subscript"/>
        <sz val="12"/>
        <rFont val="Times New Roman"/>
        <family val="1"/>
      </rPr>
      <t>18</t>
    </r>
    <r>
      <rPr>
        <sz val="12"/>
        <rFont val="Times New Roman"/>
        <family val="1"/>
      </rPr>
      <t>H</t>
    </r>
    <r>
      <rPr>
        <vertAlign val="subscript"/>
        <sz val="12"/>
        <rFont val="Times New Roman"/>
        <family val="1"/>
      </rPr>
      <t>34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2</t>
    </r>
  </si>
  <si>
    <t xml:space="preserve">Aceite </t>
  </si>
  <si>
    <r>
      <t>C</t>
    </r>
    <r>
      <rPr>
        <vertAlign val="subscript"/>
        <sz val="11"/>
        <rFont val="Times New Roman"/>
        <family val="1"/>
      </rPr>
      <t>3</t>
    </r>
    <r>
      <rPr>
        <sz val="11"/>
        <rFont val="Times New Roman"/>
        <family val="1"/>
      </rPr>
      <t>H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</si>
  <si>
    <t xml:space="preserve">Glicerina </t>
  </si>
  <si>
    <t>Densidad g/cm3</t>
  </si>
  <si>
    <r>
      <t>C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OH</t>
    </r>
  </si>
  <si>
    <t xml:space="preserve">Alcohol Etilico </t>
  </si>
  <si>
    <t>Guia No. 1 : Motor Stirling como máquina térmica</t>
  </si>
  <si>
    <r>
      <t>CO</t>
    </r>
    <r>
      <rPr>
        <vertAlign val="subscript"/>
        <sz val="12"/>
        <color rgb="FF212529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</t>
    </r>
  </si>
  <si>
    <t>H2O</t>
  </si>
  <si>
    <r>
      <t>CaSO</t>
    </r>
    <r>
      <rPr>
        <vertAlign val="subscript"/>
        <sz val="12"/>
        <color theme="1"/>
        <rFont val="Times New Roman"/>
        <family val="1"/>
      </rPr>
      <t>4</t>
    </r>
  </si>
  <si>
    <t>Sulfato de calcio</t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</si>
  <si>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 </t>
    </r>
  </si>
  <si>
    <r>
      <t>CaCO</t>
    </r>
    <r>
      <rPr>
        <vertAlign val="subscript"/>
        <sz val="12"/>
        <color theme="1"/>
        <rFont val="Times New Roman"/>
        <family val="1"/>
      </rPr>
      <t xml:space="preserve">3 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</si>
  <si>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+ </t>
    </r>
    <r>
      <rPr>
        <b/>
        <sz val="12"/>
        <color theme="1"/>
        <rFont val="Times New Roman"/>
        <family val="1"/>
      </rPr>
      <t>CaCO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→ </t>
    </r>
    <r>
      <rPr>
        <b/>
        <sz val="12"/>
        <color theme="1"/>
        <rFont val="Times New Roman"/>
        <family val="1"/>
      </rPr>
      <t>CaSO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</si>
  <si>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SO</t>
    </r>
    <r>
      <rPr>
        <vertAlign val="subscript"/>
        <sz val="12"/>
        <color theme="1"/>
        <rFont val="Times New Roman"/>
        <family val="1"/>
      </rPr>
      <t>4</t>
    </r>
  </si>
  <si>
    <r>
      <t>MnSO</t>
    </r>
    <r>
      <rPr>
        <vertAlign val="subscript"/>
        <sz val="12"/>
        <color theme="1"/>
        <rFont val="Times New Roman"/>
        <family val="1"/>
      </rPr>
      <t>4</t>
    </r>
  </si>
  <si>
    <r>
      <t>K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SO</t>
    </r>
    <r>
      <rPr>
        <vertAlign val="subscript"/>
        <sz val="12"/>
        <color theme="1"/>
        <rFont val="Times New Roman"/>
        <family val="1"/>
      </rPr>
      <t>4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</si>
  <si>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4</t>
    </r>
  </si>
  <si>
    <t xml:space="preserve">Permanganato de Potacio </t>
  </si>
  <si>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KMnO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 + </t>
    </r>
    <r>
      <rPr>
        <b/>
        <sz val="12"/>
        <color rgb="FFFF0000"/>
        <rFont val="Times New Roman"/>
        <family val="1"/>
      </rPr>
      <t>5 </t>
    </r>
    <r>
      <rPr>
        <b/>
        <sz val="12"/>
        <color theme="1"/>
        <rFont val="Times New Roman"/>
        <family val="1"/>
      </rPr>
      <t>Na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 + </t>
    </r>
    <r>
      <rPr>
        <b/>
        <sz val="12"/>
        <color rgb="FFFF0000"/>
        <rFont val="Times New Roman"/>
        <family val="1"/>
      </rPr>
      <t>8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→ </t>
    </r>
    <r>
      <rPr>
        <b/>
        <sz val="12"/>
        <color rgb="FFFF0000"/>
        <rFont val="Times New Roman"/>
        <family val="1"/>
      </rPr>
      <t>8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 + </t>
    </r>
    <r>
      <rPr>
        <b/>
        <sz val="12"/>
        <color rgb="FFFF0000"/>
        <rFont val="Times New Roman"/>
        <family val="1"/>
      </rPr>
      <t>10</t>
    </r>
    <r>
      <rPr>
        <b/>
        <sz val="12"/>
        <color theme="1"/>
        <rFont val="Times New Roman"/>
        <family val="1"/>
      </rPr>
      <t> 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+ 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 2</t>
    </r>
    <r>
      <rPr>
        <b/>
        <sz val="12"/>
        <color theme="1"/>
        <rFont val="Times New Roman"/>
        <family val="1"/>
      </rPr>
      <t> MnSO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5 </t>
    </r>
    <r>
      <rPr>
        <b/>
        <sz val="12"/>
        <color theme="1"/>
        <rFont val="Times New Roman"/>
        <family val="1"/>
      </rPr>
      <t>Na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</t>
    </r>
  </si>
  <si>
    <r>
      <t>SO</t>
    </r>
    <r>
      <rPr>
        <vertAlign val="subscript"/>
        <sz val="12"/>
        <color rgb="FF000000"/>
        <rFont val="Times New Roman"/>
        <family val="1"/>
      </rPr>
      <t>4</t>
    </r>
  </si>
  <si>
    <t xml:space="preserve">Sulfato </t>
  </si>
  <si>
    <r>
      <t>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O</t>
    </r>
  </si>
  <si>
    <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SO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O + SO</t>
    </r>
    <r>
      <rPr>
        <b/>
        <vertAlign val="subscript"/>
        <sz val="12"/>
        <color rgb="FF000000"/>
        <rFont val="Times New Roman"/>
        <family val="1"/>
      </rPr>
      <t>4</t>
    </r>
  </si>
  <si>
    <t xml:space="preserve">Sodio </t>
  </si>
  <si>
    <r>
      <t>C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 </t>
    </r>
  </si>
  <si>
    <t>Glucono delta-lactona</t>
  </si>
  <si>
    <t>NaOH 0,5M.</t>
  </si>
  <si>
    <r>
      <t>C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6</t>
    </r>
  </si>
  <si>
    <t xml:space="preserve">Glucosa </t>
  </si>
  <si>
    <r>
      <t>C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 2</t>
    </r>
    <r>
      <rPr>
        <b/>
        <sz val="12"/>
        <color rgb="FF000000"/>
        <rFont val="Times New Roman"/>
        <family val="1"/>
      </rPr>
      <t>NaOH → C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10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Na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</si>
  <si>
    <r>
      <t>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S </t>
    </r>
  </si>
  <si>
    <t>Ácido sulfhídrico</t>
  </si>
  <si>
    <r>
      <t> I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 </t>
    </r>
  </si>
  <si>
    <t>KI</t>
  </si>
  <si>
    <r>
      <rPr>
        <b/>
        <sz val="12"/>
        <color rgb="FFFF0000"/>
        <rFont val="Times New Roman"/>
        <family val="1"/>
      </rPr>
      <t>8</t>
    </r>
    <r>
      <rPr>
        <b/>
        <sz val="12"/>
        <color rgb="FF000000"/>
        <rFont val="Times New Roman"/>
        <family val="1"/>
      </rPr>
      <t> KI +</t>
    </r>
    <r>
      <rPr>
        <b/>
        <sz val="12"/>
        <color rgb="FFFF0000"/>
        <rFont val="Times New Roman"/>
        <family val="1"/>
      </rPr>
      <t> 5</t>
    </r>
    <r>
      <rPr>
        <b/>
        <sz val="12"/>
        <color rgb="FF000000"/>
        <rFont val="Times New Roman"/>
        <family val="1"/>
      </rPr>
      <t>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SO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→ 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I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K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SO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+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S  + 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</si>
  <si>
    <r>
      <t>NO</t>
    </r>
    <r>
      <rPr>
        <vertAlign val="subscript"/>
        <sz val="12"/>
        <color rgb="FF000000"/>
        <rFont val="Times New Roman"/>
        <family val="1"/>
      </rPr>
      <t>2</t>
    </r>
  </si>
  <si>
    <r>
      <t>Zn(NO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)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 </t>
    </r>
  </si>
  <si>
    <t>Zn</t>
  </si>
  <si>
    <r>
      <t>HNO</t>
    </r>
    <r>
      <rPr>
        <vertAlign val="subscript"/>
        <sz val="12"/>
        <color theme="1"/>
        <rFont val="Times New Roman"/>
        <family val="1"/>
      </rPr>
      <t>3</t>
    </r>
  </si>
  <si>
    <r>
      <t>Zn + </t>
    </r>
    <r>
      <rPr>
        <b/>
        <sz val="12"/>
        <color rgb="FFFF0000"/>
        <rFont val="Times New Roman"/>
        <family val="1"/>
      </rPr>
      <t>4 </t>
    </r>
    <r>
      <rPr>
        <b/>
        <sz val="12"/>
        <color rgb="FF000000"/>
        <rFont val="Times New Roman"/>
        <family val="1"/>
      </rPr>
      <t>HNO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 → Zn(NO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)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2 </t>
    </r>
    <r>
      <rPr>
        <b/>
        <sz val="12"/>
        <color rgb="FF000000"/>
        <rFont val="Times New Roman"/>
        <family val="1"/>
      </rPr>
      <t>NO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</si>
  <si>
    <t>NO</t>
  </si>
  <si>
    <r>
      <t>CuNO</t>
    </r>
    <r>
      <rPr>
        <vertAlign val="subscript"/>
        <sz val="12"/>
        <color theme="1"/>
        <rFont val="Times New Roman"/>
        <family val="1"/>
      </rPr>
      <t>3</t>
    </r>
  </si>
  <si>
    <t>Nitrato de cobre </t>
  </si>
  <si>
    <t>Cu</t>
  </si>
  <si>
    <t xml:space="preserve">Cobre </t>
  </si>
  <si>
    <r>
      <t>O</t>
    </r>
    <r>
      <rPr>
        <vertAlign val="subscript"/>
        <sz val="12"/>
        <color theme="1"/>
        <rFont val="Times New Roman"/>
        <family val="1"/>
      </rPr>
      <t>2</t>
    </r>
  </si>
  <si>
    <r>
      <t>2</t>
    </r>
    <r>
      <rPr>
        <b/>
        <sz val="12"/>
        <color theme="1"/>
        <rFont val="Times New Roman"/>
        <family val="1"/>
      </rPr>
      <t> KMnO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3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 →</t>
    </r>
    <r>
      <rPr>
        <b/>
        <sz val="12"/>
        <color rgb="FFFF0000"/>
        <rFont val="Times New Roman"/>
        <family val="1"/>
      </rPr>
      <t> 3 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MnO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KOH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</si>
  <si>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AgNO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</t>
    </r>
  </si>
  <si>
    <r>
      <rPr>
        <b/>
        <sz val="12"/>
        <color rgb="FFFF0000"/>
        <rFont val="Times New Roman"/>
        <family val="1"/>
      </rPr>
      <t>4</t>
    </r>
    <r>
      <rPr>
        <b/>
        <sz val="12"/>
        <color theme="1"/>
        <rFont val="Times New Roman"/>
        <family val="1"/>
      </rPr>
      <t>KMnO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 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→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b/>
        <sz val="12"/>
        <color theme="1"/>
        <rFont val="Times New Roman"/>
        <family val="1"/>
      </rPr>
      <t>MnSO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 + </t>
    </r>
    <r>
      <rPr>
        <b/>
        <sz val="12"/>
        <color rgb="FFFF0000"/>
        <rFont val="Times New Roman"/>
        <family val="1"/>
      </rPr>
      <t>5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</si>
  <si>
    <t>Ag</t>
  </si>
  <si>
    <t>Plata</t>
  </si>
  <si>
    <t>Nitrato de plata</t>
  </si>
  <si>
    <r>
      <t>AgNO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Cu</t>
    </r>
    <r>
      <rPr>
        <sz val="12"/>
        <color theme="1"/>
        <rFont val="Times New Roman"/>
        <family val="1"/>
      </rPr>
      <t> → </t>
    </r>
    <r>
      <rPr>
        <b/>
        <sz val="12"/>
        <color theme="1"/>
        <rFont val="Times New Roman"/>
        <family val="1"/>
      </rPr>
      <t>CuNO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Ag</t>
    </r>
  </si>
  <si>
    <t>HCl 0,5M.</t>
  </si>
  <si>
    <t>NaHCO₃</t>
  </si>
  <si>
    <r>
      <t>NaHCO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HCl</t>
    </r>
    <r>
      <rPr>
        <sz val="12"/>
        <color theme="1"/>
        <rFont val="Times New Roman"/>
        <family val="1"/>
      </rPr>
      <t>  → </t>
    </r>
    <r>
      <rPr>
        <b/>
        <sz val="12"/>
        <color theme="1"/>
        <rFont val="Times New Roman"/>
        <family val="1"/>
      </rPr>
      <t>NaCl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 </t>
    </r>
  </si>
  <si>
    <r>
      <t>H</t>
    </r>
    <r>
      <rPr>
        <vertAlign val="subscript"/>
        <sz val="12"/>
        <color theme="1"/>
        <rFont val="Times New Roman"/>
        <family val="1"/>
      </rPr>
      <t>2</t>
    </r>
  </si>
  <si>
    <r>
      <t>MgCl</t>
    </r>
    <r>
      <rPr>
        <vertAlign val="subscript"/>
        <sz val="12"/>
        <color theme="1"/>
        <rFont val="Times New Roman"/>
        <family val="1"/>
      </rPr>
      <t>2</t>
    </r>
  </si>
  <si>
    <t>Cloruro de magnesio</t>
  </si>
  <si>
    <t>Mg</t>
  </si>
  <si>
    <r>
      <t>CO</t>
    </r>
    <r>
      <rPr>
        <vertAlign val="subscript"/>
        <sz val="12"/>
        <color theme="1"/>
        <rFont val="Times New Roman"/>
        <family val="1"/>
      </rPr>
      <t>2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</si>
  <si>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HCO</t>
    </r>
    <r>
      <rPr>
        <vertAlign val="subscript"/>
        <sz val="12"/>
        <color theme="1"/>
        <rFont val="Times New Roman"/>
        <family val="1"/>
      </rPr>
      <t>3</t>
    </r>
  </si>
  <si>
    <t xml:space="preserve">Bicarbonato de Sodio </t>
  </si>
  <si>
    <t>C₂₀H₁₄O₄</t>
  </si>
  <si>
    <t xml:space="preserve">Fenoltaleina </t>
  </si>
  <si>
    <r>
      <t>SO</t>
    </r>
    <r>
      <rPr>
        <vertAlign val="subscript"/>
        <sz val="12"/>
        <color theme="1"/>
        <rFont val="Times New Roman"/>
        <family val="1"/>
      </rPr>
      <t>2</t>
    </r>
  </si>
  <si>
    <t>CuS</t>
  </si>
  <si>
    <t>Sulfuro de cobre</t>
  </si>
  <si>
    <r>
      <t>CuSO</t>
    </r>
    <r>
      <rPr>
        <vertAlign val="subscript"/>
        <sz val="12"/>
        <color theme="1"/>
        <rFont val="Times New Roman"/>
        <family val="1"/>
      </rPr>
      <t>4</t>
    </r>
  </si>
  <si>
    <t xml:space="preserve"> Sulfato de cobre</t>
  </si>
  <si>
    <r>
      <t xml:space="preserve">CuSO4 + CuS → </t>
    </r>
    <r>
      <rPr>
        <b/>
        <sz val="12"/>
        <color rgb="FFFF0000"/>
        <rFont val="Times New Roman"/>
        <family val="1"/>
      </rPr>
      <t xml:space="preserve">2 </t>
    </r>
    <r>
      <rPr>
        <b/>
        <sz val="12"/>
        <color rgb="FF000000"/>
        <rFont val="Times New Roman"/>
        <family val="1"/>
      </rPr>
      <t>Cu +</t>
    </r>
    <r>
      <rPr>
        <b/>
        <sz val="12"/>
        <color rgb="FFFF0000"/>
        <rFont val="Times New Roman"/>
        <family val="1"/>
      </rPr>
      <t xml:space="preserve"> 2</t>
    </r>
    <r>
      <rPr>
        <b/>
        <sz val="12"/>
        <color rgb="FF000000"/>
        <rFont val="Times New Roman"/>
        <family val="1"/>
      </rPr>
      <t xml:space="preserve"> SO2</t>
    </r>
  </si>
  <si>
    <t>HNO2</t>
  </si>
  <si>
    <t>NO2</t>
  </si>
  <si>
    <r>
      <t>H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O+</t>
    </r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</si>
  <si>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 + HNO</t>
    </r>
    <r>
      <rPr>
        <b/>
        <vertAlign val="subscript"/>
        <sz val="12"/>
        <rFont val="Times New Roman"/>
        <family val="1"/>
      </rPr>
      <t>3</t>
    </r>
    <r>
      <rPr>
        <b/>
        <sz val="12"/>
        <rFont val="Times New Roman"/>
        <family val="1"/>
      </rPr>
      <t xml:space="preserve"> → NO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- + H</t>
    </r>
    <r>
      <rPr>
        <b/>
        <vertAlign val="subscript"/>
        <sz val="12"/>
        <rFont val="Times New Roman"/>
        <family val="1"/>
      </rPr>
      <t>3</t>
    </r>
    <r>
      <rPr>
        <b/>
        <sz val="12"/>
        <rFont val="Times New Roman"/>
        <family val="1"/>
      </rPr>
      <t>O+</t>
    </r>
  </si>
  <si>
    <r>
      <t>H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O+</t>
    </r>
  </si>
  <si>
    <r>
      <t>NO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-</t>
    </r>
  </si>
  <si>
    <t>Nitrato</t>
  </si>
  <si>
    <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 + HNO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 → NO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- + H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O+</t>
    </r>
  </si>
  <si>
    <t>Cálculo de Molaridad Molaridad de las siguientes: 25 ml de CuSO4 0,01M, 0,05M, 0,08M, 0,1M, 0,2M ó 0,25M.</t>
  </si>
  <si>
    <t>Cálculo de porcentaje en masa / volumen (25 ml de KMnO4 0,006%, 0,009%, 0,02%, 0,04%, 0,06 % ó 0,08% m/v)</t>
  </si>
  <si>
    <r>
      <t>C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6 </t>
    </r>
  </si>
  <si>
    <r>
      <t>C</t>
    </r>
    <r>
      <rPr>
        <vertAlign val="subscript"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22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11</t>
    </r>
    <r>
      <rPr>
        <sz val="12"/>
        <color rgb="FF000000"/>
        <rFont val="Times New Roman"/>
        <family val="1"/>
      </rPr>
      <t> </t>
    </r>
  </si>
  <si>
    <t>Sacarosa</t>
  </si>
  <si>
    <r>
      <t>C</t>
    </r>
    <r>
      <rPr>
        <b/>
        <vertAlign val="subscript"/>
        <sz val="12"/>
        <color rgb="FF000000"/>
        <rFont val="Times New Roman"/>
        <family val="1"/>
      </rPr>
      <t>12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11</t>
    </r>
    <r>
      <rPr>
        <b/>
        <sz val="12"/>
        <color rgb="FF000000"/>
        <rFont val="Times New Roman"/>
        <family val="1"/>
      </rPr>
      <t> +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2 </t>
    </r>
    <r>
      <rPr>
        <b/>
        <sz val="12"/>
        <color rgb="FF000000"/>
        <rFont val="Times New Roman"/>
        <family val="1"/>
      </rPr>
      <t>C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6 </t>
    </r>
  </si>
  <si>
    <t xml:space="preserve">H2PNaCaKFe
Vitamina A
Vitamina C 
Proteinas 
Lipidos
</t>
  </si>
  <si>
    <t xml:space="preserve">Repollo </t>
  </si>
  <si>
    <t>HCl </t>
  </si>
  <si>
    <r>
      <t>NaOH</t>
    </r>
    <r>
      <rPr>
        <sz val="12"/>
        <color theme="1"/>
        <rFont val="Times New Roman"/>
        <family val="1"/>
      </rPr>
      <t>+ </t>
    </r>
    <r>
      <rPr>
        <b/>
        <sz val="12"/>
        <color theme="1"/>
        <rFont val="Times New Roman"/>
        <family val="1"/>
      </rPr>
      <t>HCl</t>
    </r>
    <r>
      <rPr>
        <sz val="12"/>
        <color theme="1"/>
        <rFont val="Times New Roman"/>
        <family val="1"/>
      </rPr>
      <t> →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+ </t>
    </r>
    <r>
      <rPr>
        <b/>
        <sz val="12"/>
        <color theme="1"/>
        <rFont val="Times New Roman"/>
        <family val="1"/>
      </rPr>
      <t>NaCl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</si>
  <si>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</t>
    </r>
  </si>
  <si>
    <t>S</t>
  </si>
  <si>
    <t xml:space="preserve">Azufre </t>
  </si>
  <si>
    <r>
      <t>3</t>
    </r>
    <r>
      <rPr>
        <b/>
        <sz val="12"/>
        <color theme="1"/>
        <rFont val="Times New Roman"/>
        <family val="1"/>
      </rPr>
      <t> S + </t>
    </r>
    <r>
      <rPr>
        <b/>
        <sz val="12"/>
        <color rgb="FFFF0000"/>
        <rFont val="Times New Roman"/>
        <family val="1"/>
      </rPr>
      <t>2 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S+ SO</t>
    </r>
    <r>
      <rPr>
        <b/>
        <vertAlign val="subscript"/>
        <sz val="12"/>
        <color theme="1"/>
        <rFont val="Times New Roman"/>
        <family val="1"/>
      </rPr>
      <t>2</t>
    </r>
  </si>
  <si>
    <r>
      <t>C</t>
    </r>
    <r>
      <rPr>
        <vertAlign val="subscript"/>
        <sz val="12"/>
        <color rgb="FF212529"/>
        <rFont val="Times New Roman"/>
        <family val="1"/>
      </rPr>
      <t>14</t>
    </r>
    <r>
      <rPr>
        <sz val="12"/>
        <color rgb="FF212529"/>
        <rFont val="Times New Roman"/>
        <family val="1"/>
      </rPr>
      <t>OH</t>
    </r>
  </si>
  <si>
    <t>Hidroxitetradecanoilcarnitina</t>
  </si>
  <si>
    <r>
      <t> </t>
    </r>
    <r>
      <rPr>
        <sz val="12"/>
        <color theme="1"/>
        <rFont val="Times New Roman"/>
        <family val="1"/>
      </rPr>
      <t>NaH</t>
    </r>
    <r>
      <rPr>
        <vertAlign val="subscript"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NaO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S </t>
    </r>
  </si>
  <si>
    <r>
      <t>C</t>
    </r>
    <r>
      <rPr>
        <vertAlign val="subscript"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NaO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S</t>
    </r>
  </si>
  <si>
    <t xml:space="preserve">Naranja de Metilo </t>
  </si>
  <si>
    <r>
      <t>NaOH</t>
    </r>
    <r>
      <rPr>
        <b/>
        <sz val="12"/>
        <color theme="1"/>
        <rFont val="Times New Roman"/>
        <family val="1"/>
      </rPr>
      <t> + C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N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NaO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S → NaH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N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NaO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S + C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OH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</si>
  <si>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</t>
    </r>
  </si>
  <si>
    <r>
      <t>46</t>
    </r>
    <r>
      <rPr>
        <b/>
        <sz val="12"/>
        <color theme="1"/>
        <rFont val="Times New Roman"/>
        <family val="1"/>
      </rPr>
      <t>NaOH + C</t>
    </r>
    <r>
      <rPr>
        <b/>
        <vertAlign val="subscript"/>
        <sz val="12"/>
        <color theme="1"/>
        <rFont val="Times New Roman"/>
        <family val="1"/>
      </rPr>
      <t>20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 → </t>
    </r>
    <r>
      <rPr>
        <b/>
        <sz val="12"/>
        <color rgb="FFFF0000"/>
        <rFont val="Times New Roman"/>
        <family val="1"/>
      </rPr>
      <t>46</t>
    </r>
    <r>
      <rPr>
        <b/>
        <sz val="12"/>
        <color theme="1"/>
        <rFont val="Times New Roman"/>
        <family val="1"/>
      </rPr>
      <t>Na + </t>
    </r>
    <r>
      <rPr>
        <b/>
        <sz val="12"/>
        <color rgb="FFFF0000"/>
        <rFont val="Times New Roman"/>
        <family val="1"/>
      </rPr>
      <t>20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CO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10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</si>
  <si>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t xml:space="preserve">Hidróxido de sodio </t>
  </si>
  <si>
    <r>
      <t>2</t>
    </r>
    <r>
      <rPr>
        <b/>
        <sz val="12"/>
        <color theme="1"/>
        <rFont val="Times New Roman"/>
        <family val="1"/>
      </rPr>
      <t> Na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</t>
    </r>
    <r>
      <rPr>
        <b/>
        <sz val="12"/>
        <color theme="1"/>
        <rFont val="Times New Roman"/>
        <family val="1"/>
      </rPr>
      <t> NaOH + H</t>
    </r>
    <r>
      <rPr>
        <b/>
        <vertAlign val="subscript"/>
        <sz val="12"/>
        <color theme="1"/>
        <rFont val="Times New Roman"/>
        <family val="1"/>
      </rPr>
      <t>2</t>
    </r>
  </si>
  <si>
    <t xml:space="preserve">Vaselina </t>
  </si>
  <si>
    <r>
      <t>Na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S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</si>
  <si>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3</t>
    </r>
  </si>
  <si>
    <t>Ácido carbónico</t>
  </si>
  <si>
    <r>
      <t>NaHCO</t>
    </r>
    <r>
      <rPr>
        <vertAlign val="subscript"/>
        <sz val="12"/>
        <color theme="1"/>
        <rFont val="Times New Roman"/>
        <family val="1"/>
      </rPr>
      <t>3</t>
    </r>
  </si>
  <si>
    <r>
      <t>NaHCO</t>
    </r>
    <r>
      <rPr>
        <vertAlign val="sub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> → </t>
    </r>
    <r>
      <rPr>
        <b/>
        <sz val="12"/>
        <color theme="1"/>
        <rFont val="Times New Roman"/>
        <family val="1"/>
      </rPr>
      <t>NaOH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CO</t>
    </r>
    <r>
      <rPr>
        <vertAlign val="subscript"/>
        <sz val="12"/>
        <color theme="1"/>
        <rFont val="Times New Roman"/>
        <family val="1"/>
      </rPr>
      <t>3</t>
    </r>
  </si>
  <si>
    <r>
      <t>H</t>
    </r>
    <r>
      <rPr>
        <vertAlign val="subscript"/>
        <sz val="12"/>
        <rFont val="Times New Roman"/>
        <family val="1"/>
      </rPr>
      <t>2</t>
    </r>
  </si>
  <si>
    <r>
      <t>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</si>
  <si>
    <r>
      <t>H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O </t>
    </r>
  </si>
  <si>
    <r>
      <t>C</t>
    </r>
    <r>
      <rPr>
        <vertAlign val="subscript"/>
        <sz val="12"/>
        <rFont val="Times New Roman"/>
        <family val="1"/>
      </rPr>
      <t>7</t>
    </r>
    <r>
      <rPr>
        <sz val="12"/>
        <rFont val="Times New Roman"/>
        <family val="1"/>
      </rPr>
      <t>H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</si>
  <si>
    <r>
      <t>C</t>
    </r>
    <r>
      <rPr>
        <b/>
        <vertAlign val="subscript"/>
        <sz val="12"/>
        <color rgb="FF212529"/>
        <rFont val="Times New Roman"/>
        <family val="1"/>
      </rPr>
      <t>7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6</t>
    </r>
    <r>
      <rPr>
        <b/>
        <sz val="12"/>
        <color rgb="FF212529"/>
        <rFont val="Times New Roman"/>
        <family val="1"/>
      </rPr>
      <t>O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11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7</t>
    </r>
    <r>
      <rPr>
        <b/>
        <sz val="12"/>
        <color rgb="FF212529"/>
        <rFont val="Times New Roman"/>
        <family val="1"/>
      </rPr>
      <t>CO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14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2</t>
    </r>
  </si>
  <si>
    <t>H</t>
  </si>
  <si>
    <r>
      <t>C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H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 </t>
    </r>
  </si>
  <si>
    <r>
      <t>C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H</t>
    </r>
    <r>
      <rPr>
        <vertAlign val="subscript"/>
        <sz val="12"/>
        <rFont val="Times New Roman"/>
        <family val="1"/>
      </rPr>
      <t>8</t>
    </r>
    <r>
      <rPr>
        <sz val="12"/>
        <rFont val="Times New Roman"/>
        <family val="1"/>
      </rPr>
      <t xml:space="preserve">O </t>
    </r>
  </si>
  <si>
    <r>
      <t>C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8</t>
    </r>
    <r>
      <rPr>
        <b/>
        <sz val="12"/>
        <color rgb="FF212529"/>
        <rFont val="Times New Roman"/>
        <family val="1"/>
      </rPr>
      <t>O</t>
    </r>
    <r>
      <rPr>
        <b/>
        <sz val="12"/>
        <color theme="1"/>
        <rFont val="Times New Roman"/>
        <family val="1"/>
      </rPr>
      <t> + 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 → C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212529"/>
        <rFont val="Times New Roman"/>
        <family val="1"/>
      </rPr>
      <t>H</t>
    </r>
  </si>
  <si>
    <t>CO</t>
  </si>
  <si>
    <r>
      <t>C</t>
    </r>
    <r>
      <rPr>
        <vertAlign val="sub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14</t>
    </r>
  </si>
  <si>
    <t xml:space="preserve">Hexano </t>
  </si>
  <si>
    <r>
      <t>C</t>
    </r>
    <r>
      <rPr>
        <b/>
        <vertAlign val="sub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> 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6</t>
    </r>
    <r>
      <rPr>
        <b/>
        <sz val="12"/>
        <color theme="1"/>
        <rFont val="Times New Roman"/>
        <family val="1"/>
      </rPr>
      <t>CO + </t>
    </r>
    <r>
      <rPr>
        <b/>
        <sz val="12"/>
        <color rgb="FFFF0000"/>
        <rFont val="Times New Roman"/>
        <family val="1"/>
      </rPr>
      <t>13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</si>
  <si>
    <t>CxHy</t>
  </si>
  <si>
    <t xml:space="preserve">Aceite mineral </t>
  </si>
  <si>
    <t xml:space="preserve">Etanol </t>
  </si>
  <si>
    <r>
      <t> </t>
    </r>
    <r>
      <rPr>
        <sz val="12"/>
        <color rgb="FF222222"/>
        <rFont val="Times New Roman"/>
        <family val="1"/>
      </rPr>
      <t>C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O</t>
    </r>
  </si>
  <si>
    <r>
      <t>H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SiO</t>
    </r>
    <r>
      <rPr>
        <vertAlign val="subscript"/>
        <sz val="12"/>
        <color rgb="FF000000"/>
        <rFont val="Times New Roman"/>
        <family val="1"/>
      </rPr>
      <t>4</t>
    </r>
  </si>
  <si>
    <r>
      <t>SiO</t>
    </r>
    <r>
      <rPr>
        <vertAlign val="subscript"/>
        <sz val="12"/>
        <color rgb="FF222222"/>
        <rFont val="Times New Roman"/>
        <family val="1"/>
      </rPr>
      <t>2</t>
    </r>
  </si>
  <si>
    <t xml:space="preserve">Arena </t>
  </si>
  <si>
    <r>
      <t>SiO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 xml:space="preserve"> + </t>
    </r>
    <r>
      <rPr>
        <b/>
        <sz val="12"/>
        <color rgb="FFFF0000"/>
        <rFont val="Times New Roman"/>
        <family val="1"/>
      </rPr>
      <t xml:space="preserve">2 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 → H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SiO</t>
    </r>
    <r>
      <rPr>
        <b/>
        <vertAlign val="subscript"/>
        <sz val="12"/>
        <color rgb="FF000000"/>
        <rFont val="Times New Roman"/>
        <family val="1"/>
      </rPr>
      <t>4</t>
    </r>
  </si>
  <si>
    <r>
      <t>CaO, SiO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, Al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>, Fe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3</t>
    </r>
    <r>
      <rPr>
        <sz val="12"/>
        <color rgb="FF222222"/>
        <rFont val="Times New Roman"/>
        <family val="1"/>
      </rPr>
      <t xml:space="preserve"> </t>
    </r>
  </si>
  <si>
    <t xml:space="preserve">Cemento </t>
  </si>
  <si>
    <r>
      <t>C</t>
    </r>
    <r>
      <rPr>
        <b/>
        <vertAlign val="subscript"/>
        <sz val="12"/>
        <color rgb="FF000000"/>
        <rFont val="Times New Roman"/>
        <family val="1"/>
      </rPr>
      <t>12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11</t>
    </r>
    <r>
      <rPr>
        <b/>
        <sz val="12"/>
        <color rgb="FF000000"/>
        <rFont val="Times New Roman"/>
        <family val="1"/>
      </rPr>
      <t> +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2 </t>
    </r>
    <r>
      <rPr>
        <b/>
        <sz val="12"/>
        <color rgb="FF000000"/>
        <rFont val="Times New Roman"/>
        <family val="1"/>
      </rPr>
      <t>C</t>
    </r>
    <r>
      <rPr>
        <b/>
        <vertAlign val="subscript"/>
        <sz val="12"/>
        <color rgb="FF000000"/>
        <rFont val="Times New Roman"/>
        <family val="1"/>
      </rPr>
      <t>6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6</t>
    </r>
  </si>
  <si>
    <t>Sal</t>
  </si>
  <si>
    <r>
      <t>NaCl +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  → NaOH + HCl</t>
    </r>
  </si>
  <si>
    <r>
      <t>(C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)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</si>
  <si>
    <t>Éter</t>
  </si>
  <si>
    <r>
      <t>C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8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</si>
  <si>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t>Acetato de etilo</t>
  </si>
  <si>
    <r>
      <t>C</t>
    </r>
    <r>
      <rPr>
        <vertAlign val="subscript"/>
        <sz val="12"/>
        <color rgb="FF222222"/>
        <rFont val="Times New Roman"/>
        <family val="1"/>
      </rPr>
      <t>6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14</t>
    </r>
  </si>
  <si>
    <t>Hexano</t>
  </si>
  <si>
    <r>
      <t>C</t>
    </r>
    <r>
      <rPr>
        <vertAlign val="subscript"/>
        <sz val="12"/>
        <color rgb="FF222222"/>
        <rFont val="Times New Roman"/>
        <family val="1"/>
      </rPr>
      <t>18</t>
    </r>
    <r>
      <rPr>
        <sz val="12"/>
        <color rgb="FF222222"/>
        <rFont val="Times New Roman"/>
        <family val="1"/>
      </rPr>
      <t>H</t>
    </r>
    <r>
      <rPr>
        <vertAlign val="subscript"/>
        <sz val="12"/>
        <color rgb="FF222222"/>
        <rFont val="Times New Roman"/>
        <family val="1"/>
      </rPr>
      <t>34</t>
    </r>
    <r>
      <rPr>
        <sz val="12"/>
        <color rgb="FF222222"/>
        <rFont val="Times New Roman"/>
        <family val="1"/>
      </rPr>
      <t>O</t>
    </r>
    <r>
      <rPr>
        <vertAlign val="subscript"/>
        <sz val="12"/>
        <color rgb="FF222222"/>
        <rFont val="Times New Roman"/>
        <family val="1"/>
      </rPr>
      <t>2</t>
    </r>
  </si>
  <si>
    <r>
      <t>Na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SiO</t>
    </r>
    <r>
      <rPr>
        <vertAlign val="subscript"/>
        <sz val="12"/>
        <color theme="1"/>
        <rFont val="Times New Roman"/>
        <family val="1"/>
      </rPr>
      <t>3</t>
    </r>
  </si>
  <si>
    <t>Silicato sódico</t>
  </si>
  <si>
    <t xml:space="preserve">Sal </t>
  </si>
  <si>
    <r>
      <t>SiO</t>
    </r>
    <r>
      <rPr>
        <vertAlign val="subscript"/>
        <sz val="12"/>
        <color theme="1"/>
        <rFont val="Times New Roman"/>
        <family val="1"/>
      </rPr>
      <t>2</t>
    </r>
  </si>
  <si>
    <r>
      <t>SiO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NaCl +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 →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HCl + Na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SiO</t>
    </r>
    <r>
      <rPr>
        <b/>
        <vertAlign val="subscript"/>
        <sz val="12"/>
        <color rgb="FF000000"/>
        <rFont val="Times New Roman"/>
        <family val="1"/>
      </rPr>
      <t>3</t>
    </r>
  </si>
  <si>
    <r>
      <t>NH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Cl</t>
    </r>
  </si>
  <si>
    <r>
      <t>CaC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4</t>
    </r>
  </si>
  <si>
    <t>Oxalato de calcio </t>
  </si>
  <si>
    <r>
      <t>(NH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)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C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 </t>
    </r>
  </si>
  <si>
    <r>
      <t>CaCl</t>
    </r>
    <r>
      <rPr>
        <vertAlign val="subscript"/>
        <sz val="12"/>
        <color rgb="FF000000"/>
        <rFont val="Times New Roman"/>
        <family val="1"/>
      </rPr>
      <t>2</t>
    </r>
  </si>
  <si>
    <t>Cloruro de Calcio</t>
  </si>
  <si>
    <r>
      <t>(NH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)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C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+ CaCl</t>
    </r>
    <r>
      <rPr>
        <b/>
        <vertAlign val="subscript"/>
        <sz val="12"/>
        <color rgb="FF000000"/>
        <rFont val="Times New Roman"/>
        <family val="1"/>
      </rPr>
      <t>2 </t>
    </r>
    <r>
      <rPr>
        <b/>
        <sz val="12"/>
        <color rgb="FF000000"/>
        <rFont val="Times New Roman"/>
        <family val="1"/>
      </rPr>
      <t>→ CaC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NH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Cl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</si>
  <si>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</t>
    </r>
    <r>
      <rPr>
        <vertAlign val="subscript"/>
        <sz val="12"/>
        <color theme="1"/>
        <rFont val="Times New Roman"/>
        <family val="1"/>
      </rPr>
      <t>2</t>
    </r>
  </si>
  <si>
    <t>CnH2n+2</t>
  </si>
  <si>
    <t xml:space="preserve">Parafina </t>
  </si>
  <si>
    <t xml:space="preserve">Vinagre </t>
  </si>
  <si>
    <r>
      <t>HPO</t>
    </r>
    <r>
      <rPr>
        <vertAlign val="subscript"/>
        <sz val="12"/>
        <color rgb="FF000000"/>
        <rFont val="Times New Roman"/>
        <family val="1"/>
      </rPr>
      <t>4</t>
    </r>
    <r>
      <rPr>
        <vertAlign val="superscript"/>
        <sz val="12"/>
        <color rgb="FF000000"/>
        <rFont val="Times New Roman"/>
        <family val="1"/>
      </rPr>
      <t>2-</t>
    </r>
  </si>
  <si>
    <r>
      <t>PO</t>
    </r>
    <r>
      <rPr>
        <vertAlign val="subscript"/>
        <sz val="12"/>
        <color rgb="FF000000"/>
        <rFont val="Times New Roman"/>
        <family val="1"/>
      </rPr>
      <t>4</t>
    </r>
    <r>
      <rPr>
        <vertAlign val="superscript"/>
        <sz val="12"/>
        <color rgb="FF000000"/>
        <rFont val="Times New Roman"/>
        <family val="1"/>
      </rPr>
      <t>3-</t>
    </r>
  </si>
  <si>
    <t>Fosfato</t>
  </si>
  <si>
    <r>
      <t>HNO</t>
    </r>
    <r>
      <rPr>
        <vertAlign val="subscript"/>
        <sz val="12"/>
        <color rgb="FF000000"/>
        <rFont val="Times New Roman"/>
        <family val="1"/>
      </rPr>
      <t>2</t>
    </r>
  </si>
  <si>
    <r>
      <t>KNO</t>
    </r>
    <r>
      <rPr>
        <vertAlign val="subscript"/>
        <sz val="12"/>
        <color rgb="FF000000"/>
        <rFont val="Times New Roman"/>
        <family val="1"/>
      </rPr>
      <t>2</t>
    </r>
  </si>
  <si>
    <r>
      <t>KNO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+H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0------&gt;KOH+HNO</t>
    </r>
    <r>
      <rPr>
        <b/>
        <vertAlign val="subscript"/>
        <sz val="12"/>
        <color rgb="FF000000"/>
        <rFont val="Times New Roman"/>
        <family val="1"/>
      </rPr>
      <t>2</t>
    </r>
  </si>
  <si>
    <r>
      <t>KNO</t>
    </r>
    <r>
      <rPr>
        <vertAlign val="subscript"/>
        <sz val="12"/>
        <color rgb="FF000000"/>
        <rFont val="Times New Roman"/>
        <family val="1"/>
      </rPr>
      <t>3 </t>
    </r>
  </si>
  <si>
    <r>
      <t>KNO</t>
    </r>
    <r>
      <rPr>
        <b/>
        <vertAlign val="subscript"/>
        <sz val="12"/>
        <rFont val="Times New Roman"/>
        <family val="1"/>
      </rPr>
      <t>3</t>
    </r>
    <r>
      <rPr>
        <b/>
        <sz val="12"/>
        <rFont val="Times New Roman"/>
        <family val="1"/>
      </rPr>
      <t>+H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0------&gt;KOH+HNO</t>
    </r>
    <r>
      <rPr>
        <b/>
        <vertAlign val="subscript"/>
        <sz val="12"/>
        <rFont val="Times New Roman"/>
        <family val="1"/>
      </rPr>
      <t>3</t>
    </r>
  </si>
  <si>
    <t>---</t>
  </si>
  <si>
    <t xml:space="preserve">DBO </t>
  </si>
  <si>
    <t xml:space="preserve">Residuos de DBO </t>
  </si>
  <si>
    <r>
      <t>MgSO</t>
    </r>
    <r>
      <rPr>
        <vertAlign val="subscript"/>
        <sz val="12"/>
        <rFont val="Times New Roman"/>
        <family val="1"/>
      </rPr>
      <t>4</t>
    </r>
  </si>
  <si>
    <t xml:space="preserve">Sulfato de Magnesio </t>
  </si>
  <si>
    <t>FeCl3</t>
  </si>
  <si>
    <t xml:space="preserve">Solución Cloruro de Hierro </t>
  </si>
  <si>
    <t>Solución cloruro de calcio</t>
  </si>
  <si>
    <r>
      <t>H</t>
    </r>
    <r>
      <rPr>
        <vertAlign val="subscript"/>
        <sz val="12"/>
        <color rgb="FF222222"/>
        <rFont val="Times New Roman"/>
        <family val="1"/>
      </rPr>
      <t>2</t>
    </r>
    <r>
      <rPr>
        <sz val="12"/>
        <color rgb="FF222222"/>
        <rFont val="Times New Roman"/>
        <family val="1"/>
      </rPr>
      <t>PO</t>
    </r>
    <r>
      <rPr>
        <vertAlign val="subscript"/>
        <sz val="12"/>
        <color rgb="FF222222"/>
        <rFont val="Times New Roman"/>
        <family val="1"/>
      </rPr>
      <t>4</t>
    </r>
    <r>
      <rPr>
        <sz val="12"/>
        <color rgb="FF222222"/>
        <rFont val="Times New Roman"/>
        <family val="1"/>
      </rPr>
      <t>-</t>
    </r>
  </si>
  <si>
    <t>Solución tampón de fosfato</t>
  </si>
  <si>
    <t>--</t>
  </si>
  <si>
    <t>DQO</t>
  </si>
  <si>
    <t>Viales de DQO</t>
  </si>
  <si>
    <r>
      <t>H</t>
    </r>
    <r>
      <rPr>
        <vertAlign val="subscript"/>
        <sz val="12"/>
        <color rgb="FF000000"/>
        <rFont val="Times New Roman"/>
        <family val="1"/>
      </rPr>
      <t>3</t>
    </r>
  </si>
  <si>
    <r>
      <t>C</t>
    </r>
    <r>
      <rPr>
        <vertAlign val="subscript"/>
        <sz val="11"/>
        <color rgb="FF000000"/>
        <rFont val="Times New Roman"/>
        <family val="1"/>
      </rPr>
      <t>14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14</t>
    </r>
    <r>
      <rPr>
        <sz val="11"/>
        <color rgb="FF000000"/>
        <rFont val="Times New Roman"/>
        <family val="1"/>
      </rPr>
      <t>N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NaO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SCl</t>
    </r>
  </si>
  <si>
    <t>Ácido bencenosulfóclorico</t>
  </si>
  <si>
    <r>
      <t>HCl + C</t>
    </r>
    <r>
      <rPr>
        <b/>
        <vertAlign val="subscript"/>
        <sz val="12"/>
        <color rgb="FF000000"/>
        <rFont val="Times New Roman"/>
        <family val="1"/>
      </rPr>
      <t>14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14</t>
    </r>
    <r>
      <rPr>
        <b/>
        <sz val="12"/>
        <color rgb="FF000000"/>
        <rFont val="Times New Roman"/>
        <family val="1"/>
      </rPr>
      <t>N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NaO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S + 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 → C</t>
    </r>
    <r>
      <rPr>
        <b/>
        <vertAlign val="subscript"/>
        <sz val="12"/>
        <color rgb="FF000000"/>
        <rFont val="Times New Roman"/>
        <family val="1"/>
      </rPr>
      <t>14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14</t>
    </r>
    <r>
      <rPr>
        <b/>
        <sz val="12"/>
        <color rgb="FF000000"/>
        <rFont val="Times New Roman"/>
        <family val="1"/>
      </rPr>
      <t>N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NaO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SCl + H</t>
    </r>
    <r>
      <rPr>
        <b/>
        <vertAlign val="subscript"/>
        <sz val="12"/>
        <color rgb="FF000000"/>
        <rFont val="Times New Roman"/>
        <family val="1"/>
      </rPr>
      <t>3</t>
    </r>
  </si>
  <si>
    <r>
      <t>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CO</t>
    </r>
    <r>
      <rPr>
        <vertAlign val="subscript"/>
        <sz val="12"/>
        <color rgb="FF000000"/>
        <rFont val="Times New Roman"/>
        <family val="1"/>
      </rPr>
      <t>2</t>
    </r>
  </si>
  <si>
    <r>
      <t xml:space="preserve">46 </t>
    </r>
    <r>
      <rPr>
        <b/>
        <sz val="12"/>
        <color rgb="FF000000"/>
        <rFont val="Times New Roman"/>
        <family val="1"/>
      </rPr>
      <t>NaOH+C</t>
    </r>
    <r>
      <rPr>
        <b/>
        <vertAlign val="subscript"/>
        <sz val="12"/>
        <color rgb="FF000000"/>
        <rFont val="Times New Roman"/>
        <family val="1"/>
      </rPr>
      <t>20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14</t>
    </r>
    <r>
      <rPr>
        <b/>
        <sz val="12"/>
        <color rgb="FF000000"/>
        <rFont val="Times New Roman"/>
        <family val="1"/>
      </rPr>
      <t>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-----&gt;</t>
    </r>
    <r>
      <rPr>
        <b/>
        <sz val="12"/>
        <color rgb="FFFF0000"/>
        <rFont val="Times New Roman"/>
        <family val="1"/>
      </rPr>
      <t>10</t>
    </r>
    <r>
      <rPr>
        <b/>
        <sz val="12"/>
        <color rgb="FF000000"/>
        <rFont val="Times New Roman"/>
        <family val="1"/>
      </rPr>
      <t>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O+</t>
    </r>
    <r>
      <rPr>
        <b/>
        <sz val="12"/>
        <color rgb="FFFF0000"/>
        <rFont val="Times New Roman"/>
        <family val="1"/>
      </rPr>
      <t>46</t>
    </r>
    <r>
      <rPr>
        <b/>
        <sz val="12"/>
        <color rgb="FF000000"/>
        <rFont val="Times New Roman"/>
        <family val="1"/>
      </rPr>
      <t> Na +</t>
    </r>
    <r>
      <rPr>
        <b/>
        <sz val="12"/>
        <color rgb="FFFF0000"/>
        <rFont val="Times New Roman"/>
        <family val="1"/>
      </rPr>
      <t>20</t>
    </r>
    <r>
      <rPr>
        <b/>
        <sz val="12"/>
        <color rgb="FF000000"/>
        <rFont val="Times New Roman"/>
        <family val="1"/>
      </rPr>
      <t> 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CO</t>
    </r>
    <r>
      <rPr>
        <b/>
        <vertAlign val="subscript"/>
        <sz val="12"/>
        <color rgb="FF000000"/>
        <rFont val="Times New Roman"/>
        <family val="1"/>
      </rPr>
      <t>2</t>
    </r>
  </si>
  <si>
    <t>NH₄⁺</t>
  </si>
  <si>
    <t>Amonio</t>
  </si>
  <si>
    <r>
      <t>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SO</t>
    </r>
    <r>
      <rPr>
        <vertAlign val="subscript"/>
        <sz val="12"/>
        <color rgb="FF000000"/>
        <rFont val="Times New Roman"/>
        <family val="1"/>
      </rPr>
      <t>4</t>
    </r>
  </si>
  <si>
    <r>
      <t>C</t>
    </r>
    <r>
      <rPr>
        <vertAlign val="subscript"/>
        <sz val="12"/>
        <color rgb="FF000000"/>
        <rFont val="Times New Roman"/>
        <family val="1"/>
      </rPr>
      <t>8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KO</t>
    </r>
    <r>
      <rPr>
        <vertAlign val="subscript"/>
        <sz val="12"/>
        <color rgb="FF000000"/>
        <rFont val="Times New Roman"/>
        <family val="1"/>
      </rPr>
      <t>5</t>
    </r>
  </si>
  <si>
    <t xml:space="preserve">No hay reacción química-Redox </t>
  </si>
  <si>
    <t xml:space="preserve">    Salida    (g)</t>
  </si>
  <si>
    <t xml:space="preserve">    Entrada   (g)</t>
  </si>
  <si>
    <t xml:space="preserve">   Rx1   (g)</t>
  </si>
  <si>
    <t xml:space="preserve">       Entrada          (g)</t>
  </si>
  <si>
    <r>
      <t>Densidad g/cm</t>
    </r>
    <r>
      <rPr>
        <b/>
        <vertAlign val="superscript"/>
        <sz val="12"/>
        <color theme="1"/>
        <rFont val="Times New Roman"/>
        <family val="1"/>
      </rPr>
      <t>3</t>
    </r>
  </si>
  <si>
    <t xml:space="preserve">Bebida alcohólica </t>
  </si>
  <si>
    <t xml:space="preserve">Dihidrógeno </t>
  </si>
  <si>
    <t xml:space="preserve">Monóxido de carbono </t>
  </si>
  <si>
    <t xml:space="preserve">Ácido Nítrico </t>
  </si>
  <si>
    <t>Ión hidronio </t>
  </si>
  <si>
    <t xml:space="preserve">Ácido isopropílico </t>
  </si>
  <si>
    <t xml:space="preserve">Hidrógeno </t>
  </si>
  <si>
    <t xml:space="preserve">Ácido salicílico </t>
  </si>
  <si>
    <t xml:space="preserve">Dióxido de carbono </t>
  </si>
  <si>
    <t xml:space="preserve">Sodio hidrógeno carbonato </t>
  </si>
  <si>
    <t xml:space="preserve">Hidróxido sódico </t>
  </si>
  <si>
    <t xml:space="preserve">Fenoltaleína </t>
  </si>
  <si>
    <t xml:space="preserve">Ácido fórmico </t>
  </si>
  <si>
    <t xml:space="preserve">Carbonato de calcio </t>
  </si>
  <si>
    <t xml:space="preserve">Ácido sulfúrico </t>
  </si>
  <si>
    <t xml:space="preserve">Oxalato de sodio </t>
  </si>
  <si>
    <t xml:space="preserve">Sulfato de potasio </t>
  </si>
  <si>
    <t xml:space="preserve">Sulfato de manganeso </t>
  </si>
  <si>
    <t xml:space="preserve">Sulfato de sodio </t>
  </si>
  <si>
    <t xml:space="preserve">Yoduro de potasio </t>
  </si>
  <si>
    <t xml:space="preserve">Dióxido de nitrógeno </t>
  </si>
  <si>
    <t xml:space="preserve">Dinatrato de zinc </t>
  </si>
  <si>
    <t>Zinc</t>
  </si>
  <si>
    <t xml:space="preserve">Ácido nítrico </t>
  </si>
  <si>
    <t>Óxido nitrógeno</t>
  </si>
  <si>
    <t xml:space="preserve">Alcohol etílico </t>
  </si>
  <si>
    <t xml:space="preserve">Agua oxigenada </t>
  </si>
  <si>
    <t>Oxalato de amonio</t>
  </si>
  <si>
    <t>Guía N° 1: Determinación propiedades físicas masa, peso y volumen</t>
  </si>
  <si>
    <t>Guía N° 3 : Propiedades físicas y químicas de la materia</t>
  </si>
  <si>
    <t xml:space="preserve">No tiene reacción </t>
  </si>
  <si>
    <t>Guía N° 4 :Métodos de separación de mezcla S1: Filtración, centrifugación, extracción, 
decantación y evaporación (Procedimiento 1)</t>
  </si>
  <si>
    <t xml:space="preserve">No tiene reacción química </t>
  </si>
  <si>
    <t>Guía N°6 : Enlaces químicos (Procedimiento 1)</t>
  </si>
  <si>
    <t xml:space="preserve">Agua destilada </t>
  </si>
  <si>
    <t>Guía N° 7: Funciones inorgánicas (Procedimiento 1)</t>
  </si>
  <si>
    <t xml:space="preserve">Reacción preparación del repollo morado </t>
  </si>
  <si>
    <t xml:space="preserve">Reacción química homogénea </t>
  </si>
  <si>
    <t>Guía N°8: Preparación de soluciones (Procedimiento 1)</t>
  </si>
  <si>
    <t xml:space="preserve">El docente asigna la solución </t>
  </si>
  <si>
    <t>Guía N° 8: Enlaces químicos (Procedimiento 5)</t>
  </si>
  <si>
    <t>Ácido nitroso</t>
  </si>
  <si>
    <t>Guía N° 8: Enlaces químicos (Procedimiento 6)</t>
  </si>
  <si>
    <t>Guía N° 9: Reacciones químicas y estequiometría  (Procedimiento 1)</t>
  </si>
  <si>
    <t>Sulfato de cobre</t>
  </si>
  <si>
    <t xml:space="preserve">Dióxido de azufre </t>
  </si>
  <si>
    <t xml:space="preserve">Magnesio meéalico </t>
  </si>
  <si>
    <t xml:space="preserve">Carbonato de sodio </t>
  </si>
  <si>
    <t xml:space="preserve">Cloruro de sodio </t>
  </si>
  <si>
    <t xml:space="preserve">Dioxígeno </t>
  </si>
  <si>
    <t xml:space="preserve">Peróxido de hidrógeno </t>
  </si>
  <si>
    <t xml:space="preserve">Óxido de manganeso </t>
  </si>
  <si>
    <t xml:space="preserve">Hidróxido de potasio </t>
  </si>
  <si>
    <r>
      <t>3</t>
    </r>
    <r>
      <rPr>
        <b/>
        <sz val="12"/>
        <color rgb="FF000000"/>
        <rFont val="Times New Roman"/>
        <family val="1"/>
      </rPr>
      <t xml:space="preserve">Cu + </t>
    </r>
    <r>
      <rPr>
        <b/>
        <sz val="12"/>
        <color rgb="FFFF0000"/>
        <rFont val="Times New Roman"/>
        <family val="1"/>
      </rPr>
      <t>8</t>
    </r>
    <r>
      <rPr>
        <b/>
        <sz val="12"/>
        <color rgb="FF000000"/>
        <rFont val="Times New Roman"/>
        <family val="1"/>
      </rPr>
      <t>HNO</t>
    </r>
    <r>
      <rPr>
        <b/>
        <vertAlign val="subscript"/>
        <sz val="12"/>
        <color rgb="FF000000"/>
        <rFont val="Times New Roman"/>
        <family val="1"/>
      </rPr>
      <t>3 </t>
    </r>
    <r>
      <rPr>
        <b/>
        <sz val="12"/>
        <color rgb="FF000000"/>
        <rFont val="Times New Roman"/>
        <family val="1"/>
      </rPr>
      <t>→ 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Cu(NO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>)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 +</t>
    </r>
    <r>
      <rPr>
        <b/>
        <sz val="12"/>
        <color rgb="FFFF0000"/>
        <rFont val="Times New Roman"/>
        <family val="1"/>
      </rPr>
      <t xml:space="preserve"> 2</t>
    </r>
    <r>
      <rPr>
        <b/>
        <sz val="12"/>
        <color rgb="FF000000"/>
        <rFont val="Times New Roman"/>
        <family val="1"/>
      </rPr>
      <t xml:space="preserve">NO + 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000000"/>
        <rFont val="Times New Roman"/>
        <family val="1"/>
      </rP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 (Reacción Redox)</t>
    </r>
  </si>
  <si>
    <t xml:space="preserve">Permanganato de Potasio </t>
  </si>
  <si>
    <t xml:space="preserve">Guía N°1: Propiedades de los fluidos </t>
  </si>
  <si>
    <t xml:space="preserve">    Salida     (g)</t>
  </si>
  <si>
    <t>Guía N°5: Análisis DBO, DQO y DBO soluble en aguas residuales</t>
  </si>
  <si>
    <t xml:space="preserve">Trihidrógeno </t>
  </si>
  <si>
    <t xml:space="preserve">      Rx1      (g)</t>
  </si>
  <si>
    <t xml:space="preserve">               Rx1                (g)</t>
  </si>
  <si>
    <t xml:space="preserve">Nitrato De potasio </t>
  </si>
  <si>
    <t xml:space="preserve">Nitrito  De potasio </t>
  </si>
  <si>
    <t xml:space="preserve">Nitrato de potasio </t>
  </si>
  <si>
    <t xml:space="preserve">Nitrito  de potasio </t>
  </si>
  <si>
    <t xml:space="preserve">Guía N° 9: Tanque de igualamiento </t>
  </si>
  <si>
    <t xml:space="preserve">Hidróxido </t>
  </si>
  <si>
    <t>Guía N°10: Determinación de nutrientes nitrógeno (Procedimiento1)</t>
  </si>
  <si>
    <t>Guía N°11: Determinación de nutrientes fósforo</t>
  </si>
  <si>
    <t>Guía N° 1: Reaciones expontáneas, celdas galvánicas e hidrólisis</t>
  </si>
  <si>
    <t xml:space="preserve">       Densidad      (g/cm3</t>
  </si>
  <si>
    <t>Guía N° 2:  Medición de metales pesados (As, Pb, Hg y Cd) en agua subterránea con analizador de metales HM1000</t>
  </si>
  <si>
    <t>Guía N°3: pH</t>
  </si>
  <si>
    <t>Guía N° 4:  Construcción electrocoagulador</t>
  </si>
  <si>
    <t xml:space="preserve">      Rx1     (g)</t>
  </si>
  <si>
    <t xml:space="preserve">     Salida   (g)</t>
  </si>
  <si>
    <t>Ácido glicólico</t>
  </si>
  <si>
    <t>Sulfato de Zinc</t>
  </si>
  <si>
    <t xml:space="preserve">   Rx1      (g)</t>
  </si>
  <si>
    <r>
      <t>KMnO</t>
    </r>
    <r>
      <rPr>
        <vertAlign val="subscript"/>
        <sz val="11"/>
        <color theme="1"/>
        <rFont val="Times New Roman"/>
        <family val="1"/>
      </rPr>
      <t>4</t>
    </r>
  </si>
  <si>
    <t>Respel (Dos Clasificaciones)</t>
  </si>
  <si>
    <t>Asignación de tipos de
residuos peligrosos-RESPEL</t>
  </si>
  <si>
    <t xml:space="preserve">DESCRIPCIÓN </t>
  </si>
  <si>
    <t xml:space="preserve">TIPO </t>
  </si>
  <si>
    <t xml:space="preserve">Envases de refrigerantes o SAOs, latas vacías de productos químicos, cilindros o balas de gases vacías y sin presión.
</t>
  </si>
  <si>
    <t xml:space="preserve">Envases y contenedores plásticos que contenían sustancias con características peligrosas, cárpalas vacías, recipientes vacíos de plástico que contenían residuos peligrosos.
</t>
  </si>
  <si>
    <t>Corresponden a equipos contaminados que estuvieron en contacto con sustancias químicas con características de peligro, entre ellos están las neveras, los microondas, balanzas etc, son en particular residuos de
aparatos eléctricos y electrónicos – RAEES contaminados.</t>
  </si>
  <si>
    <t>Corresponde particularmente a las amalgamas de mercurio.</t>
  </si>
  <si>
    <t xml:space="preserve">Corresponde a residuos de metales alcalinos principalmente en estado
sólido, como el litio, el sodio, el potasio y otros no alcalinos pero que por
su carácter son explosivos al contacto con el agua o inflamables en
presencia de fuente de ignición como el magnesio y otros. </t>
  </si>
  <si>
    <t>Corresponde a los otros residuos de metales pesados en estado sólido
que no reaccionan violentamente con el agua o no son inflamables en
presencia de fuente de ignición, pero son de carácter tóxico, como el
manganeso, el plomo, el cromo, la plata, todos los catalizadores (agente activo + promotor) etc.</t>
  </si>
  <si>
    <t>Corresponde a los residuos de hidrocarburo de cadena lineal o ramificada, ni aromática ni cíclica, no contemplados en el Tipos 11 o en el Tipo 12, como: pentano, hexano, decano etc.</t>
  </si>
  <si>
    <t>Corresponde a los residuos de hidrocarburos cíclicos con reemplazos de metal pesado como: 1 plomo - ciclobutano, 1 plomo ciclo pentano entre
otros.</t>
  </si>
  <si>
    <t xml:space="preserve">Corresponde a los residuos de hidrocarburos cíclicos como: ciclo butano, ciclo pentano y ciclo hexano principalmente, </t>
  </si>
  <si>
    <t>Corresponde a residuos de éteres alifáticos, tales como: éter etílico, éter
propílico, éter butílico.</t>
  </si>
  <si>
    <t>Corresponde a residuos de alcoholes aromáticos, tales como el fenol, 1,2 dihidroxifenol, orto metil fenol, 2 fenil etanol, 2 iso rpopil fenol, etc.</t>
  </si>
  <si>
    <t>Corresponde a residuos de aldehídos y cetonas aromáticas, tales como: Benzaldehido, difenilmetanona, acetofenona, p-etil benzaldehído, ptotualdehido, etc</t>
  </si>
  <si>
    <t>Corresponde a residuos de éteres aromáticos, tales como: metoxi
benceno, éter difenilico, 2-metoxi antraceno, éter etilfenilico, etc</t>
  </si>
  <si>
    <t>Corresponde a los residuos de hidróxido de sodio, y a sus soluciones
acuosas en cualquier concentración</t>
  </si>
  <si>
    <t>Corresponde a los residuos de hidróxido de potasio, y a sus soluciones
acuosas en cualquier concentración.</t>
  </si>
  <si>
    <t>Corresponde a los residuos de sales nitrogenadas, principalmente
nitritos y nitratos, o a sus soluciones acuosas.</t>
  </si>
  <si>
    <t>Corresponde a los residuos de sales de azufre, principalmente sulfatos y sulfitos, en estado sólido o a sus soluciones acuosas.</t>
  </si>
  <si>
    <t>Corresponde a las soluciones acuosas de metales pesados,
principalmente los provenientes de cromatógrafos, espectrofotómetros y
otros residuos de equipos de análisis, reveladores y fijadores fotográficos
a base de plata.</t>
  </si>
  <si>
    <t>Corresponde a lodos de recipientes o tanques, limpieza de equipos o
plantas que contengan sustancias halogenadas, aceites usados.</t>
  </si>
  <si>
    <t>Corresponde a lodos de trampas, plantas de tratamiento, lavado de
equipos, tanques o recipientes que contengan metales pesados.</t>
  </si>
  <si>
    <t>Corresponde a lodos provenientes de precipitados de tanques, limpieza
de tuberías, trampas de grasa, plantas de tratamiento y lavado de
equipos, que no estén contemplados en los Tipos 50, 51 o 52.</t>
  </si>
  <si>
    <t>Vidrio refractario, ámbar, verde y vidrio plano que estuvo en contacto con sustancias químicas.</t>
  </si>
  <si>
    <t>Correspondiente a guantes y demás dispositivos con el que se manejó o transportó una sustancia química.</t>
  </si>
  <si>
    <t>Corresponden a resinas poliméricas de carácter peligroso en estado
sólido, como acrílicos, epóxidos, látex, resinas no entrecruzadas o en estado gel.</t>
  </si>
  <si>
    <t xml:space="preserve">Corresponde a sólidos que estuvieron en contacto con mercurio, o fueron contaminados con este metal pesado. Guantes, caretas, tubos de
termómetro, bulbos de manómetros, contactores eléctricos, etc.
</t>
  </si>
  <si>
    <t xml:space="preserve">Corresponde a los residuos de hidrocarburos de cadena lineal o ramificada, ni aromática ni cíclica, que tiene reemplazos de hidrógeno por halógeno.   Corresponde a residuos de: Di cloro etano, cloruro de vinilo, cloruro de alilo, epiclorhidrina, Cloroformo, Tricloroetileno, Tetracloruro de Carbono, Triclorotrifluoretano, Bromometano, CIorometano. </t>
  </si>
  <si>
    <t>Corresponde a los residuos de hidrocarburo de cadena lineal o ramificada, ni aromática ni cíclica, que tiene reemplazos de hidrógeno por metal pesado; todos los antidetonantes como tetra etilo de plomo, de hierro y de cobalto y las gasolinas que los contienen, algunos maltenos y asfaltenos alifáticos.</t>
  </si>
  <si>
    <t>Corresponde a los residuos de hidrocarburos aromáticos, el cual tiene reemplazos de hidrógeno por halógeno, como: cloro benceno, diclorobenceno, todos los PCB, orto, meta y para cloro tolueno; entre otros.</t>
  </si>
  <si>
    <t>Corresponde a los residuos de hidrocarburos aromáticos, el cual tiene
reemplazos de hidrógeno por metal pesado. Particularmente fracciones
pesadas de hidrocarburos tipo maltenos y asfaltenos.</t>
  </si>
  <si>
    <t>Corresponde a residuos de hidrocarburos aromáticos no clasificados ni en el Tipo 14 ni en el Tipo 15, como: benceno, tolueno, xileno, antraceno, naftaleno, pireno, thiner (con más del 50% de tolueno y xileno), residuos de trementina (más del 60% de terpenos y compuestos aromáticos), etc.</t>
  </si>
  <si>
    <t>Corresponde a los residuos de hidrocarburos cíclicos halogenados como: 1 cloro - ciclobutano, 1 cloro ciclo pentano y 1, 2 dicloro ciclo hexano,
etc.</t>
  </si>
  <si>
    <t xml:space="preserve">Corresponde a residuos de alcoholes alifáticos como: metanol, etanol,
propanol, butanol, octano, etc. Isopropanol (IPA), Alcohol amílico,
Alcohol alílico, Etilenglicoles, Polialcoholes. </t>
  </si>
  <si>
    <t>Corresponde a residuos de aldehídos y cetonas alifáticas, tales como:
Formol, acetona, propanaldehido, butanona, acetaldehído, hexanona,
metil butanal.</t>
  </si>
  <si>
    <t>Corresponde a residuos de ácidos carboxílicos alifáticos, tales como:
ácido fórmico, ácido acético, ácido propionico, ácido valerico y ácido
caprilico.</t>
  </si>
  <si>
    <t>Corresponde a residuos de ésteres alifáticos tales como: acetato de etilo, acetato de butilo, acetato de vinilo, propanoato de etilo, propanoato de
butilo.</t>
  </si>
  <si>
    <t>Corresponde a residuos de aminas y amidas alifáticas, tales como:
metilamina, dimetil amina, metil propil amina, metanamida,
propanamida, 3 butanamida, etc.</t>
  </si>
  <si>
    <t>Corresponden a residuos nitrogenados no clasificados en el tipo 25, tales como: Nitrilos, azocompuestos.</t>
  </si>
  <si>
    <t>Corresponde a residuos alifáticos con azufre, tales como: tioles, sulfuros, disulfuros, tioeteres, tioesteres, tiocetonas, etc.</t>
  </si>
  <si>
    <t>Corresponden a los residuos de ésteres aromáticos, tales como: benzoato
de metilo, benzoato de propilo, etc.</t>
  </si>
  <si>
    <t>Corresponde a residuos de aminas y amidas aromáticas, tales como:
anilinas, metilanilinas, benceno carboxamida, difenilamnina, para
toluidina, entre otras.</t>
  </si>
  <si>
    <t>Corresponde a otros residuos aromáticos nitrogenados no clasificados
como Tipo 33, tales como: nitrilos y azo-compuestos aromáticos,
piridina, quinoleina.</t>
  </si>
  <si>
    <t xml:space="preserve">Corresponde a residuos aromáticos con azufre, tales como: ácido
bencensulfonico, derivados del ácido bencelsulfonico, benzo tiofenos, dibenzotiofenos.
</t>
  </si>
  <si>
    <t>Corresponde a los residuos de hidróxido de amonio, y a sus soluciones acuosas en cualquier concentración.</t>
  </si>
  <si>
    <t>Corresponde a residuos alcalinos inorgánicos, y/o sus soluciones acuosas en cualquier concentración. Además, a las mezclas de residuos de los
Tipos 40, 41 y 42.</t>
  </si>
  <si>
    <t>Corresponde a residuos de sales halogenadas de Cloro, Yodo, bromo y
flúor, ya sea la sal sólida o soluciones acuosas.</t>
  </si>
  <si>
    <t>Corresponde a los residuos de cianuro en todas sus formas,
principalmente sus sales y sus soluciones acuosas.</t>
  </si>
  <si>
    <t>Son los residuos de los diferentes tipos de fósforo, blanco, rojo o
amarillo.</t>
  </si>
  <si>
    <t>Corresponden a borras o ripios de tuberías o recipientes, lavado de
equipos, lavados de tanques, lavados de recipientes o trampas de grasa
que tengan hidrocarburos, emulsiones con agua entre otros.</t>
  </si>
  <si>
    <t xml:space="preserve">Gases industriales en recipientes a alta presión, bombonas de baja
presión y aerosoles industriales residuales en su recipiente.
</t>
  </si>
  <si>
    <t>Microscopía</t>
  </si>
  <si>
    <t>Características de los seres vivos</t>
  </si>
  <si>
    <t>Células animales</t>
  </si>
  <si>
    <t xml:space="preserve">Mitosis y meiosis </t>
  </si>
  <si>
    <t>Tejidos humanos</t>
  </si>
  <si>
    <t>Protozoos, hongos y levaduras.</t>
  </si>
  <si>
    <t>Genética</t>
  </si>
  <si>
    <t>Células vegetales</t>
  </si>
  <si>
    <t>Determinación de las propiedades físicas (masa, peso y volumen).</t>
  </si>
  <si>
    <t>Métodos de separación de mezcla S1: Filtración, centrifugación, extracción, decantación y evaporación.</t>
  </si>
  <si>
    <t>Métodos de separación de mezcla S2: Cromatografía y destilación.</t>
  </si>
  <si>
    <t>Preparación de soluciones.</t>
  </si>
  <si>
    <t>Funciones inorgánicas.</t>
  </si>
  <si>
    <t>Enlaces químicos</t>
  </si>
  <si>
    <t>Reacciones químicas y estequiometría.</t>
  </si>
  <si>
    <t>Propiedades físicas y químicas de la materia.</t>
  </si>
  <si>
    <t xml:space="preserve">Test De Jarras </t>
  </si>
  <si>
    <t>Reacciones de aldehídos y cetonas.</t>
  </si>
  <si>
    <t>Reconocimiento de alcoholes y fenoles.</t>
  </si>
  <si>
    <t>Diferencias entre compuestos orgánicos e inorgánicos.</t>
  </si>
  <si>
    <t>Identificación de ácidos carboxílicos y reacciones de esterificación</t>
  </si>
  <si>
    <r>
      <rPr>
        <b/>
        <sz val="12"/>
        <color theme="1"/>
        <rFont val="Times New Roman"/>
        <family val="1"/>
      </rPr>
      <t>Tipo 21-Residuos de aldehídos y cetonas alifáticas: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0,8 ml de formaldehído.</t>
    </r>
  </si>
  <si>
    <r>
      <rPr>
        <b/>
        <sz val="12"/>
        <color theme="1"/>
        <rFont val="Times New Roman"/>
        <family val="1"/>
      </rPr>
      <t>Tipo 11-Residuos de hidrocarburos de cadena lineal o ramificada: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0,46 ml de cloruro de sodio.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</si>
  <si>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0,07 ml de ácido acético.</t>
    </r>
  </si>
  <si>
    <r>
      <rPr>
        <b/>
        <sz val="12"/>
        <color theme="1"/>
        <rFont val="Times New Roman"/>
        <family val="1"/>
      </rPr>
      <t xml:space="preserve">Tipo 21-Residuos de aldehídos y cetonas alifáticas: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0,46 ml de acetona.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</si>
  <si>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0,35 ml de ácido propanoico.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</si>
  <si>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0,43 ml de ácido butírico.</t>
    </r>
  </si>
  <si>
    <t xml:space="preserve">Propiedades de los fluidos </t>
  </si>
  <si>
    <t>Descripción macroscópica y microscópica</t>
  </si>
  <si>
    <t>Curva de crecimiento</t>
  </si>
  <si>
    <t>Características fisicoquímicas y biológicas de la calidad del agua.</t>
  </si>
  <si>
    <t>Determinación de características físicas de agua</t>
  </si>
  <si>
    <t>Test de jarras + alcalinidad</t>
  </si>
  <si>
    <t xml:space="preserve">Caracterización de sustratos orgánicos </t>
  </si>
  <si>
    <t xml:space="preserve">Guía N°1: Caracterización de sustratos orgánicos </t>
  </si>
  <si>
    <t xml:space="preserve">  Masa molar (g/mol)</t>
  </si>
  <si>
    <r>
      <t xml:space="preserve">  Densidad   (g/cm</t>
    </r>
    <r>
      <rPr>
        <b/>
        <vertAlign val="superscript"/>
        <sz val="12"/>
        <color theme="1"/>
        <rFont val="Times New Roman"/>
        <family val="1"/>
      </rPr>
      <t>3</t>
    </r>
  </si>
  <si>
    <t>Ácido dioxo carbónico</t>
  </si>
  <si>
    <t xml:space="preserve">    Salida  (g)</t>
  </si>
  <si>
    <t xml:space="preserve">   Salida  (g)</t>
  </si>
  <si>
    <t>Salida académica para el monitoreo de las aguas residuales del municipio de Restrepo.</t>
  </si>
  <si>
    <t>Neutralización de las aguas residuales y densidad.</t>
  </si>
  <si>
    <t>Análisis DBO, DQO y DBO soluble en aguas residuales.</t>
  </si>
  <si>
    <t>Capacidad de autodepuración.</t>
  </si>
  <si>
    <t xml:space="preserve">Compuestos nitrogenados: Nitratos </t>
  </si>
  <si>
    <t>Tanque de igualamiento.</t>
  </si>
  <si>
    <t>Determinación de nutrientes nitrógeno.</t>
  </si>
  <si>
    <t>Compuestos nitrogenados: Nitratos.</t>
  </si>
  <si>
    <t>Determinación de nutrientes fósforo.</t>
  </si>
  <si>
    <t>pH</t>
  </si>
  <si>
    <t>Medición de metales pesados (As, Pb, Hg y Cd) en agua subterránea con analizador de metales HM1000.</t>
  </si>
  <si>
    <t>Construcción electrocoagulador.</t>
  </si>
  <si>
    <t>Motor Stirling como máquina térmica</t>
  </si>
  <si>
    <t> C6h6o, C3H6O3,C3H8O3, C.I. 42755, excipientes</t>
  </si>
  <si>
    <t>Liquido</t>
  </si>
  <si>
    <t xml:space="preserve">Liquido </t>
  </si>
  <si>
    <t>Corresponde a los residuos de ácido sulfúrico; en todas concentraciones y soluciones acuosas.</t>
  </si>
  <si>
    <r>
      <t xml:space="preserve"> </t>
    </r>
    <r>
      <rPr>
        <sz val="12"/>
        <color theme="1"/>
        <rFont val="Times New Roman"/>
        <family val="1"/>
      </rPr>
      <t>Corresponde a los residuos de ácido clorhídrico; en todas las
concentraciones y soluciones acuosas.</t>
    </r>
  </si>
  <si>
    <t>Corresponde a los residuos de ácido nítrico; en todas las concentraciones y en soluciones acuosas.</t>
  </si>
  <si>
    <t xml:space="preserve">Corresponde a mezclas de los ácidos de los Tipos 36, 37 y 38, a sus soluciones acuosas, a o residuos de otros ácidos inorgánicos, sus
soluciones o sus mezclas. </t>
  </si>
  <si>
    <t xml:space="preserve">Agua de lavados, no es un residuo quimico peligroso. </t>
  </si>
  <si>
    <t xml:space="preserve">Se clasifica, dentro de la cámara de extracción (no se puede capturar el monóxido de carbono) </t>
  </si>
  <si>
    <t>Vaselina no es un residuo peligroso, es una mezcla de Hidro carbónicos, Cadena larga saturados, se pueden quemar o se puede aprobar como combustible, poder calorifico.</t>
  </si>
  <si>
    <t xml:space="preserve">Sacarosa como se clasifica, no se considera un residuo peligroso </t>
  </si>
  <si>
    <t xml:space="preserve">Linea posconsumo, normativa especifica y en aprovechamiento. Catalogado como toxicidad al medio ambiente. </t>
  </si>
  <si>
    <t xml:space="preserve"> 2% de yodo molecular (I2) en etanol (CH3CH2OH) empleada cómo antiséptico.”</t>
  </si>
  <si>
    <r>
      <t>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+ 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 → 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 + 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</si>
  <si>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C</t>
    </r>
    <r>
      <rPr>
        <vertAlign val="sub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2</t>
    </r>
  </si>
  <si>
    <r>
      <t>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</si>
  <si>
    <t xml:space="preserve">Recristalizacion </t>
  </si>
  <si>
    <r>
      <t>CH</t>
    </r>
    <r>
      <rPr>
        <vertAlign val="subscript"/>
        <sz val="12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COOH</t>
    </r>
    <r>
      <rPr>
        <sz val="12"/>
        <color theme="1"/>
        <rFont val="Times New Roman"/>
        <family val="1"/>
      </rPr>
      <t xml:space="preserve"> </t>
    </r>
  </si>
  <si>
    <r>
      <t>C</t>
    </r>
    <r>
      <rPr>
        <vertAlign val="subscript"/>
        <sz val="11"/>
        <color rgb="FF212529"/>
        <rFont val="Times New Roman"/>
        <family val="1"/>
      </rPr>
      <t>2</t>
    </r>
    <r>
      <rPr>
        <sz val="14.5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5</t>
    </r>
    <r>
      <rPr>
        <sz val="14.5"/>
        <color rgb="FF212529"/>
        <rFont val="Times New Roman"/>
        <family val="1"/>
      </rPr>
      <t>OH</t>
    </r>
    <r>
      <rPr>
        <sz val="11"/>
        <color theme="1"/>
        <rFont val="Times New Roman"/>
        <family val="1"/>
      </rPr>
      <t xml:space="preserve"> </t>
    </r>
  </si>
  <si>
    <r>
      <t>SO</t>
    </r>
    <r>
      <rPr>
        <vertAlign val="subscript"/>
        <sz val="11"/>
        <color rgb="FF212529"/>
        <rFont val="Times New Roman"/>
        <family val="1"/>
      </rPr>
      <t>3</t>
    </r>
  </si>
  <si>
    <r>
      <t>CH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COOC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5</t>
    </r>
    <r>
      <rPr>
        <b/>
        <sz val="12"/>
        <color rgb="FF212529"/>
        <rFont val="Times New Roman"/>
        <family val="1"/>
      </rPr>
      <t> + H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SO</t>
    </r>
    <r>
      <rPr>
        <b/>
        <vertAlign val="subscript"/>
        <sz val="12"/>
        <color rgb="FF212529"/>
        <rFont val="Times New Roman"/>
        <family val="1"/>
      </rPr>
      <t>4</t>
    </r>
    <r>
      <rPr>
        <b/>
        <sz val="12"/>
        <color rgb="FF212529"/>
        <rFont val="Times New Roman"/>
        <family val="1"/>
      </rPr>
      <t> → CH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COOH + C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5</t>
    </r>
    <r>
      <rPr>
        <b/>
        <sz val="12"/>
        <color rgb="FF212529"/>
        <rFont val="Times New Roman"/>
        <family val="1"/>
      </rPr>
      <t>OH + SO</t>
    </r>
    <r>
      <rPr>
        <b/>
        <vertAlign val="subscript"/>
        <sz val="12"/>
        <color rgb="FF212529"/>
        <rFont val="Times New Roman"/>
        <family val="1"/>
      </rPr>
      <t>3</t>
    </r>
  </si>
  <si>
    <r>
      <t>CH</t>
    </r>
    <r>
      <rPr>
        <vertAlign val="subscript"/>
        <sz val="12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COOC</t>
    </r>
    <r>
      <rPr>
        <vertAlign val="subscript"/>
        <sz val="12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H</t>
    </r>
    <r>
      <rPr>
        <vertAlign val="subscript"/>
        <sz val="12"/>
        <color rgb="FF212529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</si>
  <si>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0,69 ml de ácido valérico.</t>
    </r>
  </si>
  <si>
    <r>
      <t>3</t>
    </r>
    <r>
      <rPr>
        <b/>
        <sz val="12"/>
        <color rgb="FF212529"/>
        <rFont val="Times New Roman"/>
        <family val="1"/>
      </rPr>
      <t>CH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COCl + </t>
    </r>
    <r>
      <rPr>
        <b/>
        <sz val="12"/>
        <color rgb="FFFF0000"/>
        <rFont val="Times New Roman"/>
        <family val="1"/>
      </rPr>
      <t>5</t>
    </r>
    <r>
      <rPr>
        <b/>
        <sz val="12"/>
        <color rgb="FF212529"/>
        <rFont val="Times New Roman"/>
        <family val="1"/>
      </rPr>
      <t>C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5</t>
    </r>
    <r>
      <rPr>
        <b/>
        <sz val="12"/>
        <color rgb="FF212529"/>
        <rFont val="Times New Roman"/>
        <family val="1"/>
      </rPr>
      <t>OH → </t>
    </r>
    <r>
      <rPr>
        <b/>
        <sz val="12"/>
        <color rgb="FFFF0000"/>
        <rFont val="Times New Roman"/>
        <family val="1"/>
      </rPr>
      <t>4</t>
    </r>
    <r>
      <rPr>
        <b/>
        <sz val="12"/>
        <color rgb="FF212529"/>
        <rFont val="Times New Roman"/>
        <family val="1"/>
      </rPr>
      <t>CH</t>
    </r>
    <r>
      <rPr>
        <b/>
        <vertAlign val="subscript"/>
        <sz val="12"/>
        <color rgb="FF212529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COOHC</t>
    </r>
    <r>
      <rPr>
        <b/>
        <vertAlign val="subscript"/>
        <sz val="12"/>
        <color rgb="FF212529"/>
        <rFont val="Times New Roman"/>
        <family val="1"/>
      </rPr>
      <t>2</t>
    </r>
    <r>
      <rPr>
        <b/>
        <sz val="12"/>
        <color rgb="FF212529"/>
        <rFont val="Times New Roman"/>
        <family val="1"/>
      </rPr>
      <t>H</t>
    </r>
    <r>
      <rPr>
        <b/>
        <vertAlign val="subscript"/>
        <sz val="12"/>
        <color rgb="FF212529"/>
        <rFont val="Times New Roman"/>
        <family val="1"/>
      </rPr>
      <t>5</t>
    </r>
    <r>
      <rPr>
        <b/>
        <sz val="12"/>
        <color rgb="FF212529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212529"/>
        <rFont val="Times New Roman"/>
        <family val="1"/>
      </rPr>
      <t>HCl</t>
    </r>
  </si>
  <si>
    <r>
      <t>CH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COOHC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5</t>
    </r>
  </si>
  <si>
    <r>
      <t>C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8</t>
    </r>
    <r>
      <rPr>
        <b/>
        <sz val="12"/>
        <color theme="1"/>
        <rFont val="Times New Roman"/>
        <family val="1"/>
      </rPr>
      <t>O + CH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COCl → C</t>
    </r>
    <r>
      <rPr>
        <b/>
        <vertAlign val="subscript"/>
        <sz val="12"/>
        <color theme="1"/>
        <rFont val="Times New Roman"/>
        <family val="1"/>
      </rPr>
      <t>5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10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 + HCl </t>
    </r>
  </si>
  <si>
    <r>
      <t>CH</t>
    </r>
    <r>
      <rPr>
        <b/>
        <vertAlign val="subscript"/>
        <sz val="12"/>
        <color theme="1"/>
        <rFont val="Times New Roman"/>
        <family val="1"/>
      </rPr>
      <t>3</t>
    </r>
    <r>
      <rPr>
        <b/>
        <sz val="12"/>
        <color theme="1"/>
        <rFont val="Times New Roman"/>
        <family val="1"/>
      </rPr>
      <t>COCl +  C</t>
    </r>
    <r>
      <rPr>
        <b/>
        <vertAlign val="subscript"/>
        <sz val="12"/>
        <color theme="1"/>
        <rFont val="Times New Roman"/>
        <family val="1"/>
      </rPr>
      <t>4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10</t>
    </r>
    <r>
      <rPr>
        <b/>
        <sz val="12"/>
        <color theme="1"/>
        <rFont val="Times New Roman"/>
        <family val="1"/>
      </rPr>
      <t>O → C</t>
    </r>
    <r>
      <rPr>
        <b/>
        <vertAlign val="sub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12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 + HCl </t>
    </r>
  </si>
  <si>
    <r>
      <t>CH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COCl + C</t>
    </r>
    <r>
      <rPr>
        <b/>
        <vertAlign val="subscript"/>
        <sz val="11"/>
        <color theme="1"/>
        <rFont val="Times New Roman"/>
        <family val="1"/>
      </rPr>
      <t>5</t>
    </r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12</t>
    </r>
    <r>
      <rPr>
        <b/>
        <sz val="11"/>
        <color theme="1"/>
        <rFont val="Times New Roman"/>
        <family val="1"/>
      </rPr>
      <t>O → C</t>
    </r>
    <r>
      <rPr>
        <b/>
        <vertAlign val="subscript"/>
        <sz val="11"/>
        <color theme="1"/>
        <rFont val="Times New Roman"/>
        <family val="1"/>
      </rPr>
      <t>7</t>
    </r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14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 + HCl</t>
    </r>
  </si>
  <si>
    <t xml:space="preserve">Tubo 2 </t>
  </si>
  <si>
    <r>
      <t>C</t>
    </r>
    <r>
      <rPr>
        <b/>
        <vertAlign val="subscript"/>
        <sz val="11"/>
        <color theme="1"/>
        <rFont val="Times New Roman"/>
        <family val="1"/>
      </rPr>
      <t>7</t>
    </r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>O2 + H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 → H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O + C</t>
    </r>
    <r>
      <rPr>
        <b/>
        <vertAlign val="subscript"/>
        <sz val="11"/>
        <color theme="1"/>
        <rFont val="Times New Roman"/>
        <family val="1"/>
      </rPr>
      <t>7</t>
    </r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5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2</t>
    </r>
  </si>
  <si>
    <r>
      <t>C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5</t>
    </r>
    <r>
      <rPr>
        <sz val="14"/>
        <color rgb="FF212529"/>
        <rFont val="Times New Roman"/>
        <family val="1"/>
      </rPr>
      <t>OH + KOH → H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+ C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5</t>
    </r>
    <r>
      <rPr>
        <sz val="14"/>
        <color rgb="FF212529"/>
        <rFont val="Times New Roman"/>
        <family val="1"/>
      </rPr>
      <t>OK</t>
    </r>
  </si>
  <si>
    <t>Butilamina</t>
  </si>
  <si>
    <t>Superóxido de potasio</t>
  </si>
  <si>
    <r>
      <t>C</t>
    </r>
    <r>
      <rPr>
        <sz val="11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10</t>
    </r>
    <r>
      <rPr>
        <sz val="14"/>
        <color rgb="FF212529"/>
        <rFont val="Times New Roman"/>
        <family val="1"/>
      </rPr>
      <t>O + KOH → C</t>
    </r>
    <r>
      <rPr>
        <sz val="11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11</t>
    </r>
    <r>
      <rPr>
        <sz val="14"/>
        <color rgb="FF212529"/>
        <rFont val="Times New Roman"/>
        <family val="1"/>
      </rPr>
      <t> + KO</t>
    </r>
    <r>
      <rPr>
        <sz val="11"/>
        <color rgb="FF212529"/>
        <rFont val="Times New Roman"/>
        <family val="1"/>
      </rPr>
      <t>2</t>
    </r>
  </si>
  <si>
    <t xml:space="preserve">Despues de esas mezclas, se tiene una reaccion y adicionando esto, es para comprobar una prueba positiva para cualquier alcohol. </t>
  </si>
  <si>
    <r>
      <t>C</t>
    </r>
    <r>
      <rPr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8</t>
    </r>
    <r>
      <rPr>
        <sz val="14"/>
        <color rgb="FF212529"/>
        <rFont val="Times New Roman"/>
        <family val="1"/>
      </rPr>
      <t>O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</t>
    </r>
    <r>
      <rPr>
        <sz val="14"/>
        <color rgb="FFFF0000"/>
        <rFont val="Times New Roman"/>
        <family val="1"/>
      </rPr>
      <t>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NaOH → C</t>
    </r>
    <r>
      <rPr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Na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</t>
    </r>
  </si>
  <si>
    <r>
      <t>C</t>
    </r>
    <r>
      <rPr>
        <sz val="11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Na</t>
    </r>
    <r>
      <rPr>
        <sz val="11"/>
        <color rgb="FF212529"/>
        <rFont val="Times New Roman"/>
        <family val="1"/>
      </rPr>
      <t>2</t>
    </r>
  </si>
  <si>
    <t> ZnCl₂ + HCL</t>
  </si>
  <si>
    <t xml:space="preserve">Reactivo de Lucas </t>
  </si>
  <si>
    <t>Prueba Lugol</t>
  </si>
  <si>
    <t>N° de guía</t>
  </si>
  <si>
    <t>Título</t>
  </si>
  <si>
    <r>
      <rPr>
        <b/>
        <sz val="12"/>
        <color theme="1"/>
        <rFont val="Times New Roman"/>
        <family val="1"/>
      </rPr>
      <t>Tipo 40-Residuos de hidróxido de sodio:</t>
    </r>
    <r>
      <rPr>
        <sz val="12"/>
        <color theme="1"/>
        <rFont val="Times New Roman"/>
        <family val="1"/>
      </rPr>
      <t xml:space="preserve"> Correspondiente a  </t>
    </r>
    <r>
      <rPr>
        <u/>
        <sz val="12"/>
        <color theme="1"/>
        <rFont val="Times New Roman"/>
        <family val="1"/>
      </rPr>
      <t>5,15 ml.</t>
    </r>
  </si>
  <si>
    <r>
      <rPr>
        <b/>
        <sz val="12"/>
        <rFont val="Times New Roman"/>
        <family val="1"/>
      </rPr>
      <t>Tipo 38-Residuos de ácido nítrico:</t>
    </r>
    <r>
      <rPr>
        <b/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>85,8 ml de dióxido de nitrógeno.</t>
    </r>
  </si>
  <si>
    <r>
      <rPr>
        <b/>
        <sz val="12"/>
        <rFont val="Times New Roman"/>
        <family val="1"/>
      </rPr>
      <t>Tipo 46-Residuos de sales de azufre: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 xml:space="preserve">0,05 ml de sulfato de calcio.
</t>
    </r>
  </si>
  <si>
    <r>
      <t>Mg</t>
    </r>
    <r>
      <rPr>
        <sz val="12"/>
        <color theme="1"/>
        <rFont val="Times New Roman"/>
        <family val="1"/>
      </rPr>
      <t> + </t>
    </r>
    <r>
      <rPr>
        <b/>
        <sz val="12"/>
        <color rgb="FFFF0000"/>
        <rFont val="Times New Roman"/>
        <family val="1"/>
      </rPr>
      <t>2</t>
    </r>
    <r>
      <rPr>
        <sz val="12"/>
        <color rgb="FFFF0000"/>
        <rFont val="Times New Roman"/>
        <family val="1"/>
      </rPr>
      <t> </t>
    </r>
    <r>
      <rPr>
        <b/>
        <sz val="12"/>
        <color theme="1"/>
        <rFont val="Times New Roman"/>
        <family val="1"/>
      </rPr>
      <t>HCl</t>
    </r>
    <r>
      <rPr>
        <sz val="12"/>
        <color theme="1"/>
        <rFont val="Times New Roman"/>
        <family val="1"/>
      </rPr>
      <t> → </t>
    </r>
    <r>
      <rPr>
        <b/>
        <sz val="12"/>
        <color theme="1"/>
        <rFont val="Times New Roman"/>
        <family val="1"/>
      </rPr>
      <t>MgCl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 + </t>
    </r>
    <r>
      <rPr>
        <b/>
        <sz val="12"/>
        <color theme="1"/>
        <rFont val="Times New Roman"/>
        <family val="1"/>
      </rPr>
      <t>H</t>
    </r>
    <r>
      <rPr>
        <vertAlign val="subscript"/>
        <sz val="12"/>
        <color theme="1"/>
        <rFont val="Times New Roman"/>
        <family val="1"/>
      </rPr>
      <t>2</t>
    </r>
  </si>
  <si>
    <r>
      <rPr>
        <b/>
        <sz val="12"/>
        <color theme="1"/>
        <rFont val="Times New Roman"/>
        <family val="1"/>
      </rPr>
      <t xml:space="preserve">Tipo 41-Residuos de hidróxido de potasio: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0,16 ml.</t>
    </r>
  </si>
  <si>
    <r>
      <rPr>
        <b/>
        <sz val="12"/>
        <color theme="1"/>
        <rFont val="Times New Roman"/>
        <family val="1"/>
      </rPr>
      <t>Tipo 44-Residuos de sales halogenadas: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4,9 ml de yodo.</t>
    </r>
  </si>
  <si>
    <t xml:space="preserve"> (Procedimiento 2)</t>
  </si>
  <si>
    <t xml:space="preserve"> (Procedimiento 3)</t>
  </si>
  <si>
    <t>(Procedimiento 3)</t>
  </si>
  <si>
    <t xml:space="preserve">    Salida   (g)</t>
  </si>
  <si>
    <t xml:space="preserve">   Entrada   (g)</t>
  </si>
  <si>
    <t xml:space="preserve">     Salida     (g)</t>
  </si>
  <si>
    <t xml:space="preserve">   Volumen   (ml)</t>
  </si>
  <si>
    <t xml:space="preserve">  Volumen  (ml)</t>
  </si>
  <si>
    <t>Guía N° 5 : Métodos de separación de mezcla S2: Cromatografía y destilación (Procedimiento 1)</t>
  </si>
  <si>
    <t>Ácido propanoíco</t>
  </si>
  <si>
    <t>No tiene reacción química</t>
  </si>
  <si>
    <r>
      <t>CaO, SiO</t>
    </r>
    <r>
      <rPr>
        <b/>
        <vertAlign val="subscript"/>
        <sz val="12"/>
        <color rgb="FF222222"/>
        <rFont val="Times New Roman"/>
        <family val="1"/>
      </rPr>
      <t>2</t>
    </r>
    <r>
      <rPr>
        <b/>
        <sz val="12"/>
        <color rgb="FF222222"/>
        <rFont val="Times New Roman"/>
        <family val="1"/>
      </rPr>
      <t>, Al</t>
    </r>
    <r>
      <rPr>
        <b/>
        <vertAlign val="subscript"/>
        <sz val="12"/>
        <color rgb="FF222222"/>
        <rFont val="Times New Roman"/>
        <family val="1"/>
      </rPr>
      <t>2</t>
    </r>
    <r>
      <rPr>
        <b/>
        <sz val="12"/>
        <color rgb="FF222222"/>
        <rFont val="Times New Roman"/>
        <family val="1"/>
      </rPr>
      <t>O</t>
    </r>
    <r>
      <rPr>
        <b/>
        <vertAlign val="subscript"/>
        <sz val="12"/>
        <color rgb="FF222222"/>
        <rFont val="Times New Roman"/>
        <family val="1"/>
      </rPr>
      <t>3</t>
    </r>
    <r>
      <rPr>
        <b/>
        <sz val="12"/>
        <color rgb="FF222222"/>
        <rFont val="Times New Roman"/>
        <family val="1"/>
      </rPr>
      <t>, Fe</t>
    </r>
    <r>
      <rPr>
        <b/>
        <vertAlign val="subscript"/>
        <sz val="12"/>
        <color rgb="FF222222"/>
        <rFont val="Times New Roman"/>
        <family val="1"/>
      </rPr>
      <t>2</t>
    </r>
    <r>
      <rPr>
        <b/>
        <sz val="12"/>
        <color rgb="FF222222"/>
        <rFont val="Times New Roman"/>
        <family val="1"/>
      </rPr>
      <t>O</t>
    </r>
    <r>
      <rPr>
        <b/>
        <vertAlign val="subscript"/>
        <sz val="12"/>
        <color rgb="FF222222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 xml:space="preserve"> (entre otros componentes) +H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 xml:space="preserve">0  </t>
    </r>
    <r>
      <rPr>
        <b/>
        <i/>
        <sz val="12"/>
        <color rgb="FF000000"/>
        <rFont val="Times New Roman"/>
        <family val="1"/>
      </rPr>
      <t>No tiene reacción química</t>
    </r>
  </si>
  <si>
    <t>Tiosulfato de sodio</t>
  </si>
  <si>
    <t>(Procedimiento 14)</t>
  </si>
  <si>
    <t>(Procedimiento 13)</t>
  </si>
  <si>
    <t>(Procedimiento 12)</t>
  </si>
  <si>
    <t>(Procedimiento 11)</t>
  </si>
  <si>
    <t>(Procedimiento 10)</t>
  </si>
  <si>
    <t>(Procedimiento 9)</t>
  </si>
  <si>
    <t>(Procedimiento 8)</t>
  </si>
  <si>
    <t xml:space="preserve"> (Procedimiento 7)</t>
  </si>
  <si>
    <t>(Procedimiento 6)</t>
  </si>
  <si>
    <t>(Procedimiento 5)</t>
  </si>
  <si>
    <t>(Procedimiento 4)</t>
  </si>
  <si>
    <t>(Procedimiento 2)</t>
  </si>
  <si>
    <t>No. De guía</t>
  </si>
  <si>
    <t>Guía N°1:  Neutralización de las aguas residuales y densidad  (Procedimiento 1)</t>
  </si>
  <si>
    <t>Guía N° 8: Salida académica para el monitoreo de las aguas residuales del municipio de Restrepo</t>
  </si>
  <si>
    <t>Ión Hidronio</t>
  </si>
  <si>
    <t xml:space="preserve"> Volumen   (ml)</t>
  </si>
  <si>
    <t xml:space="preserve"> (Procedimiento 4)</t>
  </si>
  <si>
    <t xml:space="preserve"> (Procedimiento 5)</t>
  </si>
  <si>
    <t xml:space="preserve"> Volumen  (ml)</t>
  </si>
  <si>
    <t xml:space="preserve">  Entrada   (g)</t>
  </si>
  <si>
    <t xml:space="preserve">  Entrada  (g)</t>
  </si>
  <si>
    <t xml:space="preserve">       Rx1        (g)</t>
  </si>
  <si>
    <r>
      <t xml:space="preserve"> Densidad    (g/cm</t>
    </r>
    <r>
      <rPr>
        <b/>
        <vertAlign val="superscript"/>
        <sz val="12"/>
        <color theme="1"/>
        <rFont val="Times New Roman"/>
        <family val="1"/>
      </rPr>
      <t>3</t>
    </r>
  </si>
  <si>
    <t xml:space="preserve">       Rx1       (g)</t>
  </si>
  <si>
    <t xml:space="preserve">                 Rx1                 (g)</t>
  </si>
  <si>
    <r>
      <t xml:space="preserve">  Densidad    (g/cm</t>
    </r>
    <r>
      <rPr>
        <b/>
        <vertAlign val="superscript"/>
        <sz val="12"/>
        <color theme="1"/>
        <rFont val="Times New Roman"/>
        <family val="1"/>
      </rPr>
      <t>3</t>
    </r>
  </si>
  <si>
    <r>
      <t>Densidad   (g/cm</t>
    </r>
    <r>
      <rPr>
        <b/>
        <vertAlign val="superscript"/>
        <sz val="12"/>
        <color theme="1"/>
        <rFont val="Times New Roman"/>
        <family val="1"/>
      </rPr>
      <t>3</t>
    </r>
  </si>
  <si>
    <t xml:space="preserve">    Entrada  (g)</t>
  </si>
  <si>
    <t xml:space="preserve">                  Rx1                   (g)</t>
  </si>
  <si>
    <t xml:space="preserve">         Salida          (g)</t>
  </si>
  <si>
    <t xml:space="preserve">    Volumen       (ml)</t>
  </si>
  <si>
    <t xml:space="preserve">  Volumen    (ml)</t>
  </si>
  <si>
    <t xml:space="preserve">    Volumen    (ml)</t>
  </si>
  <si>
    <t xml:space="preserve">   Volumen    (ml)</t>
  </si>
  <si>
    <t xml:space="preserve">     Salida       (g)</t>
  </si>
  <si>
    <t xml:space="preserve">   Volumen (ml)</t>
  </si>
  <si>
    <t>Guía N° 7: Compuestos nitrogenados: Nitratos (Procedimiento 1)</t>
  </si>
  <si>
    <t>Guía N° 6: Capacidad de autodepuración</t>
  </si>
  <si>
    <t xml:space="preserve">   Entrada  (g)</t>
  </si>
  <si>
    <r>
      <t xml:space="preserve"> Densidad   (g/cm</t>
    </r>
    <r>
      <rPr>
        <b/>
        <vertAlign val="superscript"/>
        <sz val="12"/>
        <color theme="1"/>
        <rFont val="Times New Roman"/>
        <family val="1"/>
      </rPr>
      <t>3</t>
    </r>
  </si>
  <si>
    <t xml:space="preserve">     Volumen       (ml)</t>
  </si>
  <si>
    <t>Volumen (ml)</t>
  </si>
  <si>
    <t>Preparación de solución (2)</t>
  </si>
  <si>
    <t>Preparación de solución (3)</t>
  </si>
  <si>
    <t>Preparación de solución (4)</t>
  </si>
  <si>
    <t>Preparación de solución (5)</t>
  </si>
  <si>
    <t>Residuo orgánico</t>
  </si>
  <si>
    <r>
      <t xml:space="preserve">Diferenciación de compuestos iónicos </t>
    </r>
    <r>
      <rPr>
        <b/>
        <i/>
        <sz val="12"/>
        <color theme="1"/>
        <rFont val="Times New Roman"/>
        <family val="1"/>
      </rPr>
      <t>(Procedimiento 2)</t>
    </r>
  </si>
  <si>
    <t>Preparación (2)</t>
  </si>
  <si>
    <t>Preparación (3)</t>
  </si>
  <si>
    <t>Preparación (4)</t>
  </si>
  <si>
    <t>Preparación (5)</t>
  </si>
  <si>
    <t>Preparación (6)</t>
  </si>
  <si>
    <t>Diferenciación de compuestos con enlaces iónicos y enlaces covalentes (Procedimiento 3)</t>
  </si>
  <si>
    <t>Prueba 2</t>
  </si>
  <si>
    <t>Prueba 1</t>
  </si>
  <si>
    <t>Prueba 3</t>
  </si>
  <si>
    <r>
      <rPr>
        <b/>
        <sz val="12"/>
        <color theme="1"/>
        <rFont val="Times New Roman"/>
        <family val="1"/>
      </rPr>
      <t>Procedimiento 2-</t>
    </r>
    <r>
      <rPr>
        <sz val="12"/>
        <color theme="1"/>
        <rFont val="Times New Roman"/>
        <family val="1"/>
      </rPr>
      <t xml:space="preserve"> Reacción de azufre</t>
    </r>
  </si>
  <si>
    <t>Hidróxido de Sodio</t>
  </si>
  <si>
    <t>Obtención de una sal</t>
  </si>
  <si>
    <t>Prueba de pH (Tubo 1)</t>
  </si>
  <si>
    <t>Tubo 6</t>
  </si>
  <si>
    <t>Tubo 7</t>
  </si>
  <si>
    <t>Residuos orgánicos</t>
  </si>
  <si>
    <t xml:space="preserve">                   Rx1                  (g)</t>
  </si>
  <si>
    <t>CATALIZADOR</t>
  </si>
  <si>
    <r>
      <t>C</t>
    </r>
    <r>
      <rPr>
        <sz val="11"/>
        <color rgb="FF212529"/>
        <rFont val="Times New Roman"/>
        <family val="1"/>
      </rPr>
      <t>7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6</t>
    </r>
    <r>
      <rPr>
        <sz val="14"/>
        <color rgb="FF212529"/>
        <rFont val="Times New Roman"/>
        <family val="1"/>
      </rPr>
      <t>O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 C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5</t>
    </r>
    <r>
      <rPr>
        <sz val="14"/>
        <color rgb="FF212529"/>
        <rFont val="Times New Roman"/>
        <family val="1"/>
      </rPr>
      <t>OH → C</t>
    </r>
    <r>
      <rPr>
        <sz val="11"/>
        <color rgb="FF212529"/>
        <rFont val="Times New Roman"/>
        <family val="1"/>
      </rPr>
      <t>9</t>
    </r>
    <r>
      <rPr>
        <sz val="14"/>
        <color rgb="FF212529"/>
        <rFont val="Times New Roman"/>
        <family val="1"/>
      </rPr>
      <t>H</t>
    </r>
    <r>
      <rPr>
        <sz val="11"/>
        <color rgb="FF212529"/>
        <rFont val="Times New Roman"/>
        <family val="1"/>
      </rPr>
      <t>10</t>
    </r>
    <r>
      <rPr>
        <sz val="14"/>
        <color rgb="FF212529"/>
        <rFont val="Times New Roman"/>
        <family val="1"/>
      </rPr>
      <t>O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 H</t>
    </r>
    <r>
      <rPr>
        <sz val="11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</t>
    </r>
  </si>
  <si>
    <t xml:space="preserve">Benzoato de etilo </t>
  </si>
  <si>
    <t>H2</t>
  </si>
  <si>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5</t>
    </r>
    <r>
      <rPr>
        <sz val="12"/>
        <color rgb="FF212529"/>
        <rFont val="Times New Roman"/>
        <family val="1"/>
      </rPr>
      <t>OH +</t>
    </r>
    <r>
      <rPr>
        <sz val="12"/>
        <color rgb="FFFF0000"/>
        <rFont val="Times New Roman"/>
        <family val="1"/>
      </rPr>
      <t>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Na →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5</t>
    </r>
    <r>
      <rPr>
        <sz val="12"/>
        <color rgb="FF212529"/>
        <rFont val="Times New Roman"/>
        <family val="1"/>
      </rPr>
      <t>ONa + H</t>
    </r>
    <r>
      <rPr>
        <sz val="9"/>
        <color rgb="FF212529"/>
        <rFont val="Times New Roman"/>
        <family val="1"/>
      </rPr>
      <t>2</t>
    </r>
  </si>
  <si>
    <t> C₂₀H₁₄O₄</t>
  </si>
  <si>
    <r>
      <t>H</t>
    </r>
    <r>
      <rPr>
        <vertAlign val="subscript"/>
        <sz val="9"/>
        <color rgb="FF000000"/>
        <rFont val="Times New Roman"/>
        <family val="1"/>
      </rPr>
      <t>2</t>
    </r>
  </si>
  <si>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8</t>
    </r>
    <r>
      <rPr>
        <sz val="12"/>
        <color rgb="FF212529"/>
        <rFont val="Times New Roman"/>
        <family val="1"/>
      </rPr>
      <t>O +</t>
    </r>
    <r>
      <rPr>
        <sz val="12"/>
        <color rgb="FFFF0000"/>
        <rFont val="Times New Roman"/>
        <family val="1"/>
      </rPr>
      <t>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Na →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7</t>
    </r>
    <r>
      <rPr>
        <sz val="12"/>
        <color rgb="FF212529"/>
        <rFont val="Times New Roman"/>
        <family val="1"/>
      </rPr>
      <t>ONa + H</t>
    </r>
    <r>
      <rPr>
        <sz val="9"/>
        <color rgb="FF212529"/>
        <rFont val="Times New Roman"/>
        <family val="1"/>
      </rPr>
      <t>2</t>
    </r>
  </si>
  <si>
    <r>
      <t>C</t>
    </r>
    <r>
      <rPr>
        <vertAlign val="subscript"/>
        <sz val="11"/>
        <color rgb="FF212529"/>
        <rFont val="Times New Roman"/>
        <family val="1"/>
      </rPr>
      <t>3</t>
    </r>
    <r>
      <rPr>
        <sz val="14.5"/>
        <color rgb="FF212529"/>
        <rFont val="Times New Roman"/>
        <family val="1"/>
      </rPr>
      <t>H</t>
    </r>
    <r>
      <rPr>
        <vertAlign val="subscript"/>
        <sz val="11"/>
        <color rgb="FF212529"/>
        <rFont val="Times New Roman"/>
        <family val="1"/>
      </rPr>
      <t>7</t>
    </r>
    <r>
      <rPr>
        <sz val="14.5"/>
        <color rgb="FF212529"/>
        <rFont val="Times New Roman"/>
        <family val="1"/>
      </rPr>
      <t>ONa</t>
    </r>
  </si>
  <si>
    <t>EVALUAR LA REACCION POSITIVA O NEGATIVA</t>
  </si>
  <si>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4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10</t>
    </r>
    <r>
      <rPr>
        <sz val="12"/>
        <color rgb="FF212529"/>
        <rFont val="Times New Roman"/>
        <family val="1"/>
      </rPr>
      <t>O +</t>
    </r>
    <r>
      <rPr>
        <sz val="12"/>
        <color rgb="FFFF0000"/>
        <rFont val="Times New Roman"/>
        <family val="1"/>
      </rPr>
      <t>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Na →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4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9</t>
    </r>
    <r>
      <rPr>
        <sz val="12"/>
        <color rgb="FF212529"/>
        <rFont val="Times New Roman"/>
        <family val="1"/>
      </rPr>
      <t>ONa + H</t>
    </r>
    <r>
      <rPr>
        <sz val="9"/>
        <color rgb="FF212529"/>
        <rFont val="Times New Roman"/>
        <family val="1"/>
      </rPr>
      <t>2</t>
    </r>
  </si>
  <si>
    <r>
      <t>C</t>
    </r>
    <r>
      <rPr>
        <sz val="7"/>
        <color rgb="FF212529"/>
        <rFont val="Times New Roman"/>
        <family val="1"/>
      </rPr>
      <t>4</t>
    </r>
    <r>
      <rPr>
        <sz val="10"/>
        <color rgb="FF212529"/>
        <rFont val="Times New Roman"/>
        <family val="1"/>
      </rPr>
      <t>H</t>
    </r>
    <r>
      <rPr>
        <sz val="7"/>
        <color rgb="FF212529"/>
        <rFont val="Times New Roman"/>
        <family val="1"/>
      </rPr>
      <t>9</t>
    </r>
    <r>
      <rPr>
        <sz val="10"/>
        <color rgb="FF212529"/>
        <rFont val="Times New Roman"/>
        <family val="1"/>
      </rPr>
      <t>ONa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</si>
  <si>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0,27 ml de ácido acético,</t>
    </r>
  </si>
  <si>
    <r>
      <t>C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​H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​OH+HCl→​C</t>
    </r>
    <r>
      <rPr>
        <vertAlign val="subscript"/>
        <sz val="12"/>
        <color rgb="FF000000"/>
        <rFont val="Times New Roman"/>
        <family val="1"/>
      </rPr>
      <t>2​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​Cl+H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​O (ZnCl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)- Agente Desidratante </t>
    </r>
  </si>
  <si>
    <r>
      <t>C</t>
    </r>
    <r>
      <rPr>
        <sz val="8"/>
        <color rgb="FF000000"/>
        <rFont val="Times New Roman"/>
        <family val="1"/>
      </rPr>
      <t>2</t>
    </r>
    <r>
      <rPr>
        <sz val="1"/>
        <color rgb="FF000000"/>
        <rFont val="Times New Roman"/>
        <family val="1"/>
      </rPr>
      <t>​</t>
    </r>
    <r>
      <rPr>
        <sz val="11"/>
        <color rgb="FF000000"/>
        <rFont val="Times New Roman"/>
        <family val="1"/>
      </rPr>
      <t>H</t>
    </r>
    <r>
      <rPr>
        <sz val="8"/>
        <color rgb="FF000000"/>
        <rFont val="Times New Roman"/>
        <family val="1"/>
      </rPr>
      <t>5</t>
    </r>
    <r>
      <rPr>
        <sz val="1"/>
        <color rgb="FF000000"/>
        <rFont val="Times New Roman"/>
        <family val="1"/>
      </rPr>
      <t>​</t>
    </r>
    <r>
      <rPr>
        <sz val="11"/>
        <color rgb="FF000000"/>
        <rFont val="Times New Roman"/>
        <family val="1"/>
      </rPr>
      <t>Cl</t>
    </r>
  </si>
  <si>
    <r>
      <t>C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H</t>
    </r>
    <r>
      <rPr>
        <vertAlign val="sub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Cl</t>
    </r>
  </si>
  <si>
    <t>Cloro propano</t>
  </si>
  <si>
    <r>
      <t>C</t>
    </r>
    <r>
      <rPr>
        <sz val="9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7</t>
    </r>
    <r>
      <rPr>
        <sz val="12"/>
        <color rgb="FF212529"/>
        <rFont val="Times New Roman"/>
        <family val="1"/>
      </rPr>
      <t>Cl</t>
    </r>
  </si>
  <si>
    <r>
      <t>C</t>
    </r>
    <r>
      <rPr>
        <vertAlign val="subscript"/>
        <sz val="11"/>
        <color rgb="FF000000"/>
        <rFont val="Times New Roman"/>
        <family val="1"/>
      </rPr>
      <t>3​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8</t>
    </r>
    <r>
      <rPr>
        <sz val="11"/>
        <color rgb="FF000000"/>
        <rFont val="Times New Roman"/>
        <family val="1"/>
      </rPr>
      <t>​O+HCl→​C</t>
    </r>
    <r>
      <rPr>
        <vertAlign val="sub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7​</t>
    </r>
    <r>
      <rPr>
        <sz val="11"/>
        <color rgb="FF000000"/>
        <rFont val="Times New Roman"/>
        <family val="1"/>
      </rPr>
      <t>Cl+H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​O (ZnCl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)- Agente Desidratante</t>
    </r>
  </si>
  <si>
    <r>
      <t>C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10</t>
    </r>
    <r>
      <rPr>
        <sz val="11"/>
        <color rgb="FF000000"/>
        <rFont val="Times New Roman"/>
        <family val="1"/>
      </rPr>
      <t>​O+HCl→​C</t>
    </r>
    <r>
      <rPr>
        <vertAlign val="sub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H</t>
    </r>
    <r>
      <rPr>
        <vertAlign val="subscript"/>
        <sz val="11"/>
        <color rgb="FF000000"/>
        <rFont val="Times New Roman"/>
        <family val="1"/>
      </rPr>
      <t>9​</t>
    </r>
    <r>
      <rPr>
        <sz val="11"/>
        <color rgb="FF000000"/>
        <rFont val="Times New Roman"/>
        <family val="1"/>
      </rPr>
      <t>Cl+H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​O (ZnCl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)- Agente Desidratante</t>
    </r>
  </si>
  <si>
    <t xml:space="preserve">Reaccion No Existe, el  Almidon es un Compuesto Grande </t>
  </si>
  <si>
    <t>|Corresponde a ácidos carboxílicos aromáticos, tales como: ácido
benzoico, ácido fenil acético, ácido p-metoxi benzoico, ácido m-nitro
benzoico, ácido ftálico, ácido isoftalico, ácido tereftalico, ácido
naftaleno-1,3,5, tricarboxilico; entre otros.</t>
  </si>
  <si>
    <t>Dióxido de azufre/ Gas  </t>
  </si>
  <si>
    <r>
      <rPr>
        <b/>
        <sz val="12"/>
        <color theme="1"/>
        <rFont val="Times New Roman"/>
        <family val="1"/>
      </rPr>
      <t>Tipo 36-Residuos de ácido sulfúrico</t>
    </r>
    <r>
      <rPr>
        <sz val="12"/>
        <color theme="1"/>
        <rFont val="Times New Roman"/>
        <family val="1"/>
      </rPr>
      <t xml:space="preserve">: Correspondiente a </t>
    </r>
    <r>
      <rPr>
        <u/>
        <sz val="12"/>
        <color theme="1"/>
        <rFont val="Times New Roman"/>
        <family val="1"/>
      </rPr>
      <t>46,97 ml.</t>
    </r>
  </si>
  <si>
    <t>Acetocarmín</t>
  </si>
  <si>
    <r>
      <rPr>
        <b/>
        <sz val="12"/>
        <color theme="1"/>
        <rFont val="Times New Roman"/>
        <family val="1"/>
      </rPr>
      <t>Tipo 28 - Residuos de alcoholes aromáticos</t>
    </r>
    <r>
      <rPr>
        <sz val="12"/>
        <color theme="1"/>
        <rFont val="Times New Roman"/>
        <family val="1"/>
      </rPr>
      <t xml:space="preserve">: Correspondiente a  </t>
    </r>
    <r>
      <rPr>
        <u/>
        <sz val="12"/>
        <color theme="1"/>
        <rFont val="Times New Roman"/>
        <family val="1"/>
      </rPr>
      <t xml:space="preserve">5 ml de Orceína. </t>
    </r>
  </si>
  <si>
    <r>
      <rPr>
        <b/>
        <sz val="12"/>
        <rFont val="Times New Roman"/>
        <family val="1"/>
      </rPr>
      <t>Tipo 36-Residuos de ácido sulfúrico: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 xml:space="preserve">0,07 ml. </t>
    </r>
  </si>
  <si>
    <t xml:space="preserve"> La glucosa no es un residuo peligroso. Compuesto orgánico</t>
  </si>
  <si>
    <t xml:space="preserve">Agua de lavados, no es un residuo químico peligroso. </t>
  </si>
  <si>
    <r>
      <rPr>
        <b/>
        <sz val="12"/>
        <rFont val="Times New Roman"/>
        <family val="1"/>
      </rPr>
      <t>Tipo 40-Residuos de hidróxido de sodio:</t>
    </r>
    <r>
      <rPr>
        <sz val="12"/>
        <rFont val="Times New Roman"/>
        <family val="1"/>
      </rPr>
      <t xml:space="preserve"> Correspondiente a  </t>
    </r>
    <r>
      <rPr>
        <u/>
        <sz val="12"/>
        <rFont val="Times New Roman"/>
        <family val="1"/>
      </rPr>
      <t xml:space="preserve">103 ml. </t>
    </r>
  </si>
  <si>
    <t xml:space="preserve">  Entrada       (g)</t>
  </si>
  <si>
    <t xml:space="preserve">   Entrada         (g)</t>
  </si>
  <si>
    <t>Entrada          (g)</t>
  </si>
  <si>
    <t>H2PNaCaKFe
Vitamina A
Vitamina C 
Proteínas 
Lípidos</t>
  </si>
  <si>
    <r>
      <rPr>
        <b/>
        <sz val="12"/>
        <color rgb="FFFF0000"/>
        <rFont val="Times New Roman"/>
        <family val="1"/>
      </rPr>
      <t>172</t>
    </r>
    <r>
      <rPr>
        <b/>
        <sz val="12"/>
        <color theme="1"/>
        <rFont val="Times New Roman"/>
        <family val="1"/>
      </rPr>
      <t>NaHCO3 + C20H14O4 → </t>
    </r>
    <r>
      <rPr>
        <b/>
        <sz val="12"/>
        <color rgb="FFFF0000"/>
        <rFont val="Times New Roman"/>
        <family val="1"/>
      </rPr>
      <t>86</t>
    </r>
    <r>
      <rPr>
        <b/>
        <sz val="12"/>
        <color theme="1"/>
        <rFont val="Times New Roman"/>
        <family val="1"/>
      </rPr>
      <t>Na2HCO3 + </t>
    </r>
    <r>
      <rPr>
        <b/>
        <sz val="12"/>
        <color rgb="FFFF0000"/>
        <rFont val="Times New Roman"/>
        <family val="1"/>
      </rPr>
      <t>106</t>
    </r>
    <r>
      <rPr>
        <b/>
        <sz val="12"/>
        <color theme="1"/>
        <rFont val="Times New Roman"/>
        <family val="1"/>
      </rPr>
      <t>CO2 + </t>
    </r>
    <r>
      <rPr>
        <b/>
        <sz val="12"/>
        <color rgb="FFFF0000"/>
        <rFont val="Times New Roman"/>
        <family val="1"/>
      </rPr>
      <t>50</t>
    </r>
    <r>
      <rPr>
        <b/>
        <sz val="12"/>
        <rFont val="Times New Roman"/>
        <family val="1"/>
      </rPr>
      <t>H2O </t>
    </r>
  </si>
  <si>
    <t>Rx1                (g)</t>
  </si>
  <si>
    <t>Rx1         (g)</t>
  </si>
  <si>
    <t>Salida      (g)</t>
  </si>
  <si>
    <t>Volumen   (ml)</t>
  </si>
  <si>
    <t>Salida              (g)</t>
  </si>
  <si>
    <t>Volumen                                                        (ml)</t>
  </si>
  <si>
    <t>Rx1                                                    (g)</t>
  </si>
  <si>
    <t>Salida     (g)</t>
  </si>
  <si>
    <r>
      <rPr>
        <b/>
        <sz val="12"/>
        <color theme="1"/>
        <rFont val="Times New Roman"/>
        <family val="1"/>
      </rPr>
      <t>Tipo 30-Residuos ácidos carboxílicos aromáticos: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 xml:space="preserve">0,6 ml de ácido de potasio. </t>
    </r>
  </si>
  <si>
    <t>Ácido de potasio</t>
  </si>
  <si>
    <t>Volmen                          (ml)</t>
  </si>
  <si>
    <t>Salida         (g)</t>
  </si>
  <si>
    <t>Rx1                                (g)</t>
  </si>
  <si>
    <t>Rx1                                                         (g)</t>
  </si>
  <si>
    <t>Salida                               (g)</t>
  </si>
  <si>
    <t>Volumen                  (ml)</t>
  </si>
  <si>
    <t>Volumen                         (ml)</t>
  </si>
  <si>
    <r>
      <rPr>
        <b/>
        <sz val="12"/>
        <color theme="1"/>
        <rFont val="Times New Roman"/>
        <family val="1"/>
      </rPr>
      <t xml:space="preserve">Tipo 46-Residuos de sales de azufre: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462,9 ml tampón fosfato</t>
    </r>
    <r>
      <rPr>
        <sz val="12"/>
        <color theme="1"/>
        <rFont val="Times New Roman"/>
        <family val="1"/>
      </rPr>
      <t>, sales inorgánicas.</t>
    </r>
  </si>
  <si>
    <t>Volumen                        (ml)</t>
  </si>
  <si>
    <r>
      <t>PO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vertAlign val="superscript"/>
        <sz val="12"/>
        <color rgb="FF000000"/>
        <rFont val="Times New Roman"/>
        <family val="1"/>
      </rPr>
      <t xml:space="preserve">3- </t>
    </r>
    <r>
      <rPr>
        <b/>
        <sz val="12"/>
        <color rgb="FF000000"/>
        <rFont val="Times New Roman"/>
        <family val="1"/>
      </rPr>
      <t xml:space="preserve">+ </t>
    </r>
    <r>
      <rPr>
        <b/>
        <sz val="12"/>
        <color theme="1"/>
        <rFont val="Times New Roman"/>
        <family val="1"/>
      </rPr>
      <t>H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O ------&gt; </t>
    </r>
    <r>
      <rPr>
        <b/>
        <sz val="12"/>
        <color rgb="FF000000"/>
        <rFont val="Times New Roman"/>
        <family val="1"/>
      </rPr>
      <t>OH + HPO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vertAlign val="superscript"/>
        <sz val="12"/>
        <color rgb="FF000000"/>
        <rFont val="Times New Roman"/>
        <family val="1"/>
      </rPr>
      <t>2-</t>
    </r>
  </si>
  <si>
    <t>Salida             (g)</t>
  </si>
  <si>
    <t>Volumen      (ml)</t>
  </si>
  <si>
    <t>Entrada        (g)</t>
  </si>
  <si>
    <t xml:space="preserve">      No tiene reacción química </t>
  </si>
  <si>
    <t>Entrada              (g)</t>
  </si>
  <si>
    <t>Rx1                     (g)</t>
  </si>
  <si>
    <t>Entrada       (g)</t>
  </si>
  <si>
    <r>
      <rPr>
        <b/>
        <sz val="12"/>
        <color theme="1"/>
        <rFont val="Times New Roman"/>
        <family val="1"/>
      </rPr>
      <t xml:space="preserve">Tipo 21-Residuos de aldehídos y cetonas alifáticas: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6,37 ml de acetona.</t>
    </r>
  </si>
  <si>
    <t xml:space="preserve">Genera almidón por lo cual es un azúcar y no es peligroso, solo generaría las trazas de hidróxido de potasio. </t>
  </si>
  <si>
    <t xml:space="preserve">                    Rx1                    (g)</t>
  </si>
  <si>
    <t xml:space="preserve">              Volumen              (ml)</t>
  </si>
  <si>
    <t xml:space="preserve">         Rx1        (g)</t>
  </si>
  <si>
    <t xml:space="preserve">                    Rx1                   (g)</t>
  </si>
  <si>
    <t xml:space="preserve">              Volumen               (ml)</t>
  </si>
  <si>
    <t xml:space="preserve">        Rx1       (g)</t>
  </si>
  <si>
    <t xml:space="preserve">                             Rx1                             (g)</t>
  </si>
  <si>
    <t xml:space="preserve">                  Salida                 (g)</t>
  </si>
  <si>
    <t xml:space="preserve">                   Volumen                    (ml)</t>
  </si>
  <si>
    <t xml:space="preserve">                   Rx1                   (g)</t>
  </si>
  <si>
    <t xml:space="preserve">             Volumen              (ml)</t>
  </si>
  <si>
    <t xml:space="preserve">              Volumen            (ml)</t>
  </si>
  <si>
    <t>No hay reacción química</t>
  </si>
  <si>
    <t xml:space="preserve">Acido nítrico </t>
  </si>
  <si>
    <t xml:space="preserve">Dióxido de Carbono </t>
  </si>
  <si>
    <t xml:space="preserve">                            Rx1                              (g)</t>
  </si>
  <si>
    <t xml:space="preserve">              Salida                (g)</t>
  </si>
  <si>
    <t xml:space="preserve">                    Volumen                    (ml)</t>
  </si>
  <si>
    <t xml:space="preserve">                   Rx1                    (g)</t>
  </si>
  <si>
    <t xml:space="preserve">         Salida        (g)</t>
  </si>
  <si>
    <t xml:space="preserve">      Volumen       (ml)</t>
  </si>
  <si>
    <r>
      <t>C</t>
    </r>
    <r>
      <rPr>
        <sz val="9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5</t>
    </r>
    <r>
      <rPr>
        <sz val="12"/>
        <color rgb="FF212529"/>
        <rFont val="Times New Roman"/>
        <family val="1"/>
      </rPr>
      <t>OK</t>
    </r>
  </si>
  <si>
    <t xml:space="preserve">     Entrada      (g)</t>
  </si>
  <si>
    <t>C9H10O2</t>
  </si>
  <si>
    <t xml:space="preserve">Ácido acético </t>
  </si>
  <si>
    <r>
      <rPr>
        <b/>
        <sz val="12"/>
        <color theme="1"/>
        <rFont val="Times New Roman"/>
        <family val="1"/>
      </rPr>
      <t>Tipo 20-Residuos de alcoholes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316,8 ml de alcohol etílico.</t>
    </r>
  </si>
  <si>
    <r>
      <rPr>
        <b/>
        <sz val="12"/>
        <color theme="1"/>
        <rFont val="Times New Roman"/>
        <family val="1"/>
      </rPr>
      <t xml:space="preserve">Tipo 44-Residuos de sales halogenados: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0,05 ml de yodo.</t>
    </r>
  </si>
  <si>
    <r>
      <rPr>
        <b/>
        <sz val="12"/>
        <color theme="1"/>
        <rFont val="Times New Roman"/>
        <family val="1"/>
      </rPr>
      <t xml:space="preserve">Tipo 11- Residuos de hidrocarburos: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9,53  ml de cloruro de amonio.</t>
    </r>
  </si>
  <si>
    <r>
      <rPr>
        <b/>
        <sz val="12"/>
        <color theme="1"/>
        <rFont val="Times New Roman"/>
        <family val="1"/>
      </rPr>
      <t xml:space="preserve">Tipo 11-Residuos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26,3 ml de cloruro de hidrógeno.</t>
    </r>
  </si>
  <si>
    <r>
      <rPr>
        <b/>
        <sz val="12"/>
        <rFont val="Times New Roman"/>
        <family val="1"/>
      </rPr>
      <t xml:space="preserve">Tipo 20-Residuos de alcoholes alifáticos: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>23,8 ml de etanol.</t>
    </r>
  </si>
  <si>
    <t>Clasificación</t>
  </si>
  <si>
    <r>
      <rPr>
        <b/>
        <sz val="12"/>
        <color theme="1"/>
        <rFont val="Times New Roman"/>
        <family val="1"/>
      </rPr>
      <t>Tipo 40-Residuos de hidróxido de sodio: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2,65 ml Hidroxitetradecanoilcarnitina.</t>
    </r>
  </si>
  <si>
    <r>
      <rPr>
        <b/>
        <sz val="12"/>
        <color theme="1"/>
        <rFont val="Times New Roman"/>
        <family val="1"/>
      </rPr>
      <t xml:space="preserve">Tipo 40-Residuos de hidróxido de sodio: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2,06 ml.</t>
    </r>
  </si>
  <si>
    <r>
      <rPr>
        <b/>
        <sz val="12"/>
        <color theme="1"/>
        <rFont val="Times New Roman"/>
        <family val="1"/>
      </rPr>
      <t xml:space="preserve">Tipo 11-Residuos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3,72 ml de cloruro de sodio.</t>
    </r>
  </si>
  <si>
    <r>
      <rPr>
        <b/>
        <sz val="12"/>
        <color theme="1"/>
        <rFont val="Times New Roman"/>
        <family val="1"/>
      </rPr>
      <t xml:space="preserve">Tipo 11-Residuos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4,46 ml de cloruro de hidrógeno.</t>
    </r>
  </si>
  <si>
    <r>
      <rPr>
        <b/>
        <sz val="12"/>
        <color theme="1"/>
        <rFont val="Times New Roman"/>
        <family val="1"/>
      </rPr>
      <t xml:space="preserve">Tipo 11-Residuos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 xml:space="preserve">17,85 ml de cloruro de hidrógeno. </t>
    </r>
  </si>
  <si>
    <r>
      <rPr>
        <b/>
        <sz val="12"/>
        <color theme="1"/>
        <rFont val="Times New Roman"/>
        <family val="1"/>
      </rPr>
      <t>Tipo 11-Residuos de hidrocarburos de cadena lineal: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 xml:space="preserve">0,44 ml de cloruro de hidrógeno 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</si>
  <si>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Tipo 40-Residuos de hidróxido de sodio:</t>
    </r>
    <r>
      <rPr>
        <sz val="12"/>
        <color theme="1"/>
        <rFont val="Times New Roman"/>
        <family val="1"/>
      </rPr>
      <t xml:space="preserve"> Correspondiente a  </t>
    </r>
    <r>
      <rPr>
        <u/>
        <sz val="12"/>
        <color theme="1"/>
        <rFont val="Times New Roman"/>
        <family val="1"/>
      </rPr>
      <t>0,51 ml.</t>
    </r>
  </si>
  <si>
    <r>
      <rPr>
        <b/>
        <sz val="12"/>
        <color theme="1"/>
        <rFont val="Times New Roman"/>
        <family val="1"/>
      </rPr>
      <t xml:space="preserve">Tipo 40-Residuos de hidróxido de sodio: </t>
    </r>
    <r>
      <rPr>
        <sz val="12"/>
        <color theme="1"/>
        <rFont val="Times New Roman"/>
        <family val="1"/>
      </rPr>
      <t xml:space="preserve">Correspondiente a  </t>
    </r>
    <r>
      <rPr>
        <u/>
        <sz val="12"/>
        <color theme="1"/>
        <rFont val="Times New Roman"/>
        <family val="1"/>
      </rPr>
      <t>3,09 ml.</t>
    </r>
  </si>
  <si>
    <r>
      <t>Tipo 38-Residuos de ácido nítrico: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6,62 ml.</t>
    </r>
  </si>
  <si>
    <r>
      <rPr>
        <b/>
        <sz val="12"/>
        <rFont val="Times New Roman"/>
        <family val="1"/>
      </rPr>
      <t xml:space="preserve">Tipo 46-Residuos de sales de azufre, principalmente sulfatos y sulfitos: </t>
    </r>
    <r>
      <rPr>
        <sz val="12"/>
        <rFont val="Times New Roman"/>
        <family val="1"/>
      </rPr>
      <t xml:space="preserve">Corespondiente a </t>
    </r>
    <r>
      <rPr>
        <u/>
        <sz val="12"/>
        <rFont val="Times New Roman"/>
        <family val="1"/>
      </rPr>
      <t>6,94 ml sulfato de cobre.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</si>
  <si>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Tipo 11-Residuos de hidrocarburos de cadena lineal o ramificada: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 xml:space="preserve">2,84 ml de cloruro de magnesio. </t>
    </r>
  </si>
  <si>
    <r>
      <rPr>
        <b/>
        <sz val="12"/>
        <rFont val="Times New Roman"/>
        <family val="1"/>
      </rPr>
      <t xml:space="preserve">Tipo 11-Residuos de hidrocarburos de cadena lineal o ramificada: </t>
    </r>
    <r>
      <rPr>
        <sz val="12"/>
        <rFont val="Times New Roman"/>
        <family val="1"/>
      </rPr>
      <t>Correspondiente a 1</t>
    </r>
    <r>
      <rPr>
        <u/>
        <sz val="12"/>
        <rFont val="Times New Roman"/>
        <family val="1"/>
      </rPr>
      <t>,59 ml de cloruro de sodio.</t>
    </r>
  </si>
  <si>
    <r>
      <rPr>
        <b/>
        <sz val="12"/>
        <rFont val="Times New Roman"/>
        <family val="1"/>
      </rPr>
      <t>Tipo 46-Residuos de sales de azufre:</t>
    </r>
    <r>
      <rPr>
        <sz val="12"/>
        <rFont val="Times New Roman"/>
        <family val="1"/>
      </rPr>
      <t xml:space="preserve"> Corespondiente a </t>
    </r>
    <r>
      <rPr>
        <u/>
        <sz val="12"/>
        <rFont val="Times New Roman"/>
        <family val="1"/>
      </rPr>
      <t>0,27</t>
    </r>
    <r>
      <rPr>
        <sz val="12"/>
        <rFont val="Times New Roman"/>
        <family val="1"/>
      </rPr>
      <t xml:space="preserve"> </t>
    </r>
    <r>
      <rPr>
        <u/>
        <sz val="12"/>
        <rFont val="Times New Roman"/>
        <family val="1"/>
      </rPr>
      <t xml:space="preserve">ml de sulfato de manganeso.
</t>
    </r>
  </si>
  <si>
    <r>
      <rPr>
        <b/>
        <sz val="12"/>
        <color theme="1"/>
        <rFont val="Times New Roman"/>
        <family val="1"/>
      </rPr>
      <t>Tipo 45-Residuos de sales nitrogenadas: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0,24 ml de nitrato de cobre</t>
    </r>
    <r>
      <rPr>
        <sz val="12"/>
        <color theme="1"/>
        <rFont val="Times New Roman"/>
        <family val="1"/>
      </rPr>
      <t xml:space="preserve">.
</t>
    </r>
  </si>
  <si>
    <r>
      <rPr>
        <b/>
        <sz val="12"/>
        <rFont val="Times New Roman"/>
        <family val="1"/>
      </rPr>
      <t xml:space="preserve">Tipo 46-Residuos de sales de azufre: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 xml:space="preserve">0,32 ml  de sulfato de sodio.
</t>
    </r>
  </si>
  <si>
    <r>
      <rPr>
        <b/>
        <sz val="12"/>
        <color theme="1"/>
        <rFont val="Times New Roman"/>
        <family val="1"/>
      </rPr>
      <t xml:space="preserve">Tipo 20- Residuos de alcoholes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12,67  ml de etanol.</t>
    </r>
  </si>
  <si>
    <r>
      <rPr>
        <b/>
        <sz val="12"/>
        <color theme="1"/>
        <rFont val="Times New Roman"/>
        <family val="1"/>
      </rPr>
      <t>Tipo 20-Residuos de alcoholes alifáticos:</t>
    </r>
    <r>
      <rPr>
        <sz val="12"/>
        <color theme="1"/>
        <rFont val="Times New Roman"/>
        <family val="1"/>
      </rPr>
      <t xml:space="preserve"> Correspondiente a</t>
    </r>
    <r>
      <rPr>
        <u/>
        <sz val="12"/>
        <color theme="1"/>
        <rFont val="Times New Roman"/>
        <family val="1"/>
      </rPr>
      <t xml:space="preserve"> 31,68  ml de etanol.</t>
    </r>
  </si>
  <si>
    <r>
      <rPr>
        <b/>
        <sz val="12"/>
        <rFont val="Times New Roman"/>
        <family val="1"/>
      </rPr>
      <t xml:space="preserve">Tipo 20- Residuos de alcoholes alifáticos: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>11,11  ml de alcohol etílico.</t>
    </r>
  </si>
  <si>
    <r>
      <rPr>
        <b/>
        <sz val="12"/>
        <color theme="1"/>
        <rFont val="Times New Roman"/>
        <family val="1"/>
      </rPr>
      <t xml:space="preserve">Tipo 20-Residuos de alcoholes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106,38  ml de alcohol.</t>
    </r>
  </si>
  <si>
    <r>
      <rPr>
        <b/>
        <sz val="12"/>
        <color theme="1"/>
        <rFont val="Times New Roman"/>
        <family val="1"/>
      </rPr>
      <t>Tipo 11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Residuos de hidrocarburos: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10,63 ml de cloruro de hidrógeno.</t>
    </r>
  </si>
  <si>
    <r>
      <rPr>
        <b/>
        <sz val="12"/>
        <color theme="1"/>
        <rFont val="Times New Roman"/>
        <family val="1"/>
      </rPr>
      <t xml:space="preserve">Tipo 13-Residuos de hidrocarburo: </t>
    </r>
    <r>
      <rPr>
        <sz val="12"/>
        <color theme="1"/>
        <rFont val="Times New Roman"/>
        <family val="1"/>
      </rPr>
      <t>Correspondiente a</t>
    </r>
    <r>
      <rPr>
        <b/>
        <sz val="12"/>
        <color theme="1"/>
        <rFont val="Times New Roman"/>
        <family val="1"/>
      </rPr>
      <t xml:space="preserve"> </t>
    </r>
    <r>
      <rPr>
        <u/>
        <sz val="12"/>
        <color theme="1"/>
        <rFont val="Times New Roman"/>
        <family val="1"/>
      </rPr>
      <t>15,38 ml de hexano.</t>
    </r>
  </si>
  <si>
    <t xml:space="preserve">Ácido tetraoxosilícico </t>
  </si>
  <si>
    <r>
      <rPr>
        <b/>
        <sz val="12"/>
        <color theme="1"/>
        <rFont val="Times New Roman"/>
        <family val="1"/>
      </rPr>
      <t xml:space="preserve">Tipo 39-Residuos de ácidos inorgánicos: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5,55 ml de ácido tetraoxosilícico</t>
    </r>
    <r>
      <rPr>
        <sz val="12"/>
        <color theme="1"/>
        <rFont val="Times New Roman"/>
        <family val="1"/>
      </rPr>
      <t>.</t>
    </r>
  </si>
  <si>
    <r>
      <rPr>
        <b/>
        <sz val="12"/>
        <rFont val="Times New Roman"/>
        <family val="1"/>
      </rPr>
      <t>Tipo 45-Residuos de sales nitrogenadas, principalmente 
nitritos y nitratos</t>
    </r>
    <r>
      <rPr>
        <sz val="12"/>
        <rFont val="Times New Roman"/>
        <family val="1"/>
      </rPr>
      <t xml:space="preserve">: Correspondiente a </t>
    </r>
    <r>
      <rPr>
        <u/>
        <sz val="12"/>
        <rFont val="Times New Roman"/>
        <family val="1"/>
      </rPr>
      <t>1,3 ml de nitrato.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</si>
  <si>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>Tipo 45-Residuos de sales nitrogenada</t>
    </r>
    <r>
      <rPr>
        <sz val="12"/>
        <rFont val="Times New Roman"/>
        <family val="1"/>
      </rPr>
      <t xml:space="preserve">: Correspondiente a </t>
    </r>
    <r>
      <rPr>
        <u/>
        <sz val="12"/>
        <rFont val="Times New Roman"/>
        <family val="1"/>
      </rPr>
      <t xml:space="preserve">0,43 ml de nitrato.
</t>
    </r>
  </si>
  <si>
    <r>
      <rPr>
        <b/>
        <sz val="12"/>
        <rFont val="Times New Roman"/>
        <family val="1"/>
      </rPr>
      <t xml:space="preserve">Tipo 45-Residuos de sales nitrogenadas: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 xml:space="preserve">2,46 ml de nitrato de cobre.
</t>
    </r>
  </si>
  <si>
    <r>
      <rPr>
        <b/>
        <sz val="12"/>
        <rFont val="Times New Roman"/>
        <family val="1"/>
      </rPr>
      <t>Tipo 22-Residuos de ácidos carboxílicos alifáticos:</t>
    </r>
    <r>
      <rPr>
        <sz val="12"/>
        <rFont val="Times New Roman"/>
        <family val="1"/>
      </rPr>
      <t xml:space="preserve"> Correspondiente a  </t>
    </r>
    <r>
      <rPr>
        <u/>
        <sz val="12"/>
        <rFont val="Times New Roman"/>
        <family val="1"/>
      </rPr>
      <t>0,44 ml de ácido carbónico.</t>
    </r>
  </si>
  <si>
    <r>
      <rPr>
        <b/>
        <sz val="12"/>
        <rFont val="Times New Roman"/>
        <family val="1"/>
      </rPr>
      <t>Tipo 40-Residuos de hidróxido de sodio</t>
    </r>
    <r>
      <rPr>
        <sz val="12"/>
        <rFont val="Times New Roman"/>
        <family val="1"/>
      </rPr>
      <t xml:space="preserve">: Correspondiente a </t>
    </r>
    <r>
      <rPr>
        <u/>
        <sz val="12"/>
        <rFont val="Times New Roman"/>
        <family val="1"/>
      </rPr>
      <t>4,26  ml.</t>
    </r>
  </si>
  <si>
    <r>
      <rPr>
        <b/>
        <sz val="12"/>
        <rFont val="Times New Roman"/>
        <family val="1"/>
      </rPr>
      <t>Tipo 38-Residuos de ácido nítrico: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12 ml.</t>
    </r>
  </si>
  <si>
    <r>
      <rPr>
        <b/>
        <sz val="12"/>
        <color theme="1"/>
        <rFont val="Times New Roman"/>
        <family val="1"/>
      </rPr>
      <t xml:space="preserve">Tipo 46-Residuos de sales de azufre: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0,75 ml de sulfato</t>
    </r>
    <r>
      <rPr>
        <sz val="12"/>
        <color theme="1"/>
        <rFont val="Times New Roman"/>
        <family val="1"/>
      </rPr>
      <t xml:space="preserve">.
</t>
    </r>
  </si>
  <si>
    <r>
      <rPr>
        <b/>
        <sz val="12"/>
        <rFont val="Times New Roman"/>
        <family val="1"/>
      </rPr>
      <t>Tipo 46-Residuos de sales de azufre: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0,53 ml de sulfato de potasio.</t>
    </r>
  </si>
  <si>
    <r>
      <rPr>
        <b/>
        <sz val="12"/>
        <color theme="1"/>
        <rFont val="Times New Roman"/>
        <family val="1"/>
      </rPr>
      <t xml:space="preserve">Tipo 20-Residuos de alcoholes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1,39 ml de metanol.</t>
    </r>
  </si>
  <si>
    <r>
      <rPr>
        <b/>
        <sz val="12"/>
        <color theme="1"/>
        <rFont val="Times New Roman"/>
        <family val="1"/>
      </rPr>
      <t xml:space="preserve">Tipo 22-Residuos de ácidos carboxílicos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0,85 ml de ácido glicólico.</t>
    </r>
  </si>
  <si>
    <r>
      <rPr>
        <b/>
        <sz val="12"/>
        <color theme="1"/>
        <rFont val="Times New Roman"/>
        <family val="1"/>
      </rPr>
      <t>Tipo 21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Residuos de aldehídos y cetonas alifáticas: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 xml:space="preserve">1,42 ml de metanodiol. </t>
    </r>
  </si>
  <si>
    <r>
      <rPr>
        <b/>
        <sz val="12"/>
        <color theme="1"/>
        <rFont val="Times New Roman"/>
        <family val="1"/>
      </rPr>
      <t xml:space="preserve">Tipo 31-Residuos de ésteres aromáticos: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0,03 ml ión benzoato.</t>
    </r>
  </si>
  <si>
    <t>Ión benzoato</t>
  </si>
  <si>
    <r>
      <rPr>
        <b/>
        <sz val="12"/>
        <color theme="1"/>
        <rFont val="Times New Roman"/>
        <family val="1"/>
      </rPr>
      <t xml:space="preserve">Tipo 31- Residuos de ésteres aromáticos: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1,32 ml ión benzoato.</t>
    </r>
  </si>
  <si>
    <r>
      <rPr>
        <b/>
        <sz val="12"/>
        <color theme="1"/>
        <rFont val="Times New Roman"/>
        <family val="1"/>
      </rPr>
      <t xml:space="preserve">Tipo 40-Residuos de hidróxido de sodio: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1,63 ml.</t>
    </r>
  </si>
  <si>
    <t>Dihidroxiacetona de sodio</t>
  </si>
  <si>
    <r>
      <t>Tipo 25- Residuos de aminas y amidas alifáticas</t>
    </r>
    <r>
      <rPr>
        <sz val="12"/>
        <color theme="1"/>
        <rFont val="Times New Roman"/>
        <family val="1"/>
      </rPr>
      <t xml:space="preserve">:Correspondiente a </t>
    </r>
    <r>
      <rPr>
        <u/>
        <sz val="12"/>
        <color theme="1"/>
        <rFont val="Times New Roman"/>
        <family val="1"/>
      </rPr>
      <t>0,76 ml de butilamina</t>
    </r>
    <r>
      <rPr>
        <sz val="12"/>
        <color theme="1"/>
        <rFont val="Times New Roman"/>
        <family val="1"/>
      </rPr>
      <t xml:space="preserve">. </t>
    </r>
  </si>
  <si>
    <r>
      <rPr>
        <b/>
        <sz val="12"/>
        <color theme="1"/>
        <rFont val="Times New Roman"/>
        <family val="1"/>
      </rPr>
      <t xml:space="preserve">Tipo 21-Residuos de aldehídos y cetonas alifáticas: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 xml:space="preserve">0,74 ml dihidroxidoacetona de sodio. </t>
    </r>
  </si>
  <si>
    <t xml:space="preserve">Cloro etano </t>
  </si>
  <si>
    <r>
      <rPr>
        <b/>
        <sz val="12"/>
        <color theme="1"/>
        <rFont val="Times New Roman"/>
        <family val="1"/>
      </rPr>
      <t xml:space="preserve">Tipo 11-Residuos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2,42 ml de cloro propano.</t>
    </r>
  </si>
  <si>
    <r>
      <rPr>
        <b/>
        <sz val="12"/>
        <color theme="1"/>
        <rFont val="Times New Roman"/>
        <family val="1"/>
      </rPr>
      <t>Tipo 11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 xml:space="preserve">Residuos de hidrocarburos de cadena lineal o ramificada: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2,88 ml de cloro butano.</t>
    </r>
  </si>
  <si>
    <r>
      <rPr>
        <b/>
        <sz val="12"/>
        <color theme="1"/>
        <rFont val="Times New Roman"/>
        <family val="1"/>
      </rPr>
      <t>Tipo 11-Residuos de hidrocarburos de cadena lineal o ramificada: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1,92 ml de cloro etano.</t>
    </r>
  </si>
  <si>
    <t xml:space="preserve">Cloro butano </t>
  </si>
  <si>
    <t>Dióxido de carbono</t>
  </si>
  <si>
    <r>
      <rPr>
        <b/>
        <sz val="12"/>
        <color theme="1"/>
        <rFont val="Times New Roman"/>
        <family val="1"/>
      </rPr>
      <t>Tipo 20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Residuos de alcoholes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1,18 ml de etanol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</si>
  <si>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Tipo 31-Residuos de ésteres aromáticos: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1,88 ml salicato de etilo</t>
    </r>
    <r>
      <rPr>
        <b/>
        <u/>
        <sz val="12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</t>
    </r>
  </si>
  <si>
    <t xml:space="preserve">Cloruro de hidrógeno </t>
  </si>
  <si>
    <t xml:space="preserve">Salicato de etilo </t>
  </si>
  <si>
    <t xml:space="preserve">Óxido de azufre </t>
  </si>
  <si>
    <t xml:space="preserve">Salicilato de etilo ó acetato de etilo </t>
  </si>
  <si>
    <t xml:space="preserve">Acetato de etilo </t>
  </si>
  <si>
    <r>
      <rPr>
        <b/>
        <sz val="12"/>
        <color theme="1"/>
        <rFont val="Times New Roman"/>
        <family val="1"/>
      </rPr>
      <t>Tipo 23-Residuos de ésteres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 xml:space="preserve">0,85 ml de acetato de etilo. </t>
    </r>
  </si>
  <si>
    <r>
      <rPr>
        <b/>
        <sz val="12"/>
        <color theme="1"/>
        <rFont val="Times New Roman"/>
        <family val="1"/>
      </rPr>
      <t>Tipo 23-Residuos de ésteres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0,84 ml de acetato de isobutilo.</t>
    </r>
  </si>
  <si>
    <r>
      <rPr>
        <b/>
        <sz val="12"/>
        <color theme="1"/>
        <rFont val="Times New Roman"/>
        <family val="1"/>
      </rPr>
      <t>Tipo 23-Residuos de ésteres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0,94 ml de acetato de amilo.</t>
    </r>
  </si>
  <si>
    <r>
      <rPr>
        <b/>
        <sz val="12"/>
        <color theme="1"/>
        <rFont val="Times New Roman"/>
        <family val="1"/>
      </rPr>
      <t>Tipo 31-Residuos de ésteres aromáticos</t>
    </r>
    <r>
      <rPr>
        <sz val="12"/>
        <color theme="1"/>
        <rFont val="Times New Roman"/>
        <family val="1"/>
      </rPr>
      <t xml:space="preserve">: Correspondiente a </t>
    </r>
    <r>
      <rPr>
        <u/>
        <sz val="12"/>
        <color theme="1"/>
        <rFont val="Times New Roman"/>
        <family val="1"/>
      </rPr>
      <t>0,58 ml de benzoato de etilo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</si>
  <si>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 xml:space="preserve">Tipo 28-Residuos de alcoholes aromáticos: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4,31  ml de azul de lactofenol.</t>
    </r>
  </si>
  <si>
    <r>
      <rPr>
        <b/>
        <sz val="12"/>
        <color theme="1"/>
        <rFont val="Times New Roman"/>
        <family val="1"/>
      </rPr>
      <t xml:space="preserve">Tipo 11-Residuos de hidrocarburos: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0,13 ml de cloruro de amonio</t>
    </r>
    <r>
      <rPr>
        <sz val="12"/>
        <color theme="1"/>
        <rFont val="Times New Roman"/>
        <family val="1"/>
      </rPr>
      <t xml:space="preserve">. </t>
    </r>
  </si>
  <si>
    <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SO</t>
    </r>
    <r>
      <rPr>
        <vertAlign val="subscript"/>
        <sz val="14"/>
        <color rgb="FF212529"/>
        <rFont val="Times New Roman"/>
        <family val="1"/>
      </rPr>
      <t>4</t>
    </r>
    <r>
      <rPr>
        <sz val="11"/>
        <color theme="1"/>
        <rFont val="Calibri"/>
        <family val="2"/>
        <scheme val="minor"/>
      </rPr>
      <t>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SO</t>
    </r>
    <r>
      <rPr>
        <vertAlign val="subscript"/>
        <sz val="14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4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O</t>
    </r>
  </si>
  <si>
    <t xml:space="preserve">Cloruro de Potasio </t>
  </si>
  <si>
    <r>
      <t>2</t>
    </r>
    <r>
      <rPr>
        <sz val="14"/>
        <color rgb="FF212529"/>
        <rFont val="Times New Roman"/>
        <family val="1"/>
      </rPr>
      <t>KCl +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KOH + Cl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 + H</t>
    </r>
    <r>
      <rPr>
        <vertAlign val="subscript"/>
        <sz val="14"/>
        <color rgb="FF212529"/>
        <rFont val="Times New Roman"/>
        <family val="1"/>
      </rPr>
      <t>2</t>
    </r>
  </si>
  <si>
    <r>
      <t>Cl</t>
    </r>
    <r>
      <rPr>
        <vertAlign val="subscript"/>
        <sz val="14"/>
        <color rgb="FF212529"/>
        <rFont val="Times New Roman"/>
        <family val="1"/>
      </rPr>
      <t>2</t>
    </r>
    <r>
      <rPr>
        <sz val="11"/>
        <color theme="1"/>
        <rFont val="Calibri"/>
        <family val="2"/>
        <scheme val="minor"/>
      </rPr>
      <t xml:space="preserve"> </t>
    </r>
  </si>
  <si>
    <t>Dicloro</t>
  </si>
  <si>
    <r>
      <rPr>
        <b/>
        <sz val="12"/>
        <color theme="1"/>
        <rFont val="Times New Roman"/>
        <family val="1"/>
      </rPr>
      <t>Tipo 11-Residuos de hidrocarburos de cadena lineal o ramificada:</t>
    </r>
    <r>
      <rPr>
        <sz val="12"/>
        <color theme="1"/>
        <rFont val="Times New Roman"/>
        <family val="1"/>
      </rPr>
      <t xml:space="preserve"> Correspondiente a 1,67</t>
    </r>
    <r>
      <rPr>
        <u/>
        <sz val="12"/>
        <color theme="1"/>
        <rFont val="Times New Roman"/>
        <family val="1"/>
      </rPr>
      <t xml:space="preserve"> ml dicloro</t>
    </r>
    <r>
      <rPr>
        <sz val="12"/>
        <color theme="1"/>
        <rFont val="Times New Roman"/>
        <family val="1"/>
      </rPr>
      <t xml:space="preserve">. </t>
    </r>
  </si>
  <si>
    <t>Rx1                                          (g)</t>
  </si>
  <si>
    <r>
      <t>Al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(SO</t>
    </r>
    <r>
      <rPr>
        <vertAlign val="subscript"/>
        <sz val="14"/>
        <color rgb="FF212529"/>
        <rFont val="Times New Roman"/>
        <family val="1"/>
      </rPr>
      <t>4</t>
    </r>
    <r>
      <rPr>
        <sz val="14"/>
        <color rgb="FF212529"/>
        <rFont val="Times New Roman"/>
        <family val="1"/>
      </rPr>
      <t>)</t>
    </r>
    <r>
      <rPr>
        <vertAlign val="subscript"/>
        <sz val="14"/>
        <color rgb="FF212529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> + </t>
    </r>
    <r>
      <rPr>
        <b/>
        <sz val="14"/>
        <color rgb="FFFF0000"/>
        <rFont val="Times New Roman"/>
        <family val="1"/>
      </rPr>
      <t>6</t>
    </r>
    <r>
      <rPr>
        <sz val="14"/>
        <color rgb="FF212529"/>
        <rFont val="Times New Roman"/>
        <family val="1"/>
      </rP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O → </t>
    </r>
    <r>
      <rPr>
        <b/>
        <sz val="14"/>
        <color rgb="FFFF0000"/>
        <rFont val="Times New Roman"/>
        <family val="1"/>
      </rPr>
      <t>2</t>
    </r>
    <r>
      <rPr>
        <sz val="14"/>
        <color rgb="FF212529"/>
        <rFont val="Times New Roman"/>
        <family val="1"/>
      </rPr>
      <t>Al(OH)</t>
    </r>
    <r>
      <rPr>
        <vertAlign val="subscript"/>
        <sz val="14"/>
        <color rgb="FF212529"/>
        <rFont val="Times New Roman"/>
        <family val="1"/>
      </rPr>
      <t>3</t>
    </r>
    <r>
      <rPr>
        <sz val="14"/>
        <color rgb="FF212529"/>
        <rFont val="Times New Roman"/>
        <family val="1"/>
      </rPr>
      <t> + </t>
    </r>
    <r>
      <rPr>
        <b/>
        <sz val="14"/>
        <color rgb="FFFF0000"/>
        <rFont val="Times New Roman"/>
        <family val="1"/>
      </rPr>
      <t>3</t>
    </r>
    <r>
      <rPr>
        <sz val="14"/>
        <color rgb="FF212529"/>
        <rFont val="Times New Roman"/>
        <family val="1"/>
      </rP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SO</t>
    </r>
    <r>
      <rPr>
        <vertAlign val="subscript"/>
        <sz val="14"/>
        <color rgb="FF212529"/>
        <rFont val="Times New Roman"/>
        <family val="1"/>
      </rPr>
      <t>4</t>
    </r>
  </si>
  <si>
    <r>
      <t>Al(OH)</t>
    </r>
    <r>
      <rPr>
        <vertAlign val="subscript"/>
        <sz val="14"/>
        <color rgb="FF212529"/>
        <rFont val="Times New Roman"/>
        <family val="1"/>
      </rPr>
      <t>3</t>
    </r>
    <r>
      <rPr>
        <sz val="11"/>
        <color theme="1"/>
        <rFont val="Calibri"/>
        <family val="2"/>
        <scheme val="minor"/>
      </rPr>
      <t> </t>
    </r>
  </si>
  <si>
    <r>
      <t>H</t>
    </r>
    <r>
      <rPr>
        <vertAlign val="subscript"/>
        <sz val="14"/>
        <color rgb="FF212529"/>
        <rFont val="Times New Roman"/>
        <family val="1"/>
      </rPr>
      <t>2</t>
    </r>
    <r>
      <rPr>
        <sz val="14"/>
        <color rgb="FF212529"/>
        <rFont val="Times New Roman"/>
        <family val="1"/>
      </rPr>
      <t>SO</t>
    </r>
    <r>
      <rPr>
        <vertAlign val="subscript"/>
        <sz val="14"/>
        <color rgb="FF212529"/>
        <rFont val="Times New Roman"/>
        <family val="1"/>
      </rPr>
      <t>4</t>
    </r>
  </si>
  <si>
    <t xml:space="preserve">Sulfato de cobre </t>
  </si>
  <si>
    <t xml:space="preserve">Permanganato de potasio </t>
  </si>
  <si>
    <t xml:space="preserve">Ácido nitroso </t>
  </si>
  <si>
    <r>
      <rPr>
        <b/>
        <sz val="12"/>
        <color theme="1"/>
        <rFont val="Times New Roman"/>
        <family val="1"/>
      </rPr>
      <t xml:space="preserve">Tipo 46-Residuos de sales de azufre: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1,10 ml de sulfato.</t>
    </r>
  </si>
  <si>
    <r>
      <rPr>
        <b/>
        <sz val="12"/>
        <color theme="1"/>
        <rFont val="Times New Roman"/>
        <family val="1"/>
      </rPr>
      <t>Tipo 40-Residuos de hidróxido de sodio:</t>
    </r>
    <r>
      <rPr>
        <sz val="12"/>
        <color theme="1"/>
        <rFont val="Times New Roman"/>
        <family val="1"/>
      </rPr>
      <t xml:space="preserve"> Correspondiente a  </t>
    </r>
    <r>
      <rPr>
        <u/>
        <sz val="12"/>
        <color theme="1"/>
        <rFont val="Times New Roman"/>
        <family val="1"/>
      </rPr>
      <t xml:space="preserve">0,85 ml sodio. </t>
    </r>
  </si>
  <si>
    <r>
      <rPr>
        <b/>
        <sz val="12"/>
        <rFont val="Times New Roman"/>
        <family val="1"/>
      </rPr>
      <t>Tipo 37-Residuos de ácido clorhídrico:</t>
    </r>
    <r>
      <rPr>
        <b/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 xml:space="preserve">4,62 ml de ácido bencenosulfóclorico. </t>
    </r>
  </si>
  <si>
    <r>
      <rPr>
        <b/>
        <sz val="12"/>
        <rFont val="Times New Roman"/>
        <family val="1"/>
      </rPr>
      <t>Tipo 38-Residuos de ácido nítrico: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0,33 ml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</si>
  <si>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Tipo 38-Residuos de ácido nítrico:</t>
    </r>
    <r>
      <rPr>
        <b/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>Correspondiente a 0,38</t>
    </r>
    <r>
      <rPr>
        <u/>
        <sz val="12"/>
        <rFont val="Times New Roman"/>
        <family val="1"/>
      </rPr>
      <t xml:space="preserve"> ml de ácido nitroso.</t>
    </r>
  </si>
  <si>
    <r>
      <rPr>
        <b/>
        <sz val="12"/>
        <rFont val="Times New Roman"/>
        <family val="1"/>
      </rPr>
      <t>Tipo 38-Residuos de ácido nítrico:</t>
    </r>
    <r>
      <rPr>
        <sz val="12"/>
        <rFont val="Times New Roman"/>
        <family val="1"/>
      </rPr>
      <t xml:space="preserve"> Correspondiente a  </t>
    </r>
    <r>
      <rPr>
        <u/>
        <sz val="12"/>
        <rFont val="Times New Roman"/>
        <family val="1"/>
      </rPr>
      <t>0,55 ml, de ácido nitroso.</t>
    </r>
  </si>
  <si>
    <t xml:space="preserve">Sulfato diácido </t>
  </si>
  <si>
    <r>
      <rPr>
        <b/>
        <sz val="12"/>
        <color theme="1"/>
        <rFont val="Times New Roman"/>
        <family val="1"/>
      </rPr>
      <t xml:space="preserve">Tipo 46-Residuos de sales de azufre: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92,59 ml tampón fosfato</t>
    </r>
    <r>
      <rPr>
        <sz val="12"/>
        <color theme="1"/>
        <rFont val="Times New Roman"/>
        <family val="1"/>
      </rPr>
      <t>, sales inorgánicas.</t>
    </r>
  </si>
  <si>
    <r>
      <rPr>
        <b/>
        <sz val="12"/>
        <rFont val="Times New Roman"/>
        <family val="1"/>
      </rPr>
      <t>Tipo 38-Residuos de ácido nítrico: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0,41 ml.</t>
    </r>
  </si>
  <si>
    <r>
      <rPr>
        <b/>
        <sz val="12"/>
        <rFont val="Times New Roman"/>
        <family val="1"/>
      </rPr>
      <t>Tipo 46-Residuos de sales de azufre: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1,11  ml de sulfato de diácido.</t>
    </r>
  </si>
  <si>
    <r>
      <rPr>
        <b/>
        <sz val="12"/>
        <color theme="1"/>
        <rFont val="Times New Roman"/>
        <family val="1"/>
      </rPr>
      <t>Tipo 37</t>
    </r>
    <r>
      <rPr>
        <sz val="12"/>
        <color theme="1"/>
        <rFont val="Times New Roman"/>
        <family val="1"/>
      </rPr>
      <t>-</t>
    </r>
    <r>
      <rPr>
        <b/>
        <sz val="12"/>
        <color theme="1"/>
        <rFont val="Times New Roman"/>
        <family val="1"/>
      </rPr>
      <t>Residuos de ácido clorhídrico: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89,28 ml.</t>
    </r>
  </si>
  <si>
    <r>
      <rPr>
        <b/>
        <sz val="12"/>
        <rFont val="Times New Roman"/>
        <family val="1"/>
      </rPr>
      <t>Tipo 20-Residuos de alcoholes alifáticos:</t>
    </r>
    <r>
      <rPr>
        <sz val="12"/>
        <rFont val="Times New Roman"/>
        <family val="1"/>
      </rPr>
      <t xml:space="preserve"> Correspondiente  a </t>
    </r>
    <r>
      <rPr>
        <u/>
        <sz val="12"/>
        <rFont val="Times New Roman"/>
        <family val="1"/>
      </rPr>
      <t>555,5 ml de alcohol etílico</t>
    </r>
    <r>
      <rPr>
        <sz val="12"/>
        <rFont val="Times New Roman"/>
        <family val="1"/>
      </rPr>
      <t>.</t>
    </r>
  </si>
  <si>
    <r>
      <rPr>
        <b/>
        <sz val="12"/>
        <rFont val="Times New Roman"/>
        <family val="1"/>
      </rPr>
      <t>Tipo 36-Residuos de ácido sulfúrico: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 xml:space="preserve">0,046 ml. </t>
    </r>
  </si>
  <si>
    <r>
      <rPr>
        <b/>
        <sz val="12"/>
        <color theme="1"/>
        <rFont val="Times New Roman"/>
        <family val="1"/>
      </rPr>
      <t>Tipo 20-Residuos de alcoholes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12,67 ml de alcohol etílico.</t>
    </r>
  </si>
  <si>
    <r>
      <rPr>
        <b/>
        <sz val="12"/>
        <color theme="1"/>
        <rFont val="Times New Roman"/>
        <family val="1"/>
      </rPr>
      <t>Tipo 28-Residuos de alcoholes aromáticos</t>
    </r>
    <r>
      <rPr>
        <sz val="12"/>
        <color theme="1"/>
        <rFont val="Times New Roman"/>
        <family val="1"/>
      </rPr>
      <t xml:space="preserve">: Correspondiente a </t>
    </r>
    <r>
      <rPr>
        <u/>
        <sz val="12"/>
        <color theme="1"/>
        <rFont val="Times New Roman"/>
        <family val="1"/>
      </rPr>
      <t>0,21 ml azul de lactofenol.</t>
    </r>
  </si>
  <si>
    <r>
      <rPr>
        <b/>
        <sz val="12"/>
        <color theme="1"/>
        <rFont val="Times New Roman"/>
        <family val="1"/>
      </rPr>
      <t xml:space="preserve">Tipo 28-Residuos de alcoholes aromáticos: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0,21 ml azul de lactofenol.</t>
    </r>
  </si>
  <si>
    <r>
      <rPr>
        <b/>
        <sz val="12"/>
        <color theme="1"/>
        <rFont val="Times New Roman"/>
        <family val="1"/>
      </rPr>
      <t>Tipo 20-Residuos de alcoholes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316,85 ml de alcohol etílico.</t>
    </r>
  </si>
  <si>
    <t>Reaciones espontáneas, celdas galvánicas e hidrólisis.</t>
  </si>
  <si>
    <r>
      <rPr>
        <b/>
        <sz val="12"/>
        <color theme="1"/>
        <rFont val="Times New Roman"/>
        <family val="1"/>
      </rPr>
      <t>Tipo 16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Residuos de hidrocarburos aromáticos: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0,14 ml de azul de metileno.</t>
    </r>
  </si>
  <si>
    <r>
      <rPr>
        <b/>
        <sz val="12"/>
        <color theme="1"/>
        <rFont val="Times New Roman"/>
        <family val="1"/>
      </rPr>
      <t>Tipo 16-Residuos de hidrocarburos aromáticos:</t>
    </r>
    <r>
      <rPr>
        <sz val="12"/>
        <color theme="1"/>
        <rFont val="Times New Roman"/>
        <family val="1"/>
      </rPr>
      <t xml:space="preserve"> correspondiente a</t>
    </r>
    <r>
      <rPr>
        <b/>
        <sz val="12"/>
        <color theme="1"/>
        <rFont val="Times New Roman"/>
        <family val="1"/>
      </rPr>
      <t xml:space="preserve"> </t>
    </r>
    <r>
      <rPr>
        <u/>
        <sz val="12"/>
        <color theme="1"/>
        <rFont val="Times New Roman"/>
        <family val="1"/>
      </rPr>
      <t>0,28 ml de azul de metileno.</t>
    </r>
  </si>
  <si>
    <r>
      <rPr>
        <b/>
        <sz val="12"/>
        <color theme="1"/>
        <rFont val="Times New Roman"/>
        <family val="1"/>
      </rPr>
      <t>Tipo 16</t>
    </r>
    <r>
      <rPr>
        <sz val="12"/>
        <color theme="1"/>
        <rFont val="Times New Roman"/>
        <family val="1"/>
      </rPr>
      <t>-R</t>
    </r>
    <r>
      <rPr>
        <b/>
        <sz val="12"/>
        <color theme="1"/>
        <rFont val="Times New Roman"/>
        <family val="1"/>
      </rPr>
      <t>esiduos de hidrocarburos aromáticos: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0,14 ml de azul de metileno.</t>
    </r>
  </si>
  <si>
    <r>
      <rPr>
        <b/>
        <sz val="12"/>
        <color theme="1"/>
        <rFont val="Times New Roman"/>
        <family val="1"/>
      </rPr>
      <t>Tipo 21-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Residuos de aldehídos y cetonas alifáticas: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 xml:space="preserve">10,2 ml acetocarmín. </t>
    </r>
  </si>
  <si>
    <r>
      <rPr>
        <b/>
        <sz val="12"/>
        <color theme="1"/>
        <rFont val="Times New Roman"/>
        <family val="1"/>
      </rPr>
      <t xml:space="preserve">Tipo 22-Residuos de ácidos inorgánicos: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1,23 ml de ácido propanoico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</si>
  <si>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>Tipo 40-Residuos de hidróxido de sodio: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0,81 ml de sodio.</t>
    </r>
  </si>
  <si>
    <r>
      <rPr>
        <b/>
        <sz val="12"/>
        <color theme="1"/>
        <rFont val="Times New Roman"/>
        <family val="1"/>
      </rPr>
      <t xml:space="preserve">Tipo 11-Residuos de hdrocarburos: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 xml:space="preserve">9,25 ml de permanganato de potasio diluido en agua. </t>
    </r>
  </si>
  <si>
    <r>
      <rPr>
        <b/>
        <sz val="12"/>
        <rFont val="Times New Roman"/>
        <family val="1"/>
      </rPr>
      <t>Tipo 11-Residuos de hidrocarburos: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 xml:space="preserve">0,57 ml de bicarbonato de sodio. </t>
    </r>
  </si>
  <si>
    <r>
      <rPr>
        <b/>
        <sz val="12"/>
        <rFont val="Times New Roman"/>
        <family val="1"/>
      </rPr>
      <t>Tipo 48-soluciones acuosas de metales pesados:</t>
    </r>
    <r>
      <rPr>
        <sz val="12"/>
        <rFont val="Times New Roman"/>
        <family val="1"/>
      </rPr>
      <t xml:space="preserve"> Correspondiente a 1,48</t>
    </r>
    <r>
      <rPr>
        <u/>
        <sz val="12"/>
        <rFont val="Times New Roman"/>
        <family val="1"/>
      </rPr>
      <t xml:space="preserve"> ml de cobre.</t>
    </r>
  </si>
  <si>
    <r>
      <rPr>
        <b/>
        <sz val="12"/>
        <rFont val="Times New Roman"/>
        <family val="1"/>
      </rPr>
      <t>Tipo 41-Residuos de hidróxido de potasio:</t>
    </r>
    <r>
      <rPr>
        <sz val="12"/>
        <rFont val="Times New Roman"/>
        <family val="1"/>
      </rPr>
      <t xml:space="preserve"> Correspondiente a </t>
    </r>
    <r>
      <rPr>
        <u/>
        <sz val="12"/>
        <rFont val="Times New Roman"/>
        <family val="1"/>
      </rPr>
      <t>0,15 ml de hidróxido de potasio.</t>
    </r>
  </si>
  <si>
    <r>
      <rPr>
        <b/>
        <sz val="12"/>
        <color theme="1"/>
        <rFont val="Times New Roman"/>
        <family val="1"/>
      </rPr>
      <t>Tipo 45-Residuos de sales nitrogenadas: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2,60 ml</t>
    </r>
    <r>
      <rPr>
        <sz val="12"/>
        <color theme="1"/>
        <rFont val="Times New Roman"/>
        <family val="1"/>
      </rPr>
      <t xml:space="preserve">.
</t>
    </r>
  </si>
  <si>
    <r>
      <t xml:space="preserve">Correspondiente a  </t>
    </r>
    <r>
      <rPr>
        <u/>
        <sz val="12"/>
        <color theme="1"/>
        <rFont val="Times New Roman"/>
        <family val="1"/>
      </rPr>
      <t>31,99 ml  de glucono deltalactona (Vegetal)</t>
    </r>
  </si>
  <si>
    <r>
      <rPr>
        <b/>
        <sz val="11"/>
        <rFont val="Times New Roman"/>
        <family val="1"/>
      </rPr>
      <t xml:space="preserve"> Tipo 20- Residuos de alcoholes alifáticos:</t>
    </r>
    <r>
      <rPr>
        <sz val="11"/>
        <rFont val="Times New Roman"/>
        <family val="1"/>
      </rPr>
      <t xml:space="preserve"> Correspondiente a </t>
    </r>
    <r>
      <rPr>
        <u/>
        <sz val="11"/>
        <rFont val="Times New Roman"/>
        <family val="1"/>
      </rPr>
      <t xml:space="preserve">0,79 ml de glicerina. </t>
    </r>
  </si>
  <si>
    <r>
      <t xml:space="preserve">Tipo 23-Residuos de ésteres alifáticos: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0,84 ml de etanolato de potasio</t>
    </r>
    <r>
      <rPr>
        <sz val="12"/>
        <color theme="1"/>
        <rFont val="Times New Roman"/>
        <family val="1"/>
      </rPr>
      <t>.</t>
    </r>
  </si>
  <si>
    <t>Etanolato de potasio</t>
  </si>
  <si>
    <r>
      <t>C</t>
    </r>
    <r>
      <rPr>
        <sz val="9"/>
        <color rgb="FF212529"/>
        <rFont val="Times New Roman"/>
        <family val="1"/>
      </rPr>
      <t>4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11</t>
    </r>
  </si>
  <si>
    <r>
      <t>KO</t>
    </r>
    <r>
      <rPr>
        <sz val="11"/>
        <color rgb="FF212529"/>
        <rFont val="Times New Roman"/>
        <family val="1"/>
      </rPr>
      <t>2</t>
    </r>
  </si>
  <si>
    <t>Etanolato de sodio</t>
  </si>
  <si>
    <t>Propanolato de sodio</t>
  </si>
  <si>
    <r>
      <rPr>
        <b/>
        <sz val="12"/>
        <color theme="1"/>
        <rFont val="Times New Roman"/>
        <family val="1"/>
      </rPr>
      <t>Tipo 23-Residuos de ésteres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0,85 ml de etanolato de sodio.</t>
    </r>
  </si>
  <si>
    <r>
      <rPr>
        <b/>
        <sz val="12"/>
        <color theme="1"/>
        <rFont val="Times New Roman"/>
        <family val="1"/>
      </rPr>
      <t>Tipo 23-Residuos de ésteres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0,78  ml propanolato de sodio.</t>
    </r>
  </si>
  <si>
    <t>Terc-butanolato de sodio</t>
  </si>
  <si>
    <r>
      <rPr>
        <b/>
        <sz val="12"/>
        <color theme="1"/>
        <rFont val="Times New Roman"/>
        <family val="1"/>
      </rPr>
      <t>Tipo 20-Residuos de alcoholes alifáticos: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0,82 ml Terc-butanolato de sodio</t>
    </r>
    <r>
      <rPr>
        <sz val="12"/>
        <color theme="1"/>
        <rFont val="Times New Roman"/>
        <family val="1"/>
      </rPr>
      <t>.</t>
    </r>
  </si>
  <si>
    <r>
      <rPr>
        <b/>
        <sz val="12"/>
        <color theme="1"/>
        <rFont val="Times New Roman"/>
        <family val="1"/>
      </rPr>
      <t xml:space="preserve">Tipo 43- Residuos alcalinos inorgánicos: </t>
    </r>
    <r>
      <rPr>
        <sz val="12"/>
        <color theme="1"/>
        <rFont val="Times New Roman"/>
        <family val="1"/>
      </rPr>
      <t xml:space="preserve">Correspondiente a </t>
    </r>
    <r>
      <rPr>
        <u/>
        <sz val="12"/>
        <color theme="1"/>
        <rFont val="Times New Roman"/>
        <family val="1"/>
      </rPr>
      <t>0,17 ml de carbonato de potasio</t>
    </r>
    <r>
      <rPr>
        <sz val="12"/>
        <color theme="1"/>
        <rFont val="Times New Roman"/>
        <family val="1"/>
      </rPr>
      <t xml:space="preserve">. </t>
    </r>
  </si>
  <si>
    <t>Benzoato</t>
  </si>
  <si>
    <r>
      <rPr>
        <b/>
        <sz val="12"/>
        <color theme="1"/>
        <rFont val="Times New Roman"/>
        <family val="1"/>
      </rPr>
      <t>Tipo 31-Residuos de ésteres aromáticos:</t>
    </r>
    <r>
      <rPr>
        <sz val="12"/>
        <color theme="1"/>
        <rFont val="Times New Roman"/>
        <family val="1"/>
      </rPr>
      <t xml:space="preserve"> Correspondiente a </t>
    </r>
    <r>
      <rPr>
        <u/>
        <sz val="12"/>
        <color theme="1"/>
        <rFont val="Times New Roman"/>
        <family val="1"/>
      </rPr>
      <t>1,32 ml de benzoato.</t>
    </r>
  </si>
  <si>
    <r>
      <t>C</t>
    </r>
    <r>
      <rPr>
        <sz val="9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5</t>
    </r>
    <r>
      <rPr>
        <sz val="12"/>
        <color rgb="FF212529"/>
        <rFont val="Times New Roman"/>
        <family val="1"/>
      </rPr>
      <t>OH +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7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6</t>
    </r>
    <r>
      <rPr>
        <sz val="12"/>
        <color rgb="FF212529"/>
        <rFont val="Times New Roman"/>
        <family val="1"/>
      </rPr>
      <t>O</t>
    </r>
    <r>
      <rPr>
        <sz val="9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 → </t>
    </r>
    <r>
      <rPr>
        <b/>
        <sz val="12"/>
        <color rgb="FFFF0000"/>
        <rFont val="Times New Roman"/>
        <family val="1"/>
      </rPr>
      <t>2</t>
    </r>
    <r>
      <rPr>
        <sz val="12"/>
        <color rgb="FF212529"/>
        <rFont val="Times New Roman"/>
        <family val="1"/>
      </rPr>
      <t>C</t>
    </r>
    <r>
      <rPr>
        <sz val="9"/>
        <color rgb="FF212529"/>
        <rFont val="Times New Roman"/>
        <family val="1"/>
      </rPr>
      <t>8</t>
    </r>
    <r>
      <rPr>
        <sz val="12"/>
        <color rgb="FF212529"/>
        <rFont val="Times New Roman"/>
        <family val="1"/>
      </rPr>
      <t>H</t>
    </r>
    <r>
      <rPr>
        <sz val="9"/>
        <color rgb="FF212529"/>
        <rFont val="Times New Roman"/>
        <family val="1"/>
      </rPr>
      <t>8</t>
    </r>
    <r>
      <rPr>
        <sz val="12"/>
        <color rgb="FF212529"/>
        <rFont val="Times New Roman"/>
        <family val="1"/>
      </rPr>
      <t>O</t>
    </r>
    <r>
      <rPr>
        <sz val="9"/>
        <color rgb="FF212529"/>
        <rFont val="Times New Roman"/>
        <family val="1"/>
      </rPr>
      <t>3</t>
    </r>
    <r>
      <rPr>
        <sz val="12"/>
        <color rgb="FF212529"/>
        <rFont val="Times New Roman"/>
        <family val="1"/>
      </rPr>
      <t> + H</t>
    </r>
    <r>
      <rPr>
        <sz val="9"/>
        <color rgb="FF212529"/>
        <rFont val="Times New Roman"/>
        <family val="1"/>
      </rPr>
      <t>2</t>
    </r>
    <r>
      <rPr>
        <sz val="12"/>
        <color rgb="FF212529"/>
        <rFont val="Times New Roman"/>
        <family val="1"/>
      </rPr>
      <t>O</t>
    </r>
  </si>
  <si>
    <r>
      <rPr>
        <b/>
        <sz val="12"/>
        <color theme="1"/>
        <rFont val="Times New Roman"/>
        <family val="1"/>
      </rPr>
      <t>Tipo 14-Residuos de hidrocarburos aromáticos</t>
    </r>
    <r>
      <rPr>
        <sz val="12"/>
        <color theme="1"/>
        <rFont val="Times New Roman"/>
        <family val="1"/>
      </rPr>
      <t xml:space="preserve">: Correspondiente a </t>
    </r>
    <r>
      <rPr>
        <u/>
        <sz val="12"/>
        <color theme="1"/>
        <rFont val="Times New Roman"/>
        <family val="1"/>
      </rPr>
      <t xml:space="preserve">4,2 ml de cristal violeta </t>
    </r>
  </si>
  <si>
    <r>
      <rPr>
        <b/>
        <sz val="12"/>
        <rFont val="Times New Roman"/>
        <family val="1"/>
      </rPr>
      <t xml:space="preserve">Tipo 46-Residuos de sales de azufre: </t>
    </r>
    <r>
      <rPr>
        <sz val="12"/>
        <rFont val="Times New Roman"/>
        <family val="1"/>
      </rPr>
      <t xml:space="preserve">Correspondiente a </t>
    </r>
    <r>
      <rPr>
        <u/>
        <sz val="12"/>
        <rFont val="Times New Roman"/>
        <family val="1"/>
      </rPr>
      <t>141,24 ml sulfato de zinc.</t>
    </r>
    <r>
      <rPr>
        <b/>
        <u/>
        <sz val="12"/>
        <rFont val="Times New Roman"/>
        <family val="1"/>
      </rPr>
      <t xml:space="preserve">
</t>
    </r>
  </si>
  <si>
    <r>
      <rPr>
        <b/>
        <sz val="12"/>
        <color theme="1"/>
        <rFont val="Times New Roman"/>
        <family val="1"/>
      </rPr>
      <t>Tipo 43-Residuos alcalinos inorgánicos:</t>
    </r>
    <r>
      <rPr>
        <sz val="12"/>
        <color theme="1"/>
        <rFont val="Times New Roman"/>
        <family val="1"/>
      </rPr>
      <t xml:space="preserve"> Correspondiente </t>
    </r>
    <r>
      <rPr>
        <u/>
        <sz val="12"/>
        <color theme="1"/>
        <rFont val="Times New Roman"/>
        <family val="1"/>
      </rPr>
      <t>93,89 ml hidróxido</t>
    </r>
    <r>
      <rPr>
        <sz val="12"/>
        <color theme="1"/>
        <rFont val="Times New Roman"/>
        <family val="1"/>
      </rPr>
      <t xml:space="preserve"> y </t>
    </r>
    <r>
      <rPr>
        <u/>
        <sz val="12"/>
        <color theme="1"/>
        <rFont val="Times New Roman"/>
        <family val="1"/>
      </rPr>
      <t>138,88 ml amonio</t>
    </r>
    <r>
      <rPr>
        <sz val="12"/>
        <color theme="1"/>
        <rFont val="Times New Roman"/>
        <family val="1"/>
      </rPr>
      <t>.</t>
    </r>
    <r>
      <rPr>
        <b/>
        <u/>
        <sz val="12"/>
        <color theme="1"/>
        <rFont val="Times New Roman"/>
        <family val="1"/>
      </rPr>
      <t xml:space="preserve">
</t>
    </r>
  </si>
  <si>
    <t>Entrada             (g)</t>
  </si>
  <si>
    <r>
      <t>Densidad        (g/cm</t>
    </r>
    <r>
      <rPr>
        <b/>
        <vertAlign val="superscript"/>
        <sz val="12"/>
        <color theme="1"/>
        <rFont val="Times New Roman"/>
        <family val="1"/>
      </rPr>
      <t>3</t>
    </r>
  </si>
  <si>
    <t>Rx1                                   (g)</t>
  </si>
  <si>
    <t xml:space="preserve"> Salida   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</si>
</sst>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vertAlign val="subscript"/>
      <sz val="11"/>
      <color rgb="FF222222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vertAlign val="subscript"/>
      <sz val="12"/>
      <color rgb="FF222222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rgb="FF212529"/>
      <name val="Times New Roman"/>
      <family val="1"/>
    </font>
    <font>
      <sz val="11"/>
      <color rgb="FF212529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FF"/>
      <name val="Times New Roman"/>
      <family val="1"/>
    </font>
    <font>
      <sz val="14"/>
      <color rgb="FFFF0000"/>
      <name val="Times New Roman"/>
      <family val="1"/>
    </font>
    <font>
      <b/>
      <sz val="12"/>
      <color rgb="FF222222"/>
      <name val="Times New Roman"/>
      <family val="1"/>
    </font>
    <font>
      <b/>
      <sz val="12"/>
      <color rgb="FFFF0000"/>
      <name val="Times New Roman"/>
      <family val="1"/>
    </font>
    <font>
      <vertAlign val="subscript"/>
      <sz val="11"/>
      <color rgb="FF212529"/>
      <name val="Times New Roman"/>
      <family val="1"/>
    </font>
    <font>
      <vertAlign val="subscript"/>
      <sz val="14"/>
      <color rgb="FF212529"/>
      <name val="Times New Roman"/>
      <family val="1"/>
    </font>
    <font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b/>
      <vertAlign val="subscript"/>
      <sz val="12"/>
      <color theme="1"/>
      <name val="Times New Roman"/>
      <family val="1"/>
    </font>
    <font>
      <sz val="11"/>
      <name val="Times New Roman"/>
      <family val="1"/>
    </font>
    <font>
      <vertAlign val="subscript"/>
      <sz val="12"/>
      <name val="Times New Roman"/>
      <family val="1"/>
    </font>
    <font>
      <vertAlign val="subscript"/>
      <sz val="11"/>
      <name val="Times New Roman"/>
      <family val="1"/>
    </font>
    <font>
      <b/>
      <sz val="12"/>
      <name val="Times New Roman"/>
      <family val="1"/>
    </font>
    <font>
      <sz val="12"/>
      <color rgb="FF212529"/>
      <name val="Times New Roman"/>
      <family val="1"/>
    </font>
    <font>
      <vertAlign val="subscript"/>
      <sz val="12"/>
      <color rgb="FF212529"/>
      <name val="Times New Roman"/>
      <family val="1"/>
    </font>
    <font>
      <b/>
      <i/>
      <sz val="12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vertAlign val="subscript"/>
      <sz val="12"/>
      <name val="Times New Roman"/>
      <family val="1"/>
    </font>
    <font>
      <b/>
      <sz val="12"/>
      <color rgb="FF212529"/>
      <name val="Times New Roman"/>
      <family val="1"/>
    </font>
    <font>
      <b/>
      <vertAlign val="subscript"/>
      <sz val="12"/>
      <color rgb="FF212529"/>
      <name val="Times New Roman"/>
      <family val="1"/>
    </font>
    <font>
      <b/>
      <i/>
      <sz val="12"/>
      <color rgb="FF000000"/>
      <name val="Times New Roman"/>
      <family val="1"/>
    </font>
    <font>
      <b/>
      <vertAlign val="subscript"/>
      <sz val="12"/>
      <color rgb="FF222222"/>
      <name val="Times New Roman"/>
      <family val="1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Times New Roman"/>
      <family val="1"/>
    </font>
    <font>
      <sz val="10"/>
      <color rgb="FF222222"/>
      <name val="Times New Roman"/>
      <family val="1"/>
    </font>
    <font>
      <vertAlign val="subscript"/>
      <sz val="11"/>
      <color theme="1"/>
      <name val="Times New Roman"/>
      <family val="1"/>
    </font>
    <font>
      <b/>
      <sz val="12"/>
      <color theme="1"/>
      <name val="times"/>
      <charset val="1"/>
    </font>
    <font>
      <b/>
      <sz val="12"/>
      <name val="times"/>
      <charset val="1"/>
    </font>
    <font>
      <sz val="18"/>
      <color theme="1"/>
      <name val="Times New Roman"/>
      <family val="1"/>
    </font>
    <font>
      <sz val="48"/>
      <color theme="1"/>
      <name val="Times New Roman"/>
      <family val="1"/>
    </font>
    <font>
      <i/>
      <sz val="48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24"/>
      <color theme="1"/>
      <name val="Times New Roman"/>
      <family val="1"/>
    </font>
    <font>
      <sz val="14.5"/>
      <color rgb="FF212529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rgb="FF202124"/>
      <name val="Times New Roman"/>
      <family val="1"/>
    </font>
    <font>
      <sz val="9"/>
      <color rgb="FF212529"/>
      <name val="Times New Roman"/>
      <family val="1"/>
    </font>
    <font>
      <vertAlign val="subscript"/>
      <sz val="9"/>
      <color rgb="FF000000"/>
      <name val="Times New Roman"/>
      <family val="1"/>
    </font>
    <font>
      <sz val="10"/>
      <color rgb="FF212529"/>
      <name val="Times New Roman"/>
      <family val="1"/>
    </font>
    <font>
      <sz val="7"/>
      <color rgb="FF212529"/>
      <name val="Times New Roman"/>
      <family val="1"/>
    </font>
    <font>
      <sz val="8"/>
      <color rgb="FF000000"/>
      <name val="Times New Roman"/>
      <family val="1"/>
    </font>
    <font>
      <sz val="1"/>
      <color rgb="FF000000"/>
      <name val="Times New Roman"/>
      <family val="1"/>
    </font>
    <font>
      <u/>
      <sz val="11"/>
      <name val="Times New Roman"/>
      <family val="1"/>
    </font>
    <font>
      <u/>
      <sz val="12"/>
      <color theme="10"/>
      <name val="Times New Roman"/>
      <family val="1"/>
    </font>
    <font>
      <sz val="12"/>
      <color rgb="FF202124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4D5156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CDF0"/>
        <bgColor indexed="64"/>
      </patternFill>
    </fill>
    <fill>
      <patternFill patternType="solid">
        <fgColor rgb="FF82E37B"/>
        <bgColor indexed="64"/>
      </patternFill>
    </fill>
    <fill>
      <patternFill patternType="solid">
        <fgColor rgb="FFFF717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4F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9AC2"/>
        <bgColor indexed="64"/>
      </patternFill>
    </fill>
    <fill>
      <patternFill patternType="solid">
        <fgColor rgb="FFFFB3D9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8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/>
    <xf numFmtId="0" fontId="1" fillId="0" borderId="15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8" xfId="0" applyFont="1" applyBorder="1"/>
    <xf numFmtId="0" fontId="1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/>
    <xf numFmtId="0" fontId="1" fillId="0" borderId="36" xfId="0" applyFont="1" applyBorder="1"/>
    <xf numFmtId="0" fontId="1" fillId="0" borderId="42" xfId="0" applyFont="1" applyBorder="1"/>
    <xf numFmtId="0" fontId="1" fillId="0" borderId="1" xfId="0" applyFont="1" applyBorder="1" applyAlignment="1">
      <alignment horizontal="center" vertical="center"/>
    </xf>
    <xf numFmtId="0" fontId="1" fillId="0" borderId="37" xfId="0" applyFont="1" applyBorder="1"/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/>
    <xf numFmtId="0" fontId="1" fillId="0" borderId="43" xfId="0" applyFont="1" applyBorder="1"/>
    <xf numFmtId="0" fontId="1" fillId="0" borderId="44" xfId="0" applyFont="1" applyBorder="1"/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4" fillId="0" borderId="11" xfId="0" applyFont="1" applyBorder="1" applyAlignment="1"/>
    <xf numFmtId="0" fontId="4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0" xfId="0" quotePrefix="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quotePrefix="1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0" fontId="1" fillId="0" borderId="0" xfId="0" quotePrefix="1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0" fontId="25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7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/>
    </xf>
    <xf numFmtId="0" fontId="7" fillId="0" borderId="41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30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6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58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/>
    </xf>
    <xf numFmtId="0" fontId="7" fillId="0" borderId="36" xfId="0" applyNumberFormat="1" applyFont="1" applyBorder="1" applyAlignment="1">
      <alignment horizontal="center" vertical="center"/>
    </xf>
    <xf numFmtId="0" fontId="7" fillId="0" borderId="59" xfId="0" applyNumberFormat="1" applyFont="1" applyBorder="1" applyAlignment="1">
      <alignment horizontal="center" vertical="center"/>
    </xf>
    <xf numFmtId="0" fontId="7" fillId="0" borderId="2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7" fillId="0" borderId="42" xfId="0" applyNumberFormat="1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58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59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5" xfId="0" applyFont="1" applyBorder="1" applyAlignment="1">
      <alignment horizontal="center"/>
    </xf>
    <xf numFmtId="0" fontId="7" fillId="0" borderId="6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" xfId="0" applyFont="1" applyBorder="1"/>
    <xf numFmtId="0" fontId="3" fillId="0" borderId="36" xfId="0" applyFont="1" applyBorder="1" applyAlignment="1">
      <alignment horizont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7" fillId="0" borderId="5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1" xfId="0" applyFont="1" applyBorder="1" applyAlignment="1">
      <alignment horizontal="center" vertical="center"/>
    </xf>
    <xf numFmtId="0" fontId="7" fillId="0" borderId="6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60" xfId="0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1" fillId="0" borderId="44" xfId="0" applyNumberFormat="1" applyFont="1" applyBorder="1" applyAlignment="1">
      <alignment vertical="center"/>
    </xf>
    <xf numFmtId="0" fontId="1" fillId="0" borderId="33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18" fillId="0" borderId="36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1" fillId="0" borderId="73" xfId="0" applyFont="1" applyBorder="1" applyAlignment="1">
      <alignment horizontal="center" vertical="center"/>
    </xf>
    <xf numFmtId="0" fontId="1" fillId="0" borderId="5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5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12" borderId="31" xfId="0" applyFont="1" applyFill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1" fillId="0" borderId="7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7" fillId="0" borderId="48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40" xfId="0" quotePrefix="1" applyFont="1" applyBorder="1" applyAlignment="1">
      <alignment horizontal="center" vertical="center"/>
    </xf>
    <xf numFmtId="0" fontId="1" fillId="0" borderId="37" xfId="0" quotePrefix="1" applyFont="1" applyBorder="1" applyAlignment="1">
      <alignment horizontal="center"/>
    </xf>
    <xf numFmtId="0" fontId="1" fillId="0" borderId="39" xfId="0" quotePrefix="1" applyFont="1" applyBorder="1" applyAlignment="1">
      <alignment horizontal="center" vertical="center"/>
    </xf>
    <xf numFmtId="0" fontId="1" fillId="0" borderId="36" xfId="0" quotePrefix="1" applyFont="1" applyBorder="1" applyAlignment="1">
      <alignment horizontal="center"/>
    </xf>
    <xf numFmtId="0" fontId="1" fillId="0" borderId="0" xfId="0" quotePrefix="1" applyFont="1" applyBorder="1" applyAlignment="1"/>
    <xf numFmtId="0" fontId="7" fillId="0" borderId="33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/>
    </xf>
    <xf numFmtId="0" fontId="1" fillId="0" borderId="86" xfId="0" applyFont="1" applyBorder="1" applyAlignment="1">
      <alignment horizontal="center" vertical="center"/>
    </xf>
    <xf numFmtId="0" fontId="1" fillId="0" borderId="36" xfId="0" quotePrefix="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49" fillId="0" borderId="36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center"/>
    </xf>
    <xf numFmtId="0" fontId="5" fillId="0" borderId="0" xfId="0" applyNumberFormat="1" applyFont="1" applyFill="1" applyBorder="1"/>
    <xf numFmtId="0" fontId="1" fillId="0" borderId="0" xfId="0" quotePrefix="1" applyFont="1" applyFill="1" applyBorder="1" applyAlignment="1"/>
    <xf numFmtId="0" fontId="7" fillId="0" borderId="39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25" fillId="0" borderId="0" xfId="0" applyFont="1" applyFill="1" applyBorder="1" applyAlignment="1"/>
    <xf numFmtId="0" fontId="48" fillId="0" borderId="0" xfId="0" applyFont="1" applyAlignment="1">
      <alignment wrapText="1"/>
    </xf>
    <xf numFmtId="0" fontId="0" fillId="0" borderId="0" xfId="0" applyFill="1" applyBorder="1"/>
    <xf numFmtId="0" fontId="7" fillId="0" borderId="0" xfId="0" applyNumberFormat="1" applyFont="1" applyFill="1" applyBorder="1"/>
    <xf numFmtId="0" fontId="7" fillId="0" borderId="0" xfId="0" applyNumberFormat="1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20" xfId="0" applyFont="1" applyBorder="1" applyAlignment="1">
      <alignment vertical="center"/>
    </xf>
    <xf numFmtId="0" fontId="0" fillId="0" borderId="0" xfId="0" applyNumberFormat="1" applyFill="1" applyBorder="1" applyAlignment="1"/>
    <xf numFmtId="0" fontId="0" fillId="0" borderId="0" xfId="0" applyAlignment="1">
      <alignment horizontal="left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7" fillId="0" borderId="41" xfId="0" applyNumberFormat="1" applyFont="1" applyBorder="1" applyAlignment="1">
      <alignment horizontal="left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/>
    </xf>
    <xf numFmtId="0" fontId="7" fillId="0" borderId="37" xfId="0" applyFont="1" applyBorder="1" applyAlignment="1">
      <alignment horizontal="left" vertical="center" wrapText="1"/>
    </xf>
    <xf numFmtId="0" fontId="7" fillId="0" borderId="35" xfId="0" applyNumberFormat="1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2" xfId="0" applyNumberFormat="1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25" fillId="0" borderId="85" xfId="0" applyFont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1" fillId="0" borderId="41" xfId="0" applyFont="1" applyBorder="1" applyAlignment="1">
      <alignment horizontal="left"/>
    </xf>
    <xf numFmtId="0" fontId="1" fillId="0" borderId="59" xfId="0" applyFont="1" applyBorder="1"/>
    <xf numFmtId="0" fontId="25" fillId="0" borderId="31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4" fillId="0" borderId="3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76" xfId="0" applyFont="1" applyBorder="1"/>
    <xf numFmtId="0" fontId="1" fillId="0" borderId="15" xfId="0" applyFont="1" applyBorder="1"/>
    <xf numFmtId="0" fontId="1" fillId="0" borderId="0" xfId="0" applyFont="1" applyBorder="1"/>
    <xf numFmtId="0" fontId="18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52" fillId="0" borderId="0" xfId="0" applyFont="1" applyFill="1" applyBorder="1" applyAlignment="1">
      <alignment vertical="center" wrapText="1"/>
    </xf>
    <xf numFmtId="0" fontId="1" fillId="0" borderId="25" xfId="0" quotePrefix="1" applyFont="1" applyBorder="1" applyAlignment="1">
      <alignment horizontal="center" vertical="center"/>
    </xf>
    <xf numFmtId="0" fontId="4" fillId="0" borderId="45" xfId="0" quotePrefix="1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53" fillId="0" borderId="37" xfId="0" applyFont="1" applyBorder="1" applyAlignment="1">
      <alignment horizontal="center"/>
    </xf>
    <xf numFmtId="0" fontId="1" fillId="0" borderId="51" xfId="0" quotePrefix="1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wrapText="1"/>
    </xf>
    <xf numFmtId="0" fontId="1" fillId="0" borderId="3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9" borderId="1" xfId="0" applyFont="1" applyFill="1" applyBorder="1" applyAlignment="1">
      <alignment horizontal="left" vertical="top" wrapText="1"/>
    </xf>
    <xf numFmtId="0" fontId="1" fillId="11" borderId="5" xfId="0" applyFont="1" applyFill="1" applyBorder="1" applyAlignment="1">
      <alignment horizontal="left" vertical="top" wrapText="1"/>
    </xf>
    <xf numFmtId="0" fontId="1" fillId="11" borderId="3" xfId="0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4" borderId="1" xfId="0" applyFont="1" applyFill="1" applyBorder="1" applyAlignment="1">
      <alignment horizontal="left" vertical="top" wrapText="1"/>
    </xf>
    <xf numFmtId="0" fontId="1" fillId="15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5" fillId="8" borderId="1" xfId="0" applyFont="1" applyFill="1" applyBorder="1" applyAlignment="1">
      <alignment horizontal="left" vertical="top" wrapText="1"/>
    </xf>
    <xf numFmtId="0" fontId="1" fillId="8" borderId="20" xfId="0" applyFont="1" applyFill="1" applyBorder="1" applyAlignment="1">
      <alignment horizontal="left" vertical="top" wrapText="1"/>
    </xf>
    <xf numFmtId="0" fontId="1" fillId="0" borderId="3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/>
    <xf numFmtId="0" fontId="7" fillId="0" borderId="0" xfId="0" applyNumberFormat="1" applyFont="1" applyBorder="1"/>
    <xf numFmtId="0" fontId="7" fillId="0" borderId="1" xfId="0" applyFont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left" vertical="top"/>
    </xf>
    <xf numFmtId="0" fontId="25" fillId="10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25" fillId="15" borderId="1" xfId="0" applyFont="1" applyFill="1" applyBorder="1" applyAlignment="1">
      <alignment horizontal="center" vertical="center"/>
    </xf>
    <xf numFmtId="0" fontId="25" fillId="14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5" fillId="0" borderId="4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15" fillId="0" borderId="41" xfId="0" applyFont="1" applyBorder="1" applyAlignment="1">
      <alignment horizontal="left" wrapText="1"/>
    </xf>
    <xf numFmtId="0" fontId="15" fillId="0" borderId="36" xfId="0" applyFont="1" applyBorder="1" applyAlignment="1">
      <alignment horizontal="left" wrapText="1"/>
    </xf>
    <xf numFmtId="0" fontId="15" fillId="0" borderId="36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" fillId="0" borderId="80" xfId="0" applyFont="1" applyBorder="1" applyAlignment="1">
      <alignment horizontal="center" vertical="center"/>
    </xf>
    <xf numFmtId="0" fontId="15" fillId="0" borderId="87" xfId="0" applyFont="1" applyBorder="1" applyAlignment="1">
      <alignment horizontal="left"/>
    </xf>
    <xf numFmtId="0" fontId="25" fillId="13" borderId="10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0" fontId="25" fillId="13" borderId="29" xfId="0" applyFont="1" applyFill="1" applyBorder="1" applyAlignment="1">
      <alignment horizontal="center" vertical="center"/>
    </xf>
    <xf numFmtId="0" fontId="25" fillId="13" borderId="12" xfId="0" applyFont="1" applyFill="1" applyBorder="1" applyAlignment="1">
      <alignment horizontal="center" vertical="center"/>
    </xf>
    <xf numFmtId="0" fontId="25" fillId="13" borderId="13" xfId="0" applyFont="1" applyFill="1" applyBorder="1" applyAlignment="1">
      <alignment horizontal="center" vertical="center"/>
    </xf>
    <xf numFmtId="0" fontId="25" fillId="13" borderId="3" xfId="0" applyFont="1" applyFill="1" applyBorder="1" applyAlignment="1">
      <alignment horizontal="center" vertical="center"/>
    </xf>
    <xf numFmtId="0" fontId="1" fillId="0" borderId="35" xfId="0" applyFont="1" applyBorder="1"/>
    <xf numFmtId="0" fontId="51" fillId="0" borderId="36" xfId="0" applyFont="1" applyBorder="1" applyAlignment="1">
      <alignment horizontal="left" vertical="center" wrapText="1"/>
    </xf>
    <xf numFmtId="0" fontId="51" fillId="0" borderId="36" xfId="0" applyFont="1" applyBorder="1" applyAlignment="1">
      <alignment vertical="center" wrapText="1"/>
    </xf>
    <xf numFmtId="0" fontId="51" fillId="0" borderId="14" xfId="0" applyFont="1" applyBorder="1" applyAlignment="1">
      <alignment vertical="center" wrapText="1"/>
    </xf>
    <xf numFmtId="0" fontId="15" fillId="0" borderId="0" xfId="0" applyNumberFormat="1" applyFont="1" applyBorder="1" applyAlignment="1"/>
    <xf numFmtId="0" fontId="51" fillId="0" borderId="36" xfId="0" applyNumberFormat="1" applyFont="1" applyBorder="1" applyAlignment="1">
      <alignment horizontal="left" vertical="center" wrapText="1"/>
    </xf>
    <xf numFmtId="0" fontId="15" fillId="0" borderId="36" xfId="0" applyNumberFormat="1" applyFont="1" applyBorder="1" applyAlignment="1">
      <alignment horizontal="left" vertical="center" wrapText="1"/>
    </xf>
    <xf numFmtId="0" fontId="15" fillId="0" borderId="37" xfId="0" applyNumberFormat="1" applyFont="1" applyBorder="1" applyAlignment="1">
      <alignment horizontal="left" vertical="center"/>
    </xf>
    <xf numFmtId="0" fontId="51" fillId="0" borderId="35" xfId="0" applyNumberFormat="1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 wrapText="1"/>
    </xf>
    <xf numFmtId="0" fontId="25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37" xfId="0" applyFont="1" applyFill="1" applyBorder="1" applyAlignment="1">
      <alignment horizontal="center" vertical="center"/>
    </xf>
    <xf numFmtId="0" fontId="48" fillId="0" borderId="36" xfId="0" applyFont="1" applyBorder="1" applyAlignment="1">
      <alignment horizontal="center"/>
    </xf>
    <xf numFmtId="0" fontId="48" fillId="0" borderId="3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34" fillId="0" borderId="0" xfId="0" applyFont="1"/>
    <xf numFmtId="0" fontId="64" fillId="0" borderId="0" xfId="0" applyFont="1" applyAlignment="1">
      <alignment horizontal="center"/>
    </xf>
    <xf numFmtId="0" fontId="34" fillId="0" borderId="19" xfId="0" applyFont="1" applyBorder="1"/>
    <xf numFmtId="0" fontId="64" fillId="0" borderId="19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1" xfId="0" applyFont="1" applyBorder="1"/>
    <xf numFmtId="0" fontId="25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48" fillId="0" borderId="0" xfId="0" applyFont="1" applyAlignment="1">
      <alignment horizontal="justify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1" fillId="0" borderId="103" xfId="0" applyFont="1" applyBorder="1" applyAlignment="1">
      <alignment horizontal="center" vertical="center"/>
    </xf>
    <xf numFmtId="0" fontId="1" fillId="0" borderId="104" xfId="0" applyFont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1" fillId="0" borderId="103" xfId="0" applyFont="1" applyBorder="1" applyAlignment="1">
      <alignment horizontal="left" vertical="center" wrapText="1"/>
    </xf>
    <xf numFmtId="0" fontId="1" fillId="0" borderId="104" xfId="0" applyFont="1" applyBorder="1"/>
    <xf numFmtId="0" fontId="1" fillId="0" borderId="105" xfId="0" applyFont="1" applyBorder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7" fillId="0" borderId="54" xfId="0" applyNumberFormat="1" applyFont="1" applyBorder="1" applyAlignment="1">
      <alignment horizontal="center" vertical="center"/>
    </xf>
    <xf numFmtId="0" fontId="7" fillId="0" borderId="51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71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57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1" fillId="0" borderId="4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1" fillId="0" borderId="44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/>
    </xf>
    <xf numFmtId="0" fontId="1" fillId="0" borderId="5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7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5" fillId="0" borderId="87" xfId="0" applyFont="1" applyBorder="1" applyAlignment="1">
      <alignment horizontal="left" vertical="center" wrapText="1"/>
    </xf>
    <xf numFmtId="0" fontId="1" fillId="0" borderId="82" xfId="0" applyFont="1" applyBorder="1" applyAlignment="1">
      <alignment horizontal="center" vertical="center"/>
    </xf>
    <xf numFmtId="0" fontId="15" fillId="0" borderId="35" xfId="0" applyFont="1" applyBorder="1" applyAlignment="1">
      <alignment wrapText="1"/>
    </xf>
    <xf numFmtId="0" fontId="15" fillId="0" borderId="37" xfId="0" applyFont="1" applyBorder="1"/>
    <xf numFmtId="0" fontId="7" fillId="0" borderId="36" xfId="0" applyFont="1" applyBorder="1" applyAlignment="1">
      <alignment horizontal="left" vertical="center"/>
    </xf>
    <xf numFmtId="0" fontId="15" fillId="0" borderId="36" xfId="0" applyFont="1" applyBorder="1"/>
    <xf numFmtId="0" fontId="15" fillId="0" borderId="37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46" fontId="1" fillId="0" borderId="0" xfId="0" applyNumberFormat="1" applyFont="1"/>
    <xf numFmtId="0" fontId="18" fillId="0" borderId="4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3" borderId="0" xfId="0" applyFont="1" applyFill="1"/>
    <xf numFmtId="0" fontId="7" fillId="3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/>
    <xf numFmtId="0" fontId="1" fillId="0" borderId="4" xfId="0" applyFont="1" applyBorder="1"/>
    <xf numFmtId="0" fontId="25" fillId="0" borderId="107" xfId="0" applyFont="1" applyBorder="1" applyAlignment="1">
      <alignment horizontal="center" vertical="center" wrapText="1"/>
    </xf>
    <xf numFmtId="0" fontId="1" fillId="0" borderId="108" xfId="0" applyFont="1" applyBorder="1"/>
    <xf numFmtId="0" fontId="1" fillId="0" borderId="33" xfId="0" applyFont="1" applyBorder="1" applyAlignment="1">
      <alignment vertical="center"/>
    </xf>
    <xf numFmtId="0" fontId="1" fillId="0" borderId="109" xfId="0" applyFont="1" applyBorder="1"/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 wrapText="1"/>
    </xf>
    <xf numFmtId="0" fontId="15" fillId="0" borderId="87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0" fillId="4" borderId="41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wrapText="1"/>
    </xf>
    <xf numFmtId="0" fontId="1" fillId="0" borderId="6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7" fillId="0" borderId="42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28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9" xfId="0" applyFont="1" applyBorder="1" applyAlignment="1"/>
    <xf numFmtId="0" fontId="1" fillId="0" borderId="13" xfId="0" applyFont="1" applyBorder="1" applyAlignment="1"/>
    <xf numFmtId="0" fontId="55" fillId="3" borderId="18" xfId="0" applyFont="1" applyFill="1" applyBorder="1" applyAlignment="1"/>
    <xf numFmtId="0" fontId="55" fillId="3" borderId="0" xfId="0" applyFont="1" applyFill="1" applyBorder="1" applyAlignment="1"/>
    <xf numFmtId="0" fontId="4" fillId="12" borderId="36" xfId="0" applyFont="1" applyFill="1" applyBorder="1" applyAlignment="1">
      <alignment horizontal="center" vertical="center" wrapText="1"/>
    </xf>
    <xf numFmtId="0" fontId="1" fillId="0" borderId="48" xfId="0" applyNumberFormat="1" applyFont="1" applyBorder="1" applyAlignment="1">
      <alignment vertical="center"/>
    </xf>
    <xf numFmtId="0" fontId="1" fillId="0" borderId="49" xfId="0" applyNumberFormat="1" applyFont="1" applyBorder="1" applyAlignment="1">
      <alignment vertical="center"/>
    </xf>
    <xf numFmtId="0" fontId="4" fillId="0" borderId="41" xfId="0" applyFont="1" applyBorder="1" applyAlignment="1">
      <alignment horizontal="center"/>
    </xf>
    <xf numFmtId="0" fontId="1" fillId="0" borderId="17" xfId="0" applyFont="1" applyBorder="1" applyAlignment="1"/>
    <xf numFmtId="0" fontId="34" fillId="0" borderId="31" xfId="0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58" xfId="0" applyFont="1" applyBorder="1"/>
    <xf numFmtId="0" fontId="1" fillId="0" borderId="40" xfId="0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39" xfId="0" applyFont="1" applyBorder="1" applyAlignment="1"/>
    <xf numFmtId="0" fontId="1" fillId="0" borderId="51" xfId="0" applyFont="1" applyBorder="1" applyAlignment="1"/>
    <xf numFmtId="0" fontId="1" fillId="0" borderId="46" xfId="0" applyFont="1" applyBorder="1" applyAlignment="1"/>
    <xf numFmtId="0" fontId="1" fillId="0" borderId="52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7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36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33" xfId="0" applyFont="1" applyBorder="1" applyAlignment="1"/>
    <xf numFmtId="0" fontId="1" fillId="0" borderId="44" xfId="0" applyFont="1" applyBorder="1" applyAlignment="1"/>
    <xf numFmtId="0" fontId="4" fillId="0" borderId="31" xfId="0" applyFont="1" applyBorder="1" applyAlignment="1">
      <alignment horizontal="center" vertical="center"/>
    </xf>
    <xf numFmtId="0" fontId="1" fillId="0" borderId="26" xfId="0" applyFont="1" applyBorder="1" applyAlignment="1"/>
    <xf numFmtId="0" fontId="1" fillId="0" borderId="59" xfId="0" applyFont="1" applyBorder="1" applyAlignment="1"/>
    <xf numFmtId="0" fontId="1" fillId="0" borderId="27" xfId="0" applyFont="1" applyBorder="1" applyAlignment="1"/>
    <xf numFmtId="0" fontId="1" fillId="0" borderId="58" xfId="0" applyFont="1" applyBorder="1" applyAlignment="1"/>
    <xf numFmtId="0" fontId="1" fillId="0" borderId="28" xfId="0" applyFont="1" applyBorder="1" applyAlignment="1"/>
    <xf numFmtId="0" fontId="1" fillId="0" borderId="23" xfId="0" applyFont="1" applyBorder="1" applyAlignment="1"/>
    <xf numFmtId="0" fontId="1" fillId="0" borderId="6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48" xfId="0" applyFont="1" applyBorder="1" applyAlignment="1"/>
    <xf numFmtId="0" fontId="1" fillId="0" borderId="49" xfId="0" applyFont="1" applyBorder="1" applyAlignment="1"/>
    <xf numFmtId="0" fontId="1" fillId="0" borderId="7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2" xfId="0" applyFont="1" applyBorder="1" applyAlignment="1"/>
    <xf numFmtId="0" fontId="1" fillId="0" borderId="70" xfId="0" applyFont="1" applyBorder="1" applyAlignment="1"/>
    <xf numFmtId="0" fontId="1" fillId="0" borderId="102" xfId="0" applyFont="1" applyBorder="1" applyAlignment="1"/>
    <xf numFmtId="0" fontId="1" fillId="0" borderId="26" xfId="0" applyFont="1" applyBorder="1" applyAlignment="1">
      <alignment vertical="center"/>
    </xf>
    <xf numFmtId="0" fontId="1" fillId="0" borderId="48" xfId="0" applyFont="1" applyFill="1" applyBorder="1" applyAlignment="1">
      <alignment horizontal="center" vertical="center"/>
    </xf>
    <xf numFmtId="0" fontId="49" fillId="0" borderId="31" xfId="0" applyFont="1" applyBorder="1" applyAlignment="1">
      <alignment horizontal="center" vertical="center" wrapText="1"/>
    </xf>
    <xf numFmtId="0" fontId="67" fillId="0" borderId="36" xfId="0" applyFont="1" applyBorder="1" applyAlignment="1">
      <alignment horizontal="center" vertical="center"/>
    </xf>
    <xf numFmtId="0" fontId="75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76" fillId="0" borderId="0" xfId="0" applyFont="1"/>
    <xf numFmtId="0" fontId="48" fillId="0" borderId="3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12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63" fillId="0" borderId="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1" fillId="0" borderId="34" xfId="0" applyFont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4" fillId="0" borderId="46" xfId="0" applyFont="1" applyBorder="1" applyAlignment="1">
      <alignment horizontal="center"/>
    </xf>
    <xf numFmtId="0" fontId="1" fillId="0" borderId="73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5" fillId="3" borderId="36" xfId="0" applyFont="1" applyFill="1" applyBorder="1" applyAlignment="1">
      <alignment horizontal="left" wrapText="1"/>
    </xf>
    <xf numFmtId="0" fontId="15" fillId="3" borderId="41" xfId="0" applyFont="1" applyFill="1" applyBorder="1" applyAlignment="1">
      <alignment horizontal="left" wrapText="1"/>
    </xf>
    <xf numFmtId="0" fontId="1" fillId="0" borderId="6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7" fillId="0" borderId="5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7" fillId="0" borderId="5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3" borderId="3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1" fillId="0" borderId="37" xfId="0" applyFont="1" applyBorder="1" applyAlignment="1">
      <alignment horizontal="center"/>
    </xf>
    <xf numFmtId="0" fontId="48" fillId="0" borderId="0" xfId="0" applyFont="1"/>
    <xf numFmtId="0" fontId="48" fillId="0" borderId="0" xfId="0" applyFont="1" applyAlignment="1">
      <alignment vertical="center"/>
    </xf>
    <xf numFmtId="22" fontId="48" fillId="0" borderId="0" xfId="0" applyNumberFormat="1" applyFont="1"/>
    <xf numFmtId="0" fontId="48" fillId="0" borderId="0" xfId="0" applyFont="1" applyAlignment="1">
      <alignment horizontal="left" vertical="center" wrapText="1"/>
    </xf>
    <xf numFmtId="0" fontId="49" fillId="0" borderId="0" xfId="0" applyFont="1" applyAlignment="1">
      <alignment vertical="center"/>
    </xf>
    <xf numFmtId="0" fontId="48" fillId="0" borderId="20" xfId="0" applyFont="1" applyBorder="1" applyAlignment="1">
      <alignment horizontal="center"/>
    </xf>
    <xf numFmtId="0" fontId="79" fillId="0" borderId="20" xfId="0" applyFont="1" applyBorder="1" applyAlignment="1">
      <alignment horizontal="center"/>
    </xf>
    <xf numFmtId="0" fontId="79" fillId="0" borderId="41" xfId="0" applyFont="1" applyBorder="1" applyAlignment="1">
      <alignment horizontal="center"/>
    </xf>
    <xf numFmtId="0" fontId="48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0" borderId="113" xfId="0" applyFont="1" applyBorder="1"/>
    <xf numFmtId="0" fontId="1" fillId="0" borderId="114" xfId="0" applyFont="1" applyBorder="1"/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57" fillId="16" borderId="4" xfId="0" applyFont="1" applyFill="1" applyBorder="1" applyAlignment="1">
      <alignment horizontal="center" wrapText="1"/>
    </xf>
    <xf numFmtId="0" fontId="57" fillId="16" borderId="6" xfId="0" applyFont="1" applyFill="1" applyBorder="1" applyAlignment="1">
      <alignment horizontal="center"/>
    </xf>
    <xf numFmtId="0" fontId="57" fillId="16" borderId="15" xfId="0" applyFont="1" applyFill="1" applyBorder="1" applyAlignment="1">
      <alignment horizontal="center"/>
    </xf>
    <xf numFmtId="0" fontId="57" fillId="16" borderId="9" xfId="0" applyFont="1" applyFill="1" applyBorder="1" applyAlignment="1">
      <alignment horizontal="center"/>
    </xf>
    <xf numFmtId="0" fontId="57" fillId="16" borderId="11" xfId="0" applyFont="1" applyFill="1" applyBorder="1" applyAlignment="1">
      <alignment horizontal="center"/>
    </xf>
    <xf numFmtId="0" fontId="57" fillId="16" borderId="8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1" fillId="8" borderId="20" xfId="0" applyFont="1" applyFill="1" applyBorder="1" applyAlignment="1">
      <alignment horizontal="left" vertical="center" wrapText="1"/>
    </xf>
    <xf numFmtId="0" fontId="1" fillId="8" borderId="31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  <xf numFmtId="0" fontId="58" fillId="0" borderId="63" xfId="0" applyFont="1" applyBorder="1" applyAlignment="1">
      <alignment horizontal="center" vertical="center"/>
    </xf>
    <xf numFmtId="0" fontId="58" fillId="0" borderId="17" xfId="0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4" borderId="20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14" borderId="20" xfId="0" applyFont="1" applyFill="1" applyBorder="1" applyAlignment="1">
      <alignment horizontal="left" vertical="center" wrapText="1"/>
    </xf>
    <xf numFmtId="0" fontId="1" fillId="14" borderId="1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8" fillId="0" borderId="50" xfId="0" applyFont="1" applyBorder="1" applyAlignment="1">
      <alignment horizontal="center" vertical="center"/>
    </xf>
    <xf numFmtId="0" fontId="58" fillId="0" borderId="51" xfId="0" applyFont="1" applyBorder="1" applyAlignment="1">
      <alignment horizontal="center" vertical="center"/>
    </xf>
    <xf numFmtId="0" fontId="58" fillId="0" borderId="5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3" borderId="15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3" xfId="0" applyFont="1" applyBorder="1" applyAlignment="1">
      <alignment horizontal="center"/>
    </xf>
    <xf numFmtId="0" fontId="5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left" vertical="center" wrapText="1"/>
    </xf>
    <xf numFmtId="0" fontId="1" fillId="7" borderId="31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center" vertical="center"/>
    </xf>
    <xf numFmtId="0" fontId="1" fillId="0" borderId="56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1" fillId="0" borderId="106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5" fillId="0" borderId="87" xfId="0" applyFont="1" applyBorder="1" applyAlignment="1">
      <alignment horizontal="left" wrapText="1"/>
    </xf>
    <xf numFmtId="0" fontId="58" fillId="0" borderId="31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7" fillId="7" borderId="20" xfId="0" applyFont="1" applyFill="1" applyBorder="1" applyAlignment="1">
      <alignment horizontal="left" vertical="center" wrapText="1"/>
    </xf>
    <xf numFmtId="0" fontId="7" fillId="7" borderId="31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/>
    </xf>
    <xf numFmtId="0" fontId="1" fillId="20" borderId="1" xfId="0" applyFont="1" applyFill="1" applyBorder="1" applyAlignment="1">
      <alignment horizontal="left" vertical="center" wrapText="1"/>
    </xf>
    <xf numFmtId="0" fontId="1" fillId="20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55" fillId="0" borderId="10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1" fillId="20" borderId="20" xfId="0" applyFont="1" applyFill="1" applyBorder="1" applyAlignment="1">
      <alignment horizontal="left" vertical="center" wrapText="1"/>
    </xf>
    <xf numFmtId="0" fontId="1" fillId="20" borderId="31" xfId="0" applyFont="1" applyFill="1" applyBorder="1" applyAlignment="1">
      <alignment horizontal="left" vertical="center" wrapText="1"/>
    </xf>
    <xf numFmtId="0" fontId="1" fillId="20" borderId="14" xfId="0" applyFont="1" applyFill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0" borderId="76" xfId="0" applyNumberFormat="1" applyFont="1" applyBorder="1" applyAlignment="1">
      <alignment horizontal="center" vertical="center"/>
    </xf>
    <xf numFmtId="0" fontId="1" fillId="0" borderId="75" xfId="0" applyNumberFormat="1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25" fillId="0" borderId="2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5" fillId="0" borderId="20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wrapText="1"/>
    </xf>
    <xf numFmtId="0" fontId="25" fillId="2" borderId="3" xfId="0" applyFont="1" applyFill="1" applyBorder="1" applyAlignment="1">
      <alignment horizont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" fillId="8" borderId="31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center" vertical="center"/>
    </xf>
    <xf numFmtId="0" fontId="1" fillId="0" borderId="51" xfId="0" applyNumberFormat="1" applyFont="1" applyBorder="1" applyAlignment="1">
      <alignment horizontal="center" vertical="center"/>
    </xf>
    <xf numFmtId="0" fontId="7" fillId="6" borderId="53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19" borderId="35" xfId="0" applyFont="1" applyFill="1" applyBorder="1" applyAlignment="1">
      <alignment horizontal="center" vertical="center" wrapText="1"/>
    </xf>
    <xf numFmtId="0" fontId="1" fillId="19" borderId="36" xfId="0" applyFont="1" applyFill="1" applyBorder="1" applyAlignment="1">
      <alignment horizontal="center" vertical="center" wrapText="1"/>
    </xf>
    <xf numFmtId="0" fontId="1" fillId="19" borderId="37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left" vertical="center" wrapText="1"/>
    </xf>
    <xf numFmtId="0" fontId="25" fillId="0" borderId="36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left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4" borderId="31" xfId="0" applyFont="1" applyFill="1" applyBorder="1" applyAlignment="1">
      <alignment horizontal="left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1" borderId="20" xfId="0" applyFont="1" applyFill="1" applyBorder="1" applyAlignment="1">
      <alignment horizontal="left" vertical="center" wrapText="1"/>
    </xf>
    <xf numFmtId="0" fontId="1" fillId="21" borderId="31" xfId="0" applyFont="1" applyFill="1" applyBorder="1" applyAlignment="1">
      <alignment horizontal="left" vertical="center"/>
    </xf>
    <xf numFmtId="0" fontId="1" fillId="21" borderId="14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7" fillId="21" borderId="20" xfId="0" applyFont="1" applyFill="1" applyBorder="1" applyAlignment="1">
      <alignment horizontal="left" vertical="center" wrapText="1"/>
    </xf>
    <xf numFmtId="0" fontId="7" fillId="21" borderId="31" xfId="0" applyFont="1" applyFill="1" applyBorder="1" applyAlignment="1">
      <alignment horizontal="left" vertical="center" wrapText="1"/>
    </xf>
    <xf numFmtId="0" fontId="7" fillId="21" borderId="14" xfId="0" applyFont="1" applyFill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4" xfId="0" applyNumberFormat="1" applyFont="1" applyBorder="1" applyAlignment="1">
      <alignment horizontal="center" vertical="center"/>
    </xf>
    <xf numFmtId="0" fontId="7" fillId="0" borderId="53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1" fillId="21" borderId="31" xfId="0" applyFont="1" applyFill="1" applyBorder="1" applyAlignment="1">
      <alignment horizontal="left" vertical="center" wrapText="1"/>
    </xf>
    <xf numFmtId="0" fontId="1" fillId="21" borderId="14" xfId="0" applyFont="1" applyFill="1" applyBorder="1" applyAlignment="1">
      <alignment horizontal="left" vertical="center" wrapText="1"/>
    </xf>
    <xf numFmtId="0" fontId="33" fillId="0" borderId="20" xfId="0" applyFont="1" applyFill="1" applyBorder="1" applyAlignment="1">
      <alignment horizontal="left" vertical="center" wrapText="1"/>
    </xf>
    <xf numFmtId="0" fontId="33" fillId="0" borderId="31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7" fillId="0" borderId="42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56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8" borderId="20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3" fillId="8" borderId="20" xfId="0" applyFont="1" applyFill="1" applyBorder="1" applyAlignment="1">
      <alignment horizontal="left" vertical="center" wrapText="1"/>
    </xf>
    <xf numFmtId="0" fontId="33" fillId="8" borderId="14" xfId="0" applyFont="1" applyFill="1" applyBorder="1" applyAlignment="1">
      <alignment horizontal="left" vertical="center" wrapText="1"/>
    </xf>
    <xf numFmtId="0" fontId="7" fillId="6" borderId="20" xfId="0" applyFont="1" applyFill="1" applyBorder="1" applyAlignment="1">
      <alignment horizontal="left" vertical="center" wrapText="1"/>
    </xf>
    <xf numFmtId="0" fontId="7" fillId="6" borderId="31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0" xfId="0" applyNumberFormat="1" applyFont="1" applyBorder="1" applyAlignment="1">
      <alignment horizontal="center" vertical="center"/>
    </xf>
    <xf numFmtId="0" fontId="33" fillId="0" borderId="2" xfId="0" applyNumberFormat="1" applyFont="1" applyBorder="1" applyAlignment="1">
      <alignment horizontal="center" vertical="center"/>
    </xf>
    <xf numFmtId="0" fontId="33" fillId="0" borderId="3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/>
    </xf>
    <xf numFmtId="0" fontId="7" fillId="8" borderId="20" xfId="0" applyFont="1" applyFill="1" applyBorder="1" applyAlignment="1">
      <alignment horizontal="left" wrapText="1"/>
    </xf>
    <xf numFmtId="0" fontId="7" fillId="8" borderId="31" xfId="0" applyFont="1" applyFill="1" applyBorder="1" applyAlignment="1">
      <alignment horizontal="left" wrapText="1"/>
    </xf>
    <xf numFmtId="0" fontId="7" fillId="0" borderId="33" xfId="0" applyNumberFormat="1" applyFont="1" applyBorder="1" applyAlignment="1">
      <alignment horizontal="center" vertical="center"/>
    </xf>
    <xf numFmtId="0" fontId="7" fillId="0" borderId="51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7" fillId="0" borderId="54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/>
    </xf>
    <xf numFmtId="0" fontId="7" fillId="0" borderId="52" xfId="0" applyNumberFormat="1" applyFont="1" applyBorder="1" applyAlignment="1">
      <alignment horizontal="center" vertical="center"/>
    </xf>
    <xf numFmtId="0" fontId="56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20" borderId="53" xfId="0" applyFont="1" applyFill="1" applyBorder="1" applyAlignment="1">
      <alignment horizontal="left" vertical="center" wrapText="1"/>
    </xf>
    <xf numFmtId="0" fontId="7" fillId="20" borderId="9" xfId="0" applyFont="1" applyFill="1" applyBorder="1" applyAlignment="1">
      <alignment horizontal="left" vertical="center" wrapText="1"/>
    </xf>
    <xf numFmtId="0" fontId="7" fillId="20" borderId="8" xfId="0" applyFont="1" applyFill="1" applyBorder="1" applyAlignment="1">
      <alignment horizontal="left" vertical="center" wrapText="1"/>
    </xf>
    <xf numFmtId="0" fontId="33" fillId="0" borderId="14" xfId="0" applyFont="1" applyBorder="1" applyAlignment="1">
      <alignment horizontal="center"/>
    </xf>
    <xf numFmtId="0" fontId="56" fillId="0" borderId="11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1" fillId="6" borderId="63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25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" fillId="3" borderId="20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0" borderId="39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 wrapText="1"/>
    </xf>
    <xf numFmtId="0" fontId="7" fillId="6" borderId="42" xfId="0" applyFont="1" applyFill="1" applyBorder="1" applyAlignment="1">
      <alignment horizontal="left" vertical="center" wrapText="1"/>
    </xf>
    <xf numFmtId="0" fontId="7" fillId="0" borderId="45" xfId="0" applyNumberFormat="1" applyFont="1" applyBorder="1" applyAlignment="1">
      <alignment horizontal="center" vertical="center"/>
    </xf>
    <xf numFmtId="0" fontId="1" fillId="6" borderId="23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62" fillId="0" borderId="42" xfId="0" applyFont="1" applyFill="1" applyBorder="1" applyAlignment="1">
      <alignment horizontal="left" vertical="center" wrapText="1"/>
    </xf>
    <xf numFmtId="0" fontId="62" fillId="0" borderId="14" xfId="0" applyFont="1" applyFill="1" applyBorder="1" applyAlignment="1">
      <alignment horizontal="left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" fillId="4" borderId="9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110" xfId="0" applyFont="1" applyBorder="1" applyAlignment="1">
      <alignment horizontal="center" vertical="center"/>
    </xf>
    <xf numFmtId="0" fontId="1" fillId="0" borderId="1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" fillId="0" borderId="87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48" fillId="0" borderId="11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1" fillId="5" borderId="3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/>
    </xf>
    <xf numFmtId="0" fontId="1" fillId="0" borderId="10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5" fillId="4" borderId="20" xfId="0" applyFont="1" applyFill="1" applyBorder="1" applyAlignment="1">
      <alignment horizontal="left" vertical="center" wrapText="1"/>
    </xf>
    <xf numFmtId="0" fontId="25" fillId="4" borderId="31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" fillId="0" borderId="98" xfId="0" applyFont="1" applyBorder="1" applyAlignment="1">
      <alignment horizontal="center" vertical="center" wrapText="1"/>
    </xf>
    <xf numFmtId="0" fontId="1" fillId="0" borderId="99" xfId="0" applyFont="1" applyBorder="1" applyAlignment="1">
      <alignment horizontal="center" vertical="center" wrapText="1"/>
    </xf>
    <xf numFmtId="0" fontId="1" fillId="4" borderId="68" xfId="0" applyFont="1" applyFill="1" applyBorder="1" applyAlignment="1">
      <alignment horizontal="left" vertical="center" wrapText="1"/>
    </xf>
    <xf numFmtId="0" fontId="1" fillId="4" borderId="6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8" fillId="0" borderId="54" xfId="0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5" fillId="2" borderId="15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5" fillId="0" borderId="2" xfId="0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0" borderId="95" xfId="0" applyFont="1" applyBorder="1" applyAlignment="1">
      <alignment horizontal="center" wrapText="1"/>
    </xf>
    <xf numFmtId="0" fontId="11" fillId="0" borderId="96" xfId="0" applyFont="1" applyBorder="1" applyAlignment="1">
      <alignment horizontal="center" wrapText="1"/>
    </xf>
    <xf numFmtId="0" fontId="11" fillId="0" borderId="97" xfId="0" applyFont="1" applyBorder="1" applyAlignment="1">
      <alignment horizontal="center" wrapText="1"/>
    </xf>
    <xf numFmtId="0" fontId="1" fillId="0" borderId="3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/>
    </xf>
    <xf numFmtId="0" fontId="1" fillId="0" borderId="98" xfId="0" applyFont="1" applyBorder="1" applyAlignment="1">
      <alignment horizontal="center"/>
    </xf>
    <xf numFmtId="0" fontId="1" fillId="0" borderId="99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" fillId="21" borderId="53" xfId="0" applyFont="1" applyFill="1" applyBorder="1" applyAlignment="1">
      <alignment horizontal="left" vertical="center" wrapText="1"/>
    </xf>
    <xf numFmtId="0" fontId="1" fillId="21" borderId="9" xfId="0" applyFont="1" applyFill="1" applyBorder="1" applyAlignment="1">
      <alignment horizontal="left" vertical="center" wrapText="1"/>
    </xf>
    <xf numFmtId="0" fontId="1" fillId="21" borderId="8" xfId="0" applyFont="1" applyFill="1" applyBorder="1" applyAlignment="1">
      <alignment horizontal="left" vertical="center" wrapText="1"/>
    </xf>
    <xf numFmtId="0" fontId="1" fillId="20" borderId="20" xfId="0" applyFont="1" applyFill="1" applyBorder="1" applyAlignment="1">
      <alignment horizontal="center" vertical="center" wrapText="1"/>
    </xf>
    <xf numFmtId="0" fontId="1" fillId="20" borderId="31" xfId="0" applyFont="1" applyFill="1" applyBorder="1" applyAlignment="1">
      <alignment horizontal="center" vertical="center" wrapText="1"/>
    </xf>
    <xf numFmtId="0" fontId="1" fillId="20" borderId="1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1" fillId="20" borderId="9" xfId="0" applyFont="1" applyFill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8" fillId="0" borderId="54" xfId="0" applyFont="1" applyBorder="1" applyAlignment="1">
      <alignment horizontal="center" wrapText="1"/>
    </xf>
    <xf numFmtId="0" fontId="58" fillId="0" borderId="52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63" fillId="0" borderId="20" xfId="0" applyFont="1" applyBorder="1" applyAlignment="1">
      <alignment horizontal="center" vertical="center" wrapText="1"/>
    </xf>
    <xf numFmtId="0" fontId="63" fillId="0" borderId="31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left" vertical="center" wrapText="1"/>
    </xf>
    <xf numFmtId="0" fontId="1" fillId="11" borderId="9" xfId="0" applyFont="1" applyFill="1" applyBorder="1" applyAlignment="1">
      <alignment horizontal="left" vertical="center" wrapText="1"/>
    </xf>
    <xf numFmtId="0" fontId="1" fillId="11" borderId="14" xfId="0" applyFont="1" applyFill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8" fillId="3" borderId="20" xfId="0" applyFont="1" applyFill="1" applyBorder="1" applyAlignment="1">
      <alignment horizontal="center" vertical="center"/>
    </xf>
    <xf numFmtId="0" fontId="58" fillId="3" borderId="31" xfId="0" applyFont="1" applyFill="1" applyBorder="1" applyAlignment="1">
      <alignment horizontal="center" vertical="center"/>
    </xf>
    <xf numFmtId="0" fontId="58" fillId="3" borderId="14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11" borderId="20" xfId="0" applyFont="1" applyFill="1" applyBorder="1" applyAlignment="1">
      <alignment horizontal="left" vertical="center" wrapText="1"/>
    </xf>
    <xf numFmtId="0" fontId="1" fillId="11" borderId="31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/>
    </xf>
    <xf numFmtId="0" fontId="1" fillId="18" borderId="6" xfId="0" applyFont="1" applyFill="1" applyBorder="1" applyAlignment="1">
      <alignment horizontal="left" vertical="center" wrapText="1"/>
    </xf>
    <xf numFmtId="0" fontId="1" fillId="18" borderId="9" xfId="0" applyFont="1" applyFill="1" applyBorder="1" applyAlignment="1">
      <alignment horizontal="left" vertical="center" wrapText="1"/>
    </xf>
    <xf numFmtId="0" fontId="1" fillId="18" borderId="8" xfId="0" applyFont="1" applyFill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1" fillId="17" borderId="6" xfId="0" applyFont="1" applyFill="1" applyBorder="1" applyAlignment="1">
      <alignment horizontal="left" vertical="center" wrapText="1"/>
    </xf>
    <xf numFmtId="0" fontId="1" fillId="17" borderId="9" xfId="0" applyFont="1" applyFill="1" applyBorder="1" applyAlignment="1">
      <alignment horizontal="left" vertical="center" wrapText="1"/>
    </xf>
    <xf numFmtId="0" fontId="1" fillId="17" borderId="8" xfId="0" applyFont="1" applyFill="1" applyBorder="1" applyAlignment="1">
      <alignment horizontal="left" vertical="center" wrapText="1"/>
    </xf>
    <xf numFmtId="0" fontId="1" fillId="17" borderId="20" xfId="0" applyFont="1" applyFill="1" applyBorder="1" applyAlignment="1">
      <alignment horizontal="left" vertical="center" wrapText="1"/>
    </xf>
    <xf numFmtId="0" fontId="1" fillId="17" borderId="31" xfId="0" applyFont="1" applyFill="1" applyBorder="1" applyAlignment="1">
      <alignment horizontal="left" vertical="center" wrapText="1"/>
    </xf>
    <xf numFmtId="0" fontId="1" fillId="17" borderId="14" xfId="0" applyFont="1" applyFill="1" applyBorder="1" applyAlignment="1">
      <alignment horizontal="left" vertical="center" wrapText="1"/>
    </xf>
    <xf numFmtId="0" fontId="7" fillId="0" borderId="3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/>
    <xf numFmtId="0" fontId="7" fillId="0" borderId="0" xfId="0" applyNumberFormat="1" applyFont="1" applyBorder="1"/>
    <xf numFmtId="0" fontId="59" fillId="0" borderId="31" xfId="0" applyNumberFormat="1" applyFont="1" applyBorder="1" applyAlignment="1">
      <alignment horizontal="center" vertical="center" wrapText="1"/>
    </xf>
    <xf numFmtId="0" fontId="59" fillId="0" borderId="1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B3D9"/>
      <color rgb="FFFF7174"/>
      <color rgb="FFA2CDF0"/>
      <color rgb="FF82E37B"/>
      <color rgb="FFD680B3"/>
      <color rgb="FFDE9AC2"/>
      <color rgb="FFC75197"/>
      <color rgb="FFFFCCCC"/>
      <color rgb="FFCC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701040</xdr:colOff>
      <xdr:row>23</xdr:row>
      <xdr:rowOff>111760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0711815" y="1616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701040</xdr:colOff>
      <xdr:row>34</xdr:row>
      <xdr:rowOff>111760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0711815" y="1645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8</xdr:col>
      <xdr:colOff>701040</xdr:colOff>
      <xdr:row>61</xdr:row>
      <xdr:rowOff>111760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0711815" y="138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0"/>
  <sheetViews>
    <sheetView topLeftCell="C1" workbookViewId="0">
      <selection activeCell="G15" sqref="G15"/>
    </sheetView>
  </sheetViews>
  <sheetFormatPr baseColWidth="10" defaultRowHeight="15" x14ac:dyDescent="0.25"/>
  <cols>
    <col min="2" max="2" width="36.7109375" customWidth="1"/>
    <col min="5" max="5" width="72" customWidth="1"/>
  </cols>
  <sheetData>
    <row r="1" spans="2:5" ht="15.75" thickBot="1" x14ac:dyDescent="0.3"/>
    <row r="2" spans="2:5" ht="15.6" customHeight="1" x14ac:dyDescent="0.25">
      <c r="D2" s="852" t="s">
        <v>461</v>
      </c>
      <c r="E2" s="853"/>
    </row>
    <row r="3" spans="2:5" ht="15.6" customHeight="1" x14ac:dyDescent="0.25">
      <c r="D3" s="854"/>
      <c r="E3" s="855"/>
    </row>
    <row r="4" spans="2:5" ht="15.6" customHeight="1" thickBot="1" x14ac:dyDescent="0.3">
      <c r="D4" s="856"/>
      <c r="E4" s="857"/>
    </row>
    <row r="5" spans="2:5" ht="15.75" thickBot="1" x14ac:dyDescent="0.3"/>
    <row r="6" spans="2:5" ht="16.5" thickBot="1" x14ac:dyDescent="0.3">
      <c r="D6" s="333" t="s">
        <v>463</v>
      </c>
      <c r="E6" s="333" t="s">
        <v>462</v>
      </c>
    </row>
    <row r="7" spans="2:5" ht="33" customHeight="1" thickBot="1" x14ac:dyDescent="0.3">
      <c r="D7" s="367">
        <v>1</v>
      </c>
      <c r="E7" s="348" t="s">
        <v>485</v>
      </c>
    </row>
    <row r="8" spans="2:5" ht="36.6" customHeight="1" thickBot="1" x14ac:dyDescent="0.3">
      <c r="B8" s="858"/>
      <c r="D8" s="367">
        <v>2</v>
      </c>
      <c r="E8" s="348" t="s">
        <v>464</v>
      </c>
    </row>
    <row r="9" spans="2:5" ht="48.6" customHeight="1" thickBot="1" x14ac:dyDescent="0.3">
      <c r="B9" s="858"/>
      <c r="D9" s="367">
        <v>3</v>
      </c>
      <c r="E9" s="348" t="s">
        <v>465</v>
      </c>
    </row>
    <row r="10" spans="2:5" ht="31.9" customHeight="1" thickBot="1" x14ac:dyDescent="0.3">
      <c r="B10" s="858"/>
      <c r="D10" s="367">
        <v>4</v>
      </c>
      <c r="E10" s="348" t="s">
        <v>486</v>
      </c>
    </row>
    <row r="11" spans="2:5" ht="63.75" thickBot="1" x14ac:dyDescent="0.3">
      <c r="B11" s="335"/>
      <c r="D11" s="367">
        <v>5</v>
      </c>
      <c r="E11" s="348" t="s">
        <v>466</v>
      </c>
    </row>
    <row r="12" spans="2:5" ht="36" customHeight="1" thickBot="1" x14ac:dyDescent="0.3">
      <c r="B12" s="335"/>
      <c r="D12" s="369">
        <v>6</v>
      </c>
      <c r="E12" s="351" t="s">
        <v>487</v>
      </c>
    </row>
    <row r="13" spans="2:5" ht="21.6" customHeight="1" thickBot="1" x14ac:dyDescent="0.3">
      <c r="D13" s="369">
        <v>7</v>
      </c>
      <c r="E13" s="370" t="s">
        <v>467</v>
      </c>
    </row>
    <row r="14" spans="2:5" ht="49.9" customHeight="1" thickBot="1" x14ac:dyDescent="0.3">
      <c r="D14" s="369">
        <v>8</v>
      </c>
      <c r="E14" s="351" t="s">
        <v>488</v>
      </c>
    </row>
    <row r="15" spans="2:5" ht="63.75" thickBot="1" x14ac:dyDescent="0.3">
      <c r="D15" s="369">
        <v>9</v>
      </c>
      <c r="E15" s="351" t="s">
        <v>468</v>
      </c>
    </row>
    <row r="16" spans="2:5" ht="84" customHeight="1" thickBot="1" x14ac:dyDescent="0.3">
      <c r="D16" s="369">
        <v>10</v>
      </c>
      <c r="E16" s="351" t="s">
        <v>469</v>
      </c>
    </row>
    <row r="17" spans="2:5" ht="85.9" customHeight="1" thickBot="1" x14ac:dyDescent="0.3">
      <c r="D17" s="372">
        <v>11</v>
      </c>
      <c r="E17" s="349" t="s">
        <v>489</v>
      </c>
    </row>
    <row r="18" spans="2:5" ht="61.9" customHeight="1" thickBot="1" x14ac:dyDescent="0.3">
      <c r="D18" s="372">
        <v>12</v>
      </c>
      <c r="E18" s="352" t="s">
        <v>490</v>
      </c>
    </row>
    <row r="19" spans="2:5" ht="51" customHeight="1" thickBot="1" x14ac:dyDescent="0.3">
      <c r="D19" s="372">
        <v>13</v>
      </c>
      <c r="E19" s="350" t="s">
        <v>470</v>
      </c>
    </row>
    <row r="20" spans="2:5" ht="48" thickBot="1" x14ac:dyDescent="0.3">
      <c r="D20" s="375">
        <v>14</v>
      </c>
      <c r="E20" s="353" t="s">
        <v>491</v>
      </c>
    </row>
    <row r="21" spans="2:5" ht="57" customHeight="1" thickBot="1" x14ac:dyDescent="0.3">
      <c r="D21" s="375">
        <v>15</v>
      </c>
      <c r="E21" s="353" t="s">
        <v>492</v>
      </c>
    </row>
    <row r="22" spans="2:5" ht="63.75" thickBot="1" x14ac:dyDescent="0.3">
      <c r="D22" s="375">
        <v>16</v>
      </c>
      <c r="E22" s="353" t="s">
        <v>493</v>
      </c>
    </row>
    <row r="23" spans="2:5" ht="52.9" customHeight="1" thickBot="1" x14ac:dyDescent="0.3">
      <c r="D23" s="374">
        <v>17</v>
      </c>
      <c r="E23" s="354" t="s">
        <v>494</v>
      </c>
    </row>
    <row r="24" spans="2:5" ht="47.45" customHeight="1" thickBot="1" x14ac:dyDescent="0.3">
      <c r="D24" s="374">
        <v>18</v>
      </c>
      <c r="E24" s="354" t="s">
        <v>471</v>
      </c>
    </row>
    <row r="25" spans="2:5" ht="32.25" thickBot="1" x14ac:dyDescent="0.3">
      <c r="D25" s="374">
        <v>19</v>
      </c>
      <c r="E25" s="354" t="s">
        <v>472</v>
      </c>
    </row>
    <row r="26" spans="2:5" ht="52.15" customHeight="1" thickBot="1" x14ac:dyDescent="0.3">
      <c r="D26" s="368">
        <v>20</v>
      </c>
      <c r="E26" s="355" t="s">
        <v>495</v>
      </c>
    </row>
    <row r="27" spans="2:5" ht="48" thickBot="1" x14ac:dyDescent="0.3">
      <c r="D27" s="368">
        <v>21</v>
      </c>
      <c r="E27" s="355" t="s">
        <v>496</v>
      </c>
    </row>
    <row r="28" spans="2:5" ht="46.15" customHeight="1" thickBot="1" x14ac:dyDescent="0.3">
      <c r="B28" s="858"/>
      <c r="C28" s="335"/>
      <c r="D28" s="368">
        <v>22</v>
      </c>
      <c r="E28" s="355" t="s">
        <v>497</v>
      </c>
    </row>
    <row r="29" spans="2:5" ht="52.9" customHeight="1" thickBot="1" x14ac:dyDescent="0.3">
      <c r="B29" s="858"/>
      <c r="C29" s="335"/>
      <c r="D29" s="368">
        <v>23</v>
      </c>
      <c r="E29" s="382" t="s">
        <v>498</v>
      </c>
    </row>
    <row r="30" spans="2:5" ht="36.75" customHeight="1" thickBot="1" x14ac:dyDescent="0.3">
      <c r="B30" s="858"/>
      <c r="C30" s="335"/>
      <c r="D30" s="368">
        <v>24</v>
      </c>
      <c r="E30" s="382" t="s">
        <v>473</v>
      </c>
    </row>
    <row r="31" spans="2:5" ht="50.45" customHeight="1" thickBot="1" x14ac:dyDescent="0.3">
      <c r="B31" s="858"/>
      <c r="C31" s="335"/>
      <c r="D31" s="368">
        <v>25</v>
      </c>
      <c r="E31" s="355" t="s">
        <v>499</v>
      </c>
    </row>
    <row r="32" spans="2:5" ht="37.15" customHeight="1" thickBot="1" x14ac:dyDescent="0.3">
      <c r="B32" s="858"/>
      <c r="C32" s="335"/>
      <c r="D32" s="368">
        <v>26</v>
      </c>
      <c r="E32" s="355" t="s">
        <v>500</v>
      </c>
    </row>
    <row r="33" spans="2:5" ht="32.25" thickBot="1" x14ac:dyDescent="0.3">
      <c r="D33" s="368">
        <v>27</v>
      </c>
      <c r="E33" s="355" t="s">
        <v>501</v>
      </c>
    </row>
    <row r="34" spans="2:5" ht="32.25" thickBot="1" x14ac:dyDescent="0.3">
      <c r="D34" s="377">
        <v>28</v>
      </c>
      <c r="E34" s="356" t="s">
        <v>474</v>
      </c>
    </row>
    <row r="35" spans="2:5" ht="47.45" customHeight="1" thickBot="1" x14ac:dyDescent="0.3">
      <c r="D35" s="377">
        <v>29</v>
      </c>
      <c r="E35" s="356" t="s">
        <v>475</v>
      </c>
    </row>
    <row r="36" spans="2:5" ht="61.9" customHeight="1" thickBot="1" x14ac:dyDescent="0.3">
      <c r="D36" s="377">
        <v>30</v>
      </c>
      <c r="E36" s="356" t="s">
        <v>714</v>
      </c>
    </row>
    <row r="37" spans="2:5" ht="36.75" customHeight="1" thickBot="1" x14ac:dyDescent="0.3">
      <c r="D37" s="377">
        <v>31</v>
      </c>
      <c r="E37" s="356" t="s">
        <v>502</v>
      </c>
    </row>
    <row r="38" spans="2:5" ht="30.6" customHeight="1" thickBot="1" x14ac:dyDescent="0.3">
      <c r="D38" s="377">
        <v>32</v>
      </c>
      <c r="E38" s="356" t="s">
        <v>476</v>
      </c>
    </row>
    <row r="39" spans="2:5" ht="47.25" customHeight="1" thickBot="1" x14ac:dyDescent="0.3">
      <c r="D39" s="377">
        <v>33</v>
      </c>
      <c r="E39" s="356" t="s">
        <v>503</v>
      </c>
    </row>
    <row r="40" spans="2:5" ht="46.9" customHeight="1" thickBot="1" x14ac:dyDescent="0.3">
      <c r="D40" s="377">
        <v>34</v>
      </c>
      <c r="E40" s="356" t="s">
        <v>504</v>
      </c>
    </row>
    <row r="41" spans="2:5" ht="48" customHeight="1" thickBot="1" x14ac:dyDescent="0.3">
      <c r="D41" s="377">
        <v>35</v>
      </c>
      <c r="E41" s="356" t="s">
        <v>505</v>
      </c>
    </row>
    <row r="42" spans="2:5" ht="32.25" thickBot="1" x14ac:dyDescent="0.3">
      <c r="D42" s="376">
        <v>36</v>
      </c>
      <c r="E42" s="413" t="s">
        <v>569</v>
      </c>
    </row>
    <row r="43" spans="2:5" ht="35.450000000000003" customHeight="1" thickBot="1" x14ac:dyDescent="0.3">
      <c r="B43" s="194"/>
      <c r="D43" s="376">
        <v>37</v>
      </c>
      <c r="E43" s="357" t="s">
        <v>570</v>
      </c>
    </row>
    <row r="44" spans="2:5" ht="31.9" customHeight="1" thickBot="1" x14ac:dyDescent="0.3">
      <c r="B44" s="194"/>
      <c r="D44" s="376">
        <v>38</v>
      </c>
      <c r="E44" s="413" t="s">
        <v>571</v>
      </c>
    </row>
    <row r="45" spans="2:5" ht="49.9" customHeight="1" thickBot="1" x14ac:dyDescent="0.3">
      <c r="B45" s="194"/>
      <c r="D45" s="376">
        <v>39</v>
      </c>
      <c r="E45" s="358" t="s">
        <v>572</v>
      </c>
    </row>
    <row r="46" spans="2:5" ht="31.15" customHeight="1" thickBot="1" x14ac:dyDescent="0.3">
      <c r="B46" s="194"/>
      <c r="D46" s="372">
        <v>40</v>
      </c>
      <c r="E46" s="352" t="s">
        <v>477</v>
      </c>
    </row>
    <row r="47" spans="2:5" ht="34.9" customHeight="1" thickBot="1" x14ac:dyDescent="0.3">
      <c r="B47" s="194"/>
      <c r="D47" s="372">
        <v>41</v>
      </c>
      <c r="E47" s="352" t="s">
        <v>478</v>
      </c>
    </row>
    <row r="48" spans="2:5" ht="30.6" customHeight="1" thickBot="1" x14ac:dyDescent="0.3">
      <c r="D48" s="372">
        <v>42</v>
      </c>
      <c r="E48" s="350" t="s">
        <v>506</v>
      </c>
    </row>
    <row r="49" spans="4:5" ht="48" thickBot="1" x14ac:dyDescent="0.3">
      <c r="D49" s="372">
        <v>43</v>
      </c>
      <c r="E49" s="350" t="s">
        <v>507</v>
      </c>
    </row>
    <row r="50" spans="4:5" ht="39" customHeight="1" thickBot="1" x14ac:dyDescent="0.3">
      <c r="D50" s="373">
        <v>44</v>
      </c>
      <c r="E50" s="378" t="s">
        <v>508</v>
      </c>
    </row>
    <row r="51" spans="4:5" ht="32.25" thickBot="1" x14ac:dyDescent="0.3">
      <c r="D51" s="373">
        <v>45</v>
      </c>
      <c r="E51" s="378" t="s">
        <v>479</v>
      </c>
    </row>
    <row r="52" spans="4:5" ht="32.25" thickBot="1" x14ac:dyDescent="0.3">
      <c r="D52" s="373">
        <v>46</v>
      </c>
      <c r="E52" s="379" t="s">
        <v>480</v>
      </c>
    </row>
    <row r="53" spans="4:5" ht="32.25" thickBot="1" x14ac:dyDescent="0.3">
      <c r="D53" s="373">
        <v>47</v>
      </c>
      <c r="E53" s="379" t="s">
        <v>509</v>
      </c>
    </row>
    <row r="54" spans="4:5" ht="63.75" thickBot="1" x14ac:dyDescent="0.3">
      <c r="D54" s="373">
        <v>48</v>
      </c>
      <c r="E54" s="379" t="s">
        <v>481</v>
      </c>
    </row>
    <row r="55" spans="4:5" ht="32.25" thickBot="1" x14ac:dyDescent="0.3">
      <c r="D55" s="373">
        <v>49</v>
      </c>
      <c r="E55" s="379" t="s">
        <v>510</v>
      </c>
    </row>
    <row r="56" spans="4:5" ht="48" thickBot="1" x14ac:dyDescent="0.3">
      <c r="D56" s="371">
        <v>50</v>
      </c>
      <c r="E56" s="380" t="s">
        <v>511</v>
      </c>
    </row>
    <row r="57" spans="4:5" ht="32.25" thickBot="1" x14ac:dyDescent="0.3">
      <c r="D57" s="371">
        <v>51</v>
      </c>
      <c r="E57" s="380" t="s">
        <v>482</v>
      </c>
    </row>
    <row r="58" spans="4:5" ht="32.25" thickBot="1" x14ac:dyDescent="0.3">
      <c r="D58" s="371">
        <v>52</v>
      </c>
      <c r="E58" s="380" t="s">
        <v>483</v>
      </c>
    </row>
    <row r="59" spans="4:5" ht="52.9" customHeight="1" thickBot="1" x14ac:dyDescent="0.3">
      <c r="D59" s="371">
        <v>53</v>
      </c>
      <c r="E59" s="381" t="s">
        <v>484</v>
      </c>
    </row>
    <row r="60" spans="4:5" ht="33" customHeight="1" thickBot="1" x14ac:dyDescent="0.3">
      <c r="D60" s="292">
        <v>54</v>
      </c>
      <c r="E60" s="383" t="s">
        <v>512</v>
      </c>
    </row>
  </sheetData>
  <mergeCells count="3">
    <mergeCell ref="D2:E4"/>
    <mergeCell ref="B28:B32"/>
    <mergeCell ref="B8:B1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zoomScale="80" zoomScaleNormal="80" workbookViewId="0">
      <selection activeCell="N26" sqref="N26"/>
    </sheetView>
  </sheetViews>
  <sheetFormatPr baseColWidth="10" defaultRowHeight="15.75" x14ac:dyDescent="0.25"/>
  <cols>
    <col min="1" max="1" width="5" customWidth="1"/>
    <col min="2" max="2" width="12.7109375" style="3" customWidth="1"/>
    <col min="3" max="3" width="28.140625" style="3" customWidth="1"/>
    <col min="4" max="4" width="6.5703125" style="3" customWidth="1"/>
    <col min="5" max="5" width="7" customWidth="1"/>
    <col min="6" max="6" width="21.140625" customWidth="1"/>
    <col min="7" max="7" width="16" customWidth="1"/>
    <col min="8" max="8" width="15.7109375" customWidth="1"/>
    <col min="9" max="9" width="14" customWidth="1"/>
    <col min="10" max="10" width="13.5703125" customWidth="1"/>
    <col min="11" max="11" width="11.5703125" customWidth="1"/>
    <col min="12" max="12" width="16.85546875" hidden="1" customWidth="1"/>
    <col min="15" max="15" width="46.28515625" customWidth="1"/>
  </cols>
  <sheetData>
    <row r="2" spans="2:16" ht="16.5" thickBot="1" x14ac:dyDescent="0.3"/>
    <row r="3" spans="2:16" ht="16.899999999999999" customHeight="1" thickBot="1" x14ac:dyDescent="0.3">
      <c r="B3" s="393" t="s">
        <v>639</v>
      </c>
      <c r="C3" s="369" t="s">
        <v>607</v>
      </c>
      <c r="D3" s="400" t="s">
        <v>53</v>
      </c>
      <c r="F3" s="1055" t="s">
        <v>547</v>
      </c>
      <c r="G3" s="1056"/>
      <c r="H3" s="1056"/>
      <c r="I3" s="1056"/>
      <c r="J3" s="1056"/>
      <c r="K3" s="1056"/>
      <c r="L3" s="1056"/>
      <c r="M3" s="1056"/>
      <c r="N3" s="1056"/>
      <c r="O3" s="1057"/>
    </row>
    <row r="4" spans="2:16" ht="16.5" thickBot="1" x14ac:dyDescent="0.3">
      <c r="B4" s="1427">
        <v>1</v>
      </c>
      <c r="C4" s="1429" t="s">
        <v>546</v>
      </c>
      <c r="D4" s="1431">
        <v>1</v>
      </c>
      <c r="F4" s="1018" t="s">
        <v>412</v>
      </c>
      <c r="G4" s="951"/>
      <c r="H4" s="951"/>
      <c r="I4" s="951"/>
      <c r="J4" s="951"/>
      <c r="K4" s="951"/>
      <c r="L4" s="951"/>
      <c r="M4" s="951"/>
      <c r="N4" s="951"/>
      <c r="O4" s="952"/>
    </row>
    <row r="5" spans="2:16" ht="35.25" thickBot="1" x14ac:dyDescent="0.3">
      <c r="B5" s="1428"/>
      <c r="C5" s="1430"/>
      <c r="D5" s="1432"/>
      <c r="F5" s="334" t="s">
        <v>0</v>
      </c>
      <c r="G5" s="334" t="s">
        <v>1</v>
      </c>
      <c r="H5" s="334" t="s">
        <v>2</v>
      </c>
      <c r="I5" s="473" t="s">
        <v>164</v>
      </c>
      <c r="J5" s="334" t="s">
        <v>163</v>
      </c>
      <c r="K5" s="879" t="s">
        <v>734</v>
      </c>
      <c r="L5" s="880"/>
      <c r="M5" s="334" t="s">
        <v>735</v>
      </c>
      <c r="N5" s="334" t="s">
        <v>663</v>
      </c>
      <c r="O5" s="292" t="s">
        <v>3</v>
      </c>
    </row>
    <row r="6" spans="2:16" ht="48.6" customHeight="1" thickBot="1" x14ac:dyDescent="0.3">
      <c r="F6" s="285" t="s">
        <v>737</v>
      </c>
      <c r="G6" s="247" t="s">
        <v>373</v>
      </c>
      <c r="H6" s="63">
        <v>220</v>
      </c>
      <c r="I6" s="63">
        <v>1.64</v>
      </c>
      <c r="J6" s="65">
        <v>1</v>
      </c>
      <c r="K6" s="877">
        <v>0</v>
      </c>
      <c r="L6" s="878"/>
      <c r="M6" s="63">
        <f>J6</f>
        <v>1</v>
      </c>
      <c r="N6" s="198">
        <f>M6/I6</f>
        <v>0.6097560975609756</v>
      </c>
      <c r="O6" s="885" t="s">
        <v>736</v>
      </c>
      <c r="P6" s="539"/>
    </row>
    <row r="7" spans="2:16" ht="16.5" thickBot="1" x14ac:dyDescent="0.3">
      <c r="B7" s="120"/>
      <c r="C7" s="120"/>
      <c r="D7" s="120"/>
      <c r="E7" s="120"/>
      <c r="F7" s="286" t="s">
        <v>182</v>
      </c>
      <c r="G7" s="197" t="s">
        <v>192</v>
      </c>
      <c r="H7" s="60">
        <v>18</v>
      </c>
      <c r="I7" s="60">
        <v>1</v>
      </c>
      <c r="J7" s="66">
        <v>1</v>
      </c>
      <c r="K7" s="1021">
        <v>0</v>
      </c>
      <c r="L7" s="1022"/>
      <c r="M7" s="64">
        <f>J7</f>
        <v>1</v>
      </c>
      <c r="N7" s="198">
        <f>M7/I7</f>
        <v>1</v>
      </c>
      <c r="O7" s="1218"/>
    </row>
    <row r="8" spans="2:16" ht="16.5" thickBot="1" x14ac:dyDescent="0.3">
      <c r="B8" s="114"/>
      <c r="C8" s="120"/>
      <c r="D8" s="120"/>
      <c r="E8" s="120"/>
      <c r="F8" s="1038" t="s">
        <v>180</v>
      </c>
      <c r="G8" s="1038"/>
      <c r="H8" s="1038"/>
      <c r="I8" s="1038"/>
      <c r="J8" s="332">
        <f>SUM(J6:J7)</f>
        <v>2</v>
      </c>
      <c r="K8" s="1043">
        <v>0</v>
      </c>
      <c r="L8" s="1044"/>
      <c r="M8" s="332">
        <f>SUM(M6:M7)</f>
        <v>2</v>
      </c>
      <c r="N8" s="332">
        <f>SUM(N6:N7)</f>
        <v>1.6097560975609757</v>
      </c>
      <c r="O8" s="886"/>
    </row>
    <row r="9" spans="2:16" x14ac:dyDescent="0.25">
      <c r="B9" s="114"/>
      <c r="C9" s="135"/>
      <c r="D9" s="135"/>
      <c r="E9" s="135"/>
      <c r="F9" s="135"/>
      <c r="G9" s="116"/>
      <c r="H9" s="115"/>
      <c r="I9" s="115"/>
      <c r="J9" s="115"/>
      <c r="K9" s="112"/>
      <c r="L9" s="111"/>
      <c r="O9" s="564"/>
    </row>
    <row r="10" spans="2:16" x14ac:dyDescent="0.25">
      <c r="B10" s="114"/>
      <c r="C10" s="115"/>
      <c r="D10" s="115"/>
      <c r="E10" s="115"/>
      <c r="F10" s="115"/>
      <c r="G10" s="116"/>
      <c r="H10" s="115"/>
      <c r="I10" s="115"/>
      <c r="J10" s="113"/>
      <c r="K10" s="112"/>
      <c r="L10" s="111"/>
    </row>
    <row r="11" spans="2:16" x14ac:dyDescent="0.25">
      <c r="B11" s="114"/>
      <c r="C11" s="115"/>
      <c r="D11" s="115"/>
      <c r="E11" s="115"/>
      <c r="F11" s="115"/>
      <c r="G11" s="116"/>
      <c r="H11" s="116"/>
      <c r="I11" s="116"/>
      <c r="J11" s="113"/>
      <c r="K11" s="112"/>
      <c r="L11" s="111"/>
    </row>
    <row r="12" spans="2:16" x14ac:dyDescent="0.25">
      <c r="B12" s="114"/>
      <c r="C12" s="115"/>
      <c r="D12" s="115"/>
      <c r="E12" s="115"/>
      <c r="F12" s="115"/>
      <c r="G12" s="113"/>
      <c r="H12" s="113"/>
      <c r="I12" s="113"/>
      <c r="J12" s="113"/>
      <c r="K12" s="112"/>
      <c r="L12" s="111"/>
    </row>
    <row r="13" spans="2:16" x14ac:dyDescent="0.25">
      <c r="B13" s="114"/>
      <c r="C13" s="115"/>
      <c r="D13" s="115"/>
      <c r="E13" s="115"/>
      <c r="F13" s="115"/>
      <c r="G13" s="113"/>
      <c r="H13" s="113"/>
      <c r="I13" s="113"/>
      <c r="J13" s="113"/>
      <c r="K13" s="112"/>
      <c r="L13" s="111"/>
    </row>
    <row r="14" spans="2:16" x14ac:dyDescent="0.25">
      <c r="B14" s="114"/>
      <c r="C14" s="115"/>
      <c r="D14" s="115"/>
      <c r="E14" s="115"/>
      <c r="F14" s="115"/>
      <c r="G14" s="113"/>
      <c r="H14" s="113"/>
      <c r="I14" s="113"/>
      <c r="J14" s="113"/>
      <c r="K14" s="112"/>
      <c r="L14" s="111"/>
    </row>
    <row r="15" spans="2:16" x14ac:dyDescent="0.25">
      <c r="B15" s="114"/>
      <c r="C15" s="115"/>
      <c r="D15" s="115"/>
      <c r="E15" s="115"/>
      <c r="F15" s="115"/>
      <c r="G15" s="113"/>
      <c r="H15" s="113"/>
      <c r="I15" s="113"/>
      <c r="J15" s="113"/>
      <c r="K15" s="112"/>
      <c r="L15" s="111"/>
    </row>
    <row r="16" spans="2:16" x14ac:dyDescent="0.25">
      <c r="B16" s="114"/>
      <c r="C16" s="115"/>
      <c r="D16" s="115"/>
      <c r="E16" s="283"/>
      <c r="F16" s="283"/>
      <c r="G16" s="119"/>
      <c r="H16" s="283"/>
      <c r="I16" s="283"/>
      <c r="J16" s="283"/>
      <c r="K16" s="119"/>
    </row>
    <row r="17" spans="2:11" x14ac:dyDescent="0.25">
      <c r="B17" s="114"/>
      <c r="C17" s="115"/>
      <c r="D17" s="115"/>
      <c r="E17" s="283"/>
      <c r="F17" s="283"/>
      <c r="G17" s="283"/>
      <c r="H17" s="283"/>
      <c r="I17" s="283"/>
      <c r="J17" s="283"/>
      <c r="K17" s="119"/>
    </row>
    <row r="20" spans="2:11" ht="16.149999999999999" customHeight="1" x14ac:dyDescent="0.25"/>
    <row r="23" spans="2:11" ht="29.45" customHeight="1" x14ac:dyDescent="0.25"/>
  </sheetData>
  <mergeCells count="11">
    <mergeCell ref="K6:L6"/>
    <mergeCell ref="F4:O4"/>
    <mergeCell ref="O6:O8"/>
    <mergeCell ref="K7:L7"/>
    <mergeCell ref="F8:I8"/>
    <mergeCell ref="K8:L8"/>
    <mergeCell ref="B4:B5"/>
    <mergeCell ref="C4:C5"/>
    <mergeCell ref="K5:L5"/>
    <mergeCell ref="D4:D5"/>
    <mergeCell ref="F3: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"/>
  <sheetViews>
    <sheetView zoomScale="82" zoomScaleNormal="82" workbookViewId="0">
      <selection activeCell="O29" sqref="O29"/>
    </sheetView>
  </sheetViews>
  <sheetFormatPr baseColWidth="10" defaultRowHeight="15.75" x14ac:dyDescent="0.25"/>
  <cols>
    <col min="2" max="2" width="13.28515625" customWidth="1"/>
    <col min="3" max="3" width="42.42578125" style="3" customWidth="1"/>
    <col min="6" max="6" width="20.140625" customWidth="1"/>
    <col min="7" max="7" width="17" customWidth="1"/>
    <col min="13" max="13" width="13" bestFit="1" customWidth="1"/>
    <col min="14" max="14" width="24.7109375" customWidth="1"/>
    <col min="15" max="15" width="21.42578125" customWidth="1"/>
    <col min="16" max="16" width="22.7109375" customWidth="1"/>
  </cols>
  <sheetData>
    <row r="1" spans="2:16" ht="16.5" thickBot="1" x14ac:dyDescent="0.3"/>
    <row r="2" spans="2:16" ht="18" customHeight="1" thickBot="1" x14ac:dyDescent="0.3">
      <c r="B2" s="393" t="s">
        <v>639</v>
      </c>
      <c r="C2" s="369" t="s">
        <v>607</v>
      </c>
      <c r="D2" s="400" t="s">
        <v>53</v>
      </c>
      <c r="F2" s="1103" t="s">
        <v>640</v>
      </c>
      <c r="G2" s="1104"/>
      <c r="H2" s="1104"/>
      <c r="I2" s="1104"/>
      <c r="J2" s="1104"/>
      <c r="K2" s="1104"/>
      <c r="L2" s="1104"/>
      <c r="M2" s="1104"/>
      <c r="N2" s="1104"/>
      <c r="O2" s="1105"/>
    </row>
    <row r="3" spans="2:16" ht="32.25" thickBot="1" x14ac:dyDescent="0.3">
      <c r="B3" s="498">
        <v>1</v>
      </c>
      <c r="C3" s="766" t="s">
        <v>554</v>
      </c>
      <c r="D3" s="1433">
        <v>8</v>
      </c>
      <c r="F3" s="1061" t="s">
        <v>369</v>
      </c>
      <c r="G3" s="1062"/>
      <c r="H3" s="1062"/>
      <c r="I3" s="1062"/>
      <c r="J3" s="1062"/>
      <c r="K3" s="1062"/>
      <c r="L3" s="1062"/>
      <c r="M3" s="1062"/>
      <c r="N3" s="1062"/>
      <c r="O3" s="1063"/>
    </row>
    <row r="4" spans="2:16" ht="48" thickBot="1" x14ac:dyDescent="0.3">
      <c r="B4" s="469">
        <v>5</v>
      </c>
      <c r="C4" s="765" t="s">
        <v>555</v>
      </c>
      <c r="D4" s="1434"/>
      <c r="F4" s="457" t="s">
        <v>0</v>
      </c>
      <c r="G4" s="457" t="s">
        <v>1</v>
      </c>
      <c r="H4" s="457" t="s">
        <v>548</v>
      </c>
      <c r="I4" s="457" t="s">
        <v>549</v>
      </c>
      <c r="J4" s="457" t="s">
        <v>666</v>
      </c>
      <c r="K4" s="879" t="s">
        <v>740</v>
      </c>
      <c r="L4" s="880"/>
      <c r="M4" s="457" t="s">
        <v>739</v>
      </c>
      <c r="N4" s="457" t="s">
        <v>738</v>
      </c>
      <c r="O4" s="292" t="s">
        <v>3</v>
      </c>
    </row>
    <row r="5" spans="2:16" ht="29.25" customHeight="1" x14ac:dyDescent="0.25">
      <c r="B5" s="469">
        <v>6</v>
      </c>
      <c r="C5" s="402" t="s">
        <v>556</v>
      </c>
      <c r="D5" s="1434"/>
      <c r="F5" s="293" t="s">
        <v>286</v>
      </c>
      <c r="G5" s="105" t="s">
        <v>211</v>
      </c>
      <c r="H5" s="105">
        <v>40</v>
      </c>
      <c r="I5" s="105">
        <v>2.13</v>
      </c>
      <c r="J5" s="105">
        <v>1.5</v>
      </c>
      <c r="K5" s="877">
        <f>J5</f>
        <v>1.5</v>
      </c>
      <c r="L5" s="878"/>
      <c r="M5" s="109">
        <f>J5-K5</f>
        <v>0</v>
      </c>
      <c r="N5" s="109">
        <f>M5/I5</f>
        <v>0</v>
      </c>
      <c r="O5" s="1437" t="s">
        <v>862</v>
      </c>
    </row>
    <row r="6" spans="2:16" ht="27.75" customHeight="1" x14ac:dyDescent="0.25">
      <c r="B6" s="469">
        <v>7</v>
      </c>
      <c r="C6" s="402" t="s">
        <v>557</v>
      </c>
      <c r="D6" s="1434"/>
      <c r="F6" s="289" t="s">
        <v>391</v>
      </c>
      <c r="G6" s="60" t="s">
        <v>248</v>
      </c>
      <c r="H6" s="60">
        <v>318</v>
      </c>
      <c r="I6" s="60">
        <v>1.28</v>
      </c>
      <c r="J6" s="60">
        <v>100</v>
      </c>
      <c r="K6" s="881">
        <f>(J5)*(1/H5)*(1/46)*(H6/1)</f>
        <v>0.25923913043478264</v>
      </c>
      <c r="L6" s="882"/>
      <c r="M6" s="60">
        <f>J6-K6</f>
        <v>99.740760869565221</v>
      </c>
      <c r="N6" s="109">
        <f>M6/I6</f>
        <v>77.922469429347828</v>
      </c>
      <c r="O6" s="1438"/>
    </row>
    <row r="7" spans="2:16" ht="42" customHeight="1" x14ac:dyDescent="0.25">
      <c r="B7" s="469">
        <v>8</v>
      </c>
      <c r="C7" s="403" t="s">
        <v>553</v>
      </c>
      <c r="D7" s="1434"/>
      <c r="F7" s="289" t="s">
        <v>182</v>
      </c>
      <c r="G7" s="475" t="s">
        <v>175</v>
      </c>
      <c r="H7" s="60">
        <v>18</v>
      </c>
      <c r="I7" s="60">
        <v>1</v>
      </c>
      <c r="J7" s="60">
        <v>20</v>
      </c>
      <c r="K7" s="490">
        <f>(J5/H5)*(10/46)*(H7/1)</f>
        <v>0.14673913043478259</v>
      </c>
      <c r="L7" s="491">
        <f>(J6/H6)*(10/1)*(H7/1)</f>
        <v>56.603773584905653</v>
      </c>
      <c r="M7" s="60">
        <f>K7</f>
        <v>0.14673913043478259</v>
      </c>
      <c r="N7" s="109">
        <f>M7/I7</f>
        <v>0.14673913043478259</v>
      </c>
      <c r="O7" s="1438"/>
    </row>
    <row r="8" spans="2:16" ht="18.75" customHeight="1" x14ac:dyDescent="0.25">
      <c r="B8" s="469">
        <v>9</v>
      </c>
      <c r="C8" s="403" t="s">
        <v>558</v>
      </c>
      <c r="D8" s="1434"/>
      <c r="F8" s="534" t="s">
        <v>208</v>
      </c>
      <c r="G8" s="107" t="s">
        <v>89</v>
      </c>
      <c r="H8" s="60">
        <v>22</v>
      </c>
      <c r="I8" s="60">
        <v>0.97</v>
      </c>
      <c r="J8" s="60">
        <v>0</v>
      </c>
      <c r="K8" s="490">
        <f>(J5/H5)*(46/46)*(H8/1)</f>
        <v>0.82499999999999996</v>
      </c>
      <c r="L8" s="491">
        <f>(J6/H6)*(46/1)*(H8/1)</f>
        <v>318.23899371069183</v>
      </c>
      <c r="M8" s="60">
        <f>K8</f>
        <v>0.82499999999999996</v>
      </c>
      <c r="N8" s="109">
        <f>M8/I8</f>
        <v>0.85051546391752575</v>
      </c>
      <c r="O8" s="1438"/>
    </row>
    <row r="9" spans="2:16" ht="29.25" customHeight="1" thickBot="1" x14ac:dyDescent="0.3">
      <c r="B9" s="881">
        <v>10</v>
      </c>
      <c r="C9" s="402" t="s">
        <v>559</v>
      </c>
      <c r="D9" s="1434"/>
      <c r="F9" s="290" t="s">
        <v>550</v>
      </c>
      <c r="G9" s="216" t="s">
        <v>368</v>
      </c>
      <c r="H9" s="64">
        <v>46</v>
      </c>
      <c r="I9" s="64">
        <v>2.4</v>
      </c>
      <c r="J9" s="64">
        <v>0</v>
      </c>
      <c r="K9" s="515">
        <f>(J5/H5)*(20/46)*(H9/1)</f>
        <v>0.75</v>
      </c>
      <c r="L9" s="222">
        <f>(J6/H6)*(20/1)*(H9/1)</f>
        <v>289.30817610062888</v>
      </c>
      <c r="M9" s="64">
        <f>K9</f>
        <v>0.75</v>
      </c>
      <c r="N9" s="267">
        <f>M9/I9</f>
        <v>0.3125</v>
      </c>
      <c r="O9" s="1438"/>
    </row>
    <row r="10" spans="2:16" ht="27" customHeight="1" thickBot="1" x14ac:dyDescent="0.3">
      <c r="B10" s="881"/>
      <c r="C10" s="403" t="s">
        <v>560</v>
      </c>
      <c r="D10" s="1434"/>
      <c r="F10" s="1436" t="s">
        <v>180</v>
      </c>
      <c r="G10" s="1436"/>
      <c r="H10" s="1436"/>
      <c r="I10" s="1436"/>
      <c r="J10" s="521">
        <f>SUM(J5:J9)</f>
        <v>121.5</v>
      </c>
      <c r="K10" s="475">
        <f>SUM(K5:L6)-SUM(K7:K9)</f>
        <v>3.7500000000000089E-2</v>
      </c>
      <c r="L10" s="475">
        <f>SUM(K5:L6)-SUM(L7:L9)</f>
        <v>-662.39170426579153</v>
      </c>
      <c r="M10" s="517">
        <f>SUM(M5:M9)</f>
        <v>101.46250000000001</v>
      </c>
      <c r="N10" s="517">
        <f>SUM(N5:N9)</f>
        <v>79.232224023700141</v>
      </c>
      <c r="O10" s="1438"/>
    </row>
    <row r="11" spans="2:16" ht="21" customHeight="1" thickBot="1" x14ac:dyDescent="0.3">
      <c r="B11" s="523">
        <v>11</v>
      </c>
      <c r="C11" s="404" t="s">
        <v>561</v>
      </c>
      <c r="D11" s="1435"/>
      <c r="F11" s="1103" t="s">
        <v>638</v>
      </c>
      <c r="G11" s="1104"/>
      <c r="H11" s="1104"/>
      <c r="I11" s="1104"/>
      <c r="J11" s="1104"/>
      <c r="K11" s="1104"/>
      <c r="L11" s="1104"/>
      <c r="M11" s="1104"/>
      <c r="N11" s="1104"/>
      <c r="O11" s="1104"/>
      <c r="P11" s="1105"/>
    </row>
    <row r="12" spans="2:16" ht="18" thickBot="1" x14ac:dyDescent="0.3">
      <c r="F12" s="1112" t="s">
        <v>367</v>
      </c>
      <c r="G12" s="1113"/>
      <c r="H12" s="1113"/>
      <c r="I12" s="1113"/>
      <c r="J12" s="1113"/>
      <c r="K12" s="1113"/>
      <c r="L12" s="1113"/>
      <c r="M12" s="1113"/>
      <c r="N12" s="1113"/>
      <c r="O12" s="1113"/>
      <c r="P12" s="1114"/>
    </row>
    <row r="13" spans="2:16" ht="48" thickBot="1" x14ac:dyDescent="0.3">
      <c r="F13" s="457" t="s">
        <v>0</v>
      </c>
      <c r="G13" s="457" t="s">
        <v>1</v>
      </c>
      <c r="H13" s="457" t="s">
        <v>548</v>
      </c>
      <c r="I13" s="457" t="s">
        <v>667</v>
      </c>
      <c r="J13" s="457" t="s">
        <v>666</v>
      </c>
      <c r="K13" s="1439" t="s">
        <v>741</v>
      </c>
      <c r="L13" s="1440"/>
      <c r="M13" s="1441"/>
      <c r="N13" s="457" t="s">
        <v>742</v>
      </c>
      <c r="O13" s="457" t="s">
        <v>743</v>
      </c>
      <c r="P13" s="292" t="s">
        <v>3</v>
      </c>
    </row>
    <row r="14" spans="2:16" x14ac:dyDescent="0.25">
      <c r="F14" s="477" t="s">
        <v>126</v>
      </c>
      <c r="G14" s="78" t="s">
        <v>238</v>
      </c>
      <c r="H14" s="474">
        <v>36</v>
      </c>
      <c r="I14" s="474">
        <v>1.1200000000000001</v>
      </c>
      <c r="J14" s="129">
        <v>6</v>
      </c>
      <c r="K14" s="1126">
        <f>J14</f>
        <v>6</v>
      </c>
      <c r="L14" s="1166"/>
      <c r="M14" s="1127"/>
      <c r="N14" s="129">
        <f>J14-K14</f>
        <v>0</v>
      </c>
      <c r="O14" s="496">
        <f>N14/I14</f>
        <v>0</v>
      </c>
      <c r="P14" s="1442" t="s">
        <v>863</v>
      </c>
    </row>
    <row r="15" spans="2:16" ht="27.75" customHeight="1" x14ac:dyDescent="0.25">
      <c r="F15" s="289" t="s">
        <v>282</v>
      </c>
      <c r="G15" s="59" t="s">
        <v>281</v>
      </c>
      <c r="H15" s="60">
        <v>327</v>
      </c>
      <c r="I15" s="60">
        <v>1.28</v>
      </c>
      <c r="J15" s="150">
        <v>4</v>
      </c>
      <c r="K15" s="1130">
        <f>J15</f>
        <v>4</v>
      </c>
      <c r="L15" s="1163"/>
      <c r="M15" s="1131"/>
      <c r="N15" s="150">
        <f>J15-K15</f>
        <v>0</v>
      </c>
      <c r="O15" s="147">
        <f>N15/I15</f>
        <v>0</v>
      </c>
      <c r="P15" s="1443"/>
    </row>
    <row r="16" spans="2:16" ht="18.75" x14ac:dyDescent="0.25">
      <c r="F16" s="289" t="s">
        <v>182</v>
      </c>
      <c r="G16" s="475" t="s">
        <v>175</v>
      </c>
      <c r="H16" s="60">
        <v>18</v>
      </c>
      <c r="I16" s="60">
        <v>1</v>
      </c>
      <c r="J16" s="150">
        <v>20</v>
      </c>
      <c r="K16" s="1130">
        <f>(J15)*(1/H15)*(1/1)*(H16/1)</f>
        <v>0.22018348623853212</v>
      </c>
      <c r="L16" s="1163"/>
      <c r="M16" s="1131"/>
      <c r="N16" s="150">
        <f>J16-K16</f>
        <v>19.779816513761467</v>
      </c>
      <c r="O16" s="147">
        <f>N16/I16</f>
        <v>19.779816513761467</v>
      </c>
      <c r="P16" s="1443"/>
    </row>
    <row r="17" spans="3:16" ht="31.5" x14ac:dyDescent="0.25">
      <c r="C17" s="539"/>
      <c r="F17" s="304" t="s">
        <v>366</v>
      </c>
      <c r="G17" s="266" t="s">
        <v>365</v>
      </c>
      <c r="H17" s="105">
        <v>378</v>
      </c>
      <c r="I17" s="105">
        <v>1</v>
      </c>
      <c r="J17" s="150">
        <v>0</v>
      </c>
      <c r="K17" s="490">
        <f>(J14/H14)*(1/1)*(H17/1)</f>
        <v>63</v>
      </c>
      <c r="L17" s="39">
        <f>(J15/H15)*(1/1)*(H17/1)</f>
        <v>4.6238532110091741</v>
      </c>
      <c r="M17" s="491">
        <f>(J16/H16)*(1/1)*(H17/1)</f>
        <v>420</v>
      </c>
      <c r="N17" s="147">
        <f>L17</f>
        <v>4.6238532110091741</v>
      </c>
      <c r="O17" s="147">
        <f>N17/I17</f>
        <v>4.6238532110091741</v>
      </c>
      <c r="P17" s="1443"/>
    </row>
    <row r="18" spans="3:16" ht="19.5" thickBot="1" x14ac:dyDescent="0.4">
      <c r="F18" s="290" t="s">
        <v>438</v>
      </c>
      <c r="G18" s="265" t="s">
        <v>364</v>
      </c>
      <c r="H18" s="64">
        <v>3</v>
      </c>
      <c r="I18" s="64">
        <v>1</v>
      </c>
      <c r="J18" s="126">
        <v>0</v>
      </c>
      <c r="K18" s="515">
        <f>(J14/H14)*(1/1)*(H18/1)</f>
        <v>0.5</v>
      </c>
      <c r="L18" s="442">
        <f>(J15/H15)*(1/1)*(H18/1)</f>
        <v>3.669724770642202E-2</v>
      </c>
      <c r="M18" s="222">
        <f>(J16/H16)*(1/1)*(H18/1)</f>
        <v>3.3333333333333335</v>
      </c>
      <c r="N18" s="125">
        <v>0.9174311926605504</v>
      </c>
      <c r="O18" s="460">
        <f>N18/I18</f>
        <v>0.9174311926605504</v>
      </c>
      <c r="P18" s="1443"/>
    </row>
    <row r="19" spans="3:16" ht="16.5" thickBot="1" x14ac:dyDescent="0.3">
      <c r="F19" s="1108" t="s">
        <v>180</v>
      </c>
      <c r="G19" s="1108"/>
      <c r="H19" s="1108"/>
      <c r="I19" s="1108"/>
      <c r="J19" s="514">
        <f>SUM(J14:J18)</f>
        <v>30</v>
      </c>
      <c r="K19" s="123">
        <f>SUM(K14:M16)-SUM(K17:K18)</f>
        <v>-53.279816513761467</v>
      </c>
      <c r="L19" s="514">
        <f>SUM(K14:M16)-SUM(L17:L18)</f>
        <v>5.5596330275229366</v>
      </c>
      <c r="M19" s="514">
        <f>SUM(K14:M16)-SUM(M17:M18)</f>
        <v>-413.1131498470948</v>
      </c>
      <c r="N19" s="514">
        <f>SUM(N14:N18)</f>
        <v>25.321100917431192</v>
      </c>
      <c r="O19" s="514">
        <f>SUM(O14:O18)</f>
        <v>25.321100917431192</v>
      </c>
      <c r="P19" s="1444"/>
    </row>
    <row r="20" spans="3:16" ht="16.5" thickBot="1" x14ac:dyDescent="0.3"/>
    <row r="21" spans="3:16" ht="16.5" thickBot="1" x14ac:dyDescent="0.3">
      <c r="F21" s="923" t="s">
        <v>437</v>
      </c>
      <c r="G21" s="924"/>
      <c r="H21" s="924"/>
      <c r="I21" s="924"/>
      <c r="J21" s="924"/>
      <c r="K21" s="924"/>
      <c r="L21" s="924"/>
      <c r="M21" s="924"/>
      <c r="N21" s="925"/>
    </row>
    <row r="22" spans="3:16" ht="16.5" thickBot="1" x14ac:dyDescent="0.3">
      <c r="F22" s="1448" t="s">
        <v>624</v>
      </c>
      <c r="G22" s="1449"/>
      <c r="H22" s="1449"/>
      <c r="I22" s="1449"/>
      <c r="J22" s="1449"/>
      <c r="K22" s="1449"/>
      <c r="L22" s="1449"/>
      <c r="M22" s="1449"/>
      <c r="N22" s="1450"/>
    </row>
    <row r="23" spans="3:16" ht="48" thickBot="1" x14ac:dyDescent="0.3">
      <c r="F23" s="457" t="s">
        <v>0</v>
      </c>
      <c r="G23" s="317" t="s">
        <v>1</v>
      </c>
      <c r="H23" s="457" t="s">
        <v>548</v>
      </c>
      <c r="I23" s="457" t="s">
        <v>667</v>
      </c>
      <c r="J23" s="457" t="s">
        <v>666</v>
      </c>
      <c r="K23" s="457" t="s">
        <v>439</v>
      </c>
      <c r="L23" s="457" t="s">
        <v>436</v>
      </c>
      <c r="M23" s="457" t="s">
        <v>621</v>
      </c>
      <c r="N23" s="292" t="s">
        <v>3</v>
      </c>
    </row>
    <row r="24" spans="3:16" ht="18.75" x14ac:dyDescent="0.25">
      <c r="F24" s="478" t="s">
        <v>182</v>
      </c>
      <c r="G24" s="263" t="s">
        <v>175</v>
      </c>
      <c r="H24" s="521">
        <v>18</v>
      </c>
      <c r="I24" s="521">
        <v>1</v>
      </c>
      <c r="J24" s="521">
        <v>15000</v>
      </c>
      <c r="K24" s="198">
        <v>0</v>
      </c>
      <c r="L24" s="179">
        <f t="shared" ref="L24:L29" si="0">J24</f>
        <v>15000</v>
      </c>
      <c r="M24" s="105">
        <f t="shared" ref="M24:M29" si="1">L24/I24</f>
        <v>15000</v>
      </c>
      <c r="N24" s="1445" t="s">
        <v>868</v>
      </c>
    </row>
    <row r="25" spans="3:16" ht="31.5" x14ac:dyDescent="0.35">
      <c r="F25" s="289" t="s">
        <v>360</v>
      </c>
      <c r="G25" s="197" t="s">
        <v>359</v>
      </c>
      <c r="H25" s="60">
        <v>42</v>
      </c>
      <c r="I25" s="60">
        <v>1.08</v>
      </c>
      <c r="J25" s="60">
        <v>100</v>
      </c>
      <c r="K25" s="60">
        <v>0</v>
      </c>
      <c r="L25" s="60">
        <f t="shared" si="0"/>
        <v>100</v>
      </c>
      <c r="M25" s="105">
        <f t="shared" si="1"/>
        <v>92.592592592592581</v>
      </c>
      <c r="N25" s="1446"/>
    </row>
    <row r="26" spans="3:16" ht="33" x14ac:dyDescent="0.35">
      <c r="F26" s="345" t="s">
        <v>358</v>
      </c>
      <c r="G26" s="178" t="s">
        <v>336</v>
      </c>
      <c r="H26" s="60">
        <v>110</v>
      </c>
      <c r="I26" s="60">
        <v>2.15</v>
      </c>
      <c r="J26" s="60">
        <v>100</v>
      </c>
      <c r="K26" s="60">
        <v>0</v>
      </c>
      <c r="L26" s="60">
        <f t="shared" si="0"/>
        <v>100</v>
      </c>
      <c r="M26" s="105">
        <f t="shared" si="1"/>
        <v>46.511627906976749</v>
      </c>
      <c r="N26" s="1446"/>
    </row>
    <row r="27" spans="3:16" ht="31.5" x14ac:dyDescent="0.25">
      <c r="F27" s="289" t="s">
        <v>357</v>
      </c>
      <c r="G27" s="153" t="s">
        <v>356</v>
      </c>
      <c r="H27" s="60">
        <v>1.62</v>
      </c>
      <c r="I27" s="60">
        <v>2.9</v>
      </c>
      <c r="J27" s="60">
        <v>100</v>
      </c>
      <c r="K27" s="60">
        <v>0</v>
      </c>
      <c r="L27" s="60">
        <f t="shared" si="0"/>
        <v>100</v>
      </c>
      <c r="M27" s="60">
        <f>L27/I27</f>
        <v>34.482758620689658</v>
      </c>
      <c r="N27" s="1446"/>
    </row>
    <row r="28" spans="3:16" x14ac:dyDescent="0.25">
      <c r="F28" s="294" t="s">
        <v>363</v>
      </c>
      <c r="G28" s="60" t="s">
        <v>362</v>
      </c>
      <c r="H28" s="264" t="s">
        <v>361</v>
      </c>
      <c r="I28" s="60">
        <v>1.7</v>
      </c>
      <c r="J28" s="60">
        <v>100</v>
      </c>
      <c r="K28" s="60"/>
      <c r="L28" s="60">
        <f t="shared" si="0"/>
        <v>100</v>
      </c>
      <c r="M28" s="60">
        <f t="shared" si="1"/>
        <v>58.82352941176471</v>
      </c>
      <c r="N28" s="1446"/>
    </row>
    <row r="29" spans="3:16" ht="16.5" thickBot="1" x14ac:dyDescent="0.3">
      <c r="F29" s="347" t="s">
        <v>353</v>
      </c>
      <c r="G29" s="262" t="s">
        <v>352</v>
      </c>
      <c r="H29" s="262" t="s">
        <v>351</v>
      </c>
      <c r="I29" s="261">
        <v>0.99</v>
      </c>
      <c r="J29" s="476">
        <v>0</v>
      </c>
      <c r="K29" s="476">
        <v>0</v>
      </c>
      <c r="L29" s="522">
        <f t="shared" si="0"/>
        <v>0</v>
      </c>
      <c r="M29" s="522">
        <f t="shared" si="1"/>
        <v>0</v>
      </c>
      <c r="N29" s="1446"/>
    </row>
    <row r="30" spans="3:16" ht="16.5" thickBot="1" x14ac:dyDescent="0.3">
      <c r="F30" s="933" t="s">
        <v>180</v>
      </c>
      <c r="G30" s="933"/>
      <c r="H30" s="933"/>
      <c r="I30" s="933"/>
      <c r="J30" s="235">
        <f>SUM(J24:J29)</f>
        <v>15400</v>
      </c>
      <c r="K30" s="235">
        <f>SUM(K24:K29)</f>
        <v>0</v>
      </c>
      <c r="L30" s="235">
        <f>SUM(L24:L29)</f>
        <v>15400</v>
      </c>
      <c r="M30" s="234">
        <f>SUM(M25:M29)</f>
        <v>232.4105085320237</v>
      </c>
      <c r="N30" s="1447"/>
    </row>
    <row r="31" spans="3:16" ht="16.5" thickBot="1" x14ac:dyDescent="0.3"/>
    <row r="32" spans="3:16" ht="16.5" thickBot="1" x14ac:dyDescent="0.3">
      <c r="F32" s="923" t="s">
        <v>665</v>
      </c>
      <c r="G32" s="924"/>
      <c r="H32" s="924"/>
      <c r="I32" s="924"/>
      <c r="J32" s="924"/>
      <c r="K32" s="924"/>
      <c r="L32" s="924"/>
      <c r="M32" s="924"/>
      <c r="N32" s="925"/>
    </row>
    <row r="33" spans="6:15" ht="16.5" thickBot="1" x14ac:dyDescent="0.3">
      <c r="F33" s="1448" t="s">
        <v>624</v>
      </c>
      <c r="G33" s="1449"/>
      <c r="H33" s="1449"/>
      <c r="I33" s="1449"/>
      <c r="J33" s="1449"/>
      <c r="K33" s="1449"/>
      <c r="L33" s="1449"/>
      <c r="M33" s="1449"/>
      <c r="N33" s="1450"/>
    </row>
    <row r="34" spans="6:15" ht="48" thickBot="1" x14ac:dyDescent="0.3">
      <c r="F34" s="457" t="s">
        <v>0</v>
      </c>
      <c r="G34" s="317" t="s">
        <v>1</v>
      </c>
      <c r="H34" s="457" t="s">
        <v>548</v>
      </c>
      <c r="I34" s="457" t="s">
        <v>667</v>
      </c>
      <c r="J34" s="457" t="s">
        <v>666</v>
      </c>
      <c r="K34" s="457" t="s">
        <v>439</v>
      </c>
      <c r="L34" s="457" t="s">
        <v>551</v>
      </c>
      <c r="M34" s="457" t="s">
        <v>621</v>
      </c>
      <c r="N34" s="292" t="s">
        <v>3</v>
      </c>
    </row>
    <row r="35" spans="6:15" ht="18.75" x14ac:dyDescent="0.25">
      <c r="F35" s="478" t="s">
        <v>182</v>
      </c>
      <c r="G35" s="263" t="s">
        <v>175</v>
      </c>
      <c r="H35" s="521">
        <v>18</v>
      </c>
      <c r="I35" s="521">
        <v>1</v>
      </c>
      <c r="J35" s="521">
        <v>15000</v>
      </c>
      <c r="K35" s="198">
        <v>0</v>
      </c>
      <c r="L35" s="179">
        <f>J35</f>
        <v>15000</v>
      </c>
      <c r="M35" s="105">
        <f>L35/I35</f>
        <v>15000</v>
      </c>
      <c r="N35" s="1451" t="s">
        <v>868</v>
      </c>
    </row>
    <row r="36" spans="6:15" ht="31.5" x14ac:dyDescent="0.35">
      <c r="F36" s="289" t="s">
        <v>360</v>
      </c>
      <c r="G36" s="197" t="s">
        <v>359</v>
      </c>
      <c r="H36" s="60">
        <v>42</v>
      </c>
      <c r="I36" s="60">
        <v>1.08</v>
      </c>
      <c r="J36" s="60">
        <v>100</v>
      </c>
      <c r="K36" s="60">
        <v>0</v>
      </c>
      <c r="L36" s="60">
        <f>J36</f>
        <v>100</v>
      </c>
      <c r="M36" s="105">
        <f>L36/I36</f>
        <v>92.592592592592581</v>
      </c>
      <c r="N36" s="1452"/>
    </row>
    <row r="37" spans="6:15" ht="33" x14ac:dyDescent="0.35">
      <c r="F37" s="345" t="s">
        <v>358</v>
      </c>
      <c r="G37" s="178" t="s">
        <v>336</v>
      </c>
      <c r="H37" s="60">
        <v>110</v>
      </c>
      <c r="I37" s="60">
        <v>2.15</v>
      </c>
      <c r="J37" s="60">
        <v>100</v>
      </c>
      <c r="K37" s="60">
        <v>0</v>
      </c>
      <c r="L37" s="60">
        <f>J37</f>
        <v>100</v>
      </c>
      <c r="M37" s="105">
        <f>L37/I37</f>
        <v>46.511627906976749</v>
      </c>
      <c r="N37" s="1452"/>
    </row>
    <row r="38" spans="6:15" ht="31.5" x14ac:dyDescent="0.25">
      <c r="F38" s="289" t="s">
        <v>357</v>
      </c>
      <c r="G38" s="153" t="s">
        <v>356</v>
      </c>
      <c r="H38" s="60">
        <v>1.62</v>
      </c>
      <c r="I38" s="60">
        <v>2.9</v>
      </c>
      <c r="J38" s="60">
        <v>100</v>
      </c>
      <c r="K38" s="60">
        <v>0</v>
      </c>
      <c r="L38" s="60">
        <f>J38</f>
        <v>100</v>
      </c>
      <c r="M38" s="60">
        <f>L38/I38</f>
        <v>34.482758620689658</v>
      </c>
      <c r="N38" s="1452"/>
    </row>
    <row r="39" spans="6:15" ht="19.5" thickBot="1" x14ac:dyDescent="0.4">
      <c r="F39" s="347" t="s">
        <v>355</v>
      </c>
      <c r="G39" s="495" t="s">
        <v>354</v>
      </c>
      <c r="H39" s="262">
        <v>120</v>
      </c>
      <c r="I39" s="261">
        <v>2.66</v>
      </c>
      <c r="J39" s="476">
        <v>100</v>
      </c>
      <c r="K39" s="476">
        <v>0</v>
      </c>
      <c r="L39" s="522">
        <f>J39</f>
        <v>100</v>
      </c>
      <c r="M39" s="64">
        <f>L39/I39</f>
        <v>37.593984962406012</v>
      </c>
      <c r="N39" s="1452"/>
    </row>
    <row r="40" spans="6:15" ht="16.5" thickBot="1" x14ac:dyDescent="0.3">
      <c r="F40" s="933" t="s">
        <v>180</v>
      </c>
      <c r="G40" s="933"/>
      <c r="H40" s="933"/>
      <c r="I40" s="933"/>
      <c r="J40" s="235">
        <f>SUM(J35:J39)</f>
        <v>15400</v>
      </c>
      <c r="K40" s="235">
        <f>SUM(K35:K39)</f>
        <v>0</v>
      </c>
      <c r="L40" s="235">
        <f>SUM(L35:L39)</f>
        <v>15400</v>
      </c>
      <c r="M40" s="234">
        <f>SUM(M35:M39)</f>
        <v>15211.180964082667</v>
      </c>
      <c r="N40" s="1453"/>
    </row>
    <row r="41" spans="6:15" ht="16.5" thickBot="1" x14ac:dyDescent="0.3"/>
    <row r="42" spans="6:15" ht="18" customHeight="1" thickBot="1" x14ac:dyDescent="0.3">
      <c r="F42" s="1103" t="s">
        <v>664</v>
      </c>
      <c r="G42" s="1104"/>
      <c r="H42" s="1104"/>
      <c r="I42" s="1104"/>
      <c r="J42" s="1104"/>
      <c r="K42" s="1104"/>
      <c r="L42" s="1104"/>
      <c r="M42" s="1104"/>
      <c r="N42" s="1104"/>
      <c r="O42" s="1105"/>
    </row>
    <row r="43" spans="6:15" ht="18" thickBot="1" x14ac:dyDescent="0.3">
      <c r="F43" s="1120" t="s">
        <v>350</v>
      </c>
      <c r="G43" s="1121"/>
      <c r="H43" s="1121"/>
      <c r="I43" s="1121"/>
      <c r="J43" s="1121"/>
      <c r="K43" s="1121"/>
      <c r="L43" s="1121"/>
      <c r="M43" s="1121"/>
      <c r="N43" s="1121"/>
      <c r="O43" s="1122"/>
    </row>
    <row r="44" spans="6:15" ht="48" thickBot="1" x14ac:dyDescent="0.3">
      <c r="F44" s="457" t="s">
        <v>0</v>
      </c>
      <c r="G44" s="317" t="s">
        <v>1</v>
      </c>
      <c r="H44" s="457" t="s">
        <v>548</v>
      </c>
      <c r="I44" s="457" t="s">
        <v>667</v>
      </c>
      <c r="J44" s="457" t="s">
        <v>666</v>
      </c>
      <c r="K44" s="1439" t="s">
        <v>740</v>
      </c>
      <c r="L44" s="1441"/>
      <c r="M44" s="457" t="s">
        <v>739</v>
      </c>
      <c r="N44" s="457" t="s">
        <v>744</v>
      </c>
      <c r="O44" s="292" t="s">
        <v>3</v>
      </c>
    </row>
    <row r="45" spans="6:15" ht="18.75" x14ac:dyDescent="0.25">
      <c r="F45" s="294" t="s">
        <v>441</v>
      </c>
      <c r="G45" s="258" t="s">
        <v>349</v>
      </c>
      <c r="H45" s="129">
        <v>101</v>
      </c>
      <c r="I45" s="129">
        <v>2.11</v>
      </c>
      <c r="J45" s="129">
        <v>0.8</v>
      </c>
      <c r="K45" s="1132">
        <f>J45</f>
        <v>0.8</v>
      </c>
      <c r="L45" s="1133"/>
      <c r="M45" s="129">
        <f>J45-K45</f>
        <v>0</v>
      </c>
      <c r="N45" s="496">
        <f>M45/I45</f>
        <v>0</v>
      </c>
      <c r="O45" s="1095" t="s">
        <v>864</v>
      </c>
    </row>
    <row r="46" spans="6:15" ht="18.75" x14ac:dyDescent="0.25">
      <c r="F46" s="302" t="s">
        <v>182</v>
      </c>
      <c r="G46" s="150" t="s">
        <v>181</v>
      </c>
      <c r="H46" s="129">
        <v>18</v>
      </c>
      <c r="I46" s="150">
        <v>1</v>
      </c>
      <c r="J46" s="150">
        <v>20</v>
      </c>
      <c r="K46" s="1130">
        <f>(J45/H45)*(1/1)*(H46/1)</f>
        <v>0.14257425742574259</v>
      </c>
      <c r="L46" s="1131"/>
      <c r="M46" s="150">
        <f>J46-K46</f>
        <v>19.857425742574257</v>
      </c>
      <c r="N46" s="157">
        <f>M46/I46</f>
        <v>19.857425742574257</v>
      </c>
      <c r="O46" s="1096"/>
    </row>
    <row r="47" spans="6:15" x14ac:dyDescent="0.25">
      <c r="F47" s="318" t="s">
        <v>432</v>
      </c>
      <c r="G47" s="107" t="s">
        <v>93</v>
      </c>
      <c r="H47" s="245">
        <v>56</v>
      </c>
      <c r="I47" s="173">
        <v>2.12</v>
      </c>
      <c r="J47" s="150">
        <v>0</v>
      </c>
      <c r="K47" s="149">
        <f>(J45/H45)*(1/1)*(H47/1)</f>
        <v>0.44356435643564357</v>
      </c>
      <c r="L47" s="148">
        <f>(J46/H46)*(1/1)*(H47/1)</f>
        <v>62.222222222222229</v>
      </c>
      <c r="M47" s="150">
        <f>K47</f>
        <v>0.44356435643564357</v>
      </c>
      <c r="N47" s="147">
        <f>M47/I47</f>
        <v>0.209228470016813</v>
      </c>
      <c r="O47" s="1096"/>
    </row>
    <row r="48" spans="6:15" ht="19.5" thickBot="1" x14ac:dyDescent="0.4">
      <c r="F48" s="479" t="s">
        <v>403</v>
      </c>
      <c r="G48" s="468" t="s">
        <v>223</v>
      </c>
      <c r="H48" s="476">
        <v>63</v>
      </c>
      <c r="I48" s="64">
        <v>1.51</v>
      </c>
      <c r="J48" s="476">
        <v>0</v>
      </c>
      <c r="K48" s="145">
        <f>(J45/H45)*(1/1)*(H48/1)</f>
        <v>0.49900990099009901</v>
      </c>
      <c r="L48" s="144">
        <f>(J46/H46)*(1/1)*(H48/1)</f>
        <v>70</v>
      </c>
      <c r="M48" s="126">
        <f>K48</f>
        <v>0.49900990099009901</v>
      </c>
      <c r="N48" s="460">
        <f>M48/I48</f>
        <v>0.33047013310602585</v>
      </c>
      <c r="O48" s="1096"/>
    </row>
    <row r="49" spans="6:15" ht="16.5" thickBot="1" x14ac:dyDescent="0.3">
      <c r="F49" s="1168" t="s">
        <v>180</v>
      </c>
      <c r="G49" s="1151"/>
      <c r="H49" s="1151"/>
      <c r="I49" s="1152"/>
      <c r="J49" s="519">
        <f>SUM(J45:J48)</f>
        <v>20.8</v>
      </c>
      <c r="K49" s="123">
        <f>SUM(K45:L46)-SUM(K47:K48)</f>
        <v>0</v>
      </c>
      <c r="L49" s="514">
        <f>SUM(K45:L46)-SUM(L47:L48)</f>
        <v>-131.27964796479648</v>
      </c>
      <c r="M49" s="121">
        <f>SUM(M45:M48)</f>
        <v>20.8</v>
      </c>
      <c r="N49" s="121">
        <f>SUM(N45:N48)</f>
        <v>20.397124345697097</v>
      </c>
      <c r="O49" s="1097"/>
    </row>
    <row r="50" spans="6:15" x14ac:dyDescent="0.25">
      <c r="F50" s="1103" t="s">
        <v>638</v>
      </c>
      <c r="G50" s="1104"/>
      <c r="H50" s="1104"/>
      <c r="I50" s="1104"/>
      <c r="J50" s="1104"/>
      <c r="K50" s="1104"/>
      <c r="L50" s="1104"/>
      <c r="M50" s="1104"/>
      <c r="N50" s="1104"/>
      <c r="O50" s="1105"/>
    </row>
    <row r="51" spans="6:15" ht="18" thickBot="1" x14ac:dyDescent="0.3">
      <c r="F51" s="1112" t="s">
        <v>348</v>
      </c>
      <c r="G51" s="1113"/>
      <c r="H51" s="1113"/>
      <c r="I51" s="1113"/>
      <c r="J51" s="1113"/>
      <c r="K51" s="1113"/>
      <c r="L51" s="1113"/>
      <c r="M51" s="1113"/>
      <c r="N51" s="1113"/>
      <c r="O51" s="1114"/>
    </row>
    <row r="52" spans="6:15" ht="48" thickBot="1" x14ac:dyDescent="0.3">
      <c r="F52" s="457" t="s">
        <v>0</v>
      </c>
      <c r="G52" s="317" t="s">
        <v>1</v>
      </c>
      <c r="H52" s="457" t="s">
        <v>548</v>
      </c>
      <c r="I52" s="457" t="s">
        <v>667</v>
      </c>
      <c r="J52" s="457" t="s">
        <v>666</v>
      </c>
      <c r="K52" s="1439" t="s">
        <v>440</v>
      </c>
      <c r="L52" s="1441"/>
      <c r="M52" s="457" t="s">
        <v>551</v>
      </c>
      <c r="N52" s="457" t="s">
        <v>668</v>
      </c>
      <c r="O52" s="292" t="s">
        <v>3</v>
      </c>
    </row>
    <row r="53" spans="6:15" ht="19.5" thickBot="1" x14ac:dyDescent="0.4">
      <c r="F53" s="319" t="s">
        <v>442</v>
      </c>
      <c r="G53" s="192" t="s">
        <v>347</v>
      </c>
      <c r="H53" s="510">
        <v>85</v>
      </c>
      <c r="I53" s="160">
        <v>1.91</v>
      </c>
      <c r="J53" s="160">
        <v>0.7</v>
      </c>
      <c r="K53" s="1457">
        <f>J53</f>
        <v>0.7</v>
      </c>
      <c r="L53" s="1457"/>
      <c r="M53" s="160">
        <f>J53-K53</f>
        <v>0</v>
      </c>
      <c r="N53" s="496">
        <f>M53/I53</f>
        <v>0</v>
      </c>
      <c r="O53" s="1095" t="s">
        <v>865</v>
      </c>
    </row>
    <row r="54" spans="6:15" ht="18.75" x14ac:dyDescent="0.25">
      <c r="F54" s="308" t="s">
        <v>182</v>
      </c>
      <c r="G54" s="150" t="s">
        <v>181</v>
      </c>
      <c r="H54" s="257">
        <v>18</v>
      </c>
      <c r="I54" s="150">
        <v>1</v>
      </c>
      <c r="J54" s="150">
        <v>18</v>
      </c>
      <c r="K54" s="1163">
        <f>(J53/H53)*(1/1)*(H54/1)</f>
        <v>0.14823529411764705</v>
      </c>
      <c r="L54" s="1163"/>
      <c r="M54" s="150">
        <f>J54-K54</f>
        <v>17.851764705882353</v>
      </c>
      <c r="N54" s="520">
        <f>M54/I54</f>
        <v>17.851764705882353</v>
      </c>
      <c r="O54" s="1096"/>
    </row>
    <row r="55" spans="6:15" x14ac:dyDescent="0.25">
      <c r="F55" s="318" t="s">
        <v>432</v>
      </c>
      <c r="G55" s="107" t="s">
        <v>93</v>
      </c>
      <c r="H55" s="256">
        <v>56</v>
      </c>
      <c r="I55" s="245">
        <v>2.12</v>
      </c>
      <c r="J55" s="150">
        <v>0</v>
      </c>
      <c r="K55" s="520">
        <f>(J53/H53)*(1/1)*(H55/1)</f>
        <v>0.46117647058823524</v>
      </c>
      <c r="L55" s="249">
        <f>(J54/H54)*(1/1)*(H55/1)</f>
        <v>56</v>
      </c>
      <c r="M55" s="150">
        <f>K55</f>
        <v>0.46117647058823524</v>
      </c>
      <c r="N55" s="520">
        <f>M55/I55</f>
        <v>0.21753607103218642</v>
      </c>
      <c r="O55" s="1096"/>
    </row>
    <row r="56" spans="6:15" ht="19.5" thickBot="1" x14ac:dyDescent="0.4">
      <c r="F56" s="479" t="s">
        <v>421</v>
      </c>
      <c r="G56" s="220" t="s">
        <v>346</v>
      </c>
      <c r="H56" s="523">
        <v>47</v>
      </c>
      <c r="I56" s="476">
        <v>1</v>
      </c>
      <c r="J56" s="476">
        <v>0</v>
      </c>
      <c r="K56" s="520">
        <f>(J53/H53)*(1/1)*(H56/1)</f>
        <v>0.38705882352941173</v>
      </c>
      <c r="L56" s="249">
        <f>(J54/H54)*(2/1)*(H56/1)</f>
        <v>94</v>
      </c>
      <c r="M56" s="126">
        <f>K56</f>
        <v>0.38705882352941173</v>
      </c>
      <c r="N56" s="520">
        <f>M56/I56</f>
        <v>0.38705882352941173</v>
      </c>
      <c r="O56" s="1096"/>
    </row>
    <row r="57" spans="6:15" ht="16.5" thickBot="1" x14ac:dyDescent="0.3">
      <c r="F57" s="1138" t="s">
        <v>180</v>
      </c>
      <c r="G57" s="1139"/>
      <c r="H57" s="1151"/>
      <c r="I57" s="1152"/>
      <c r="J57" s="514">
        <f>SUM(J53:J56)</f>
        <v>18.7</v>
      </c>
      <c r="K57" s="123">
        <f>SUM(K53:L54)-SUM(K55:K56)</f>
        <v>0</v>
      </c>
      <c r="L57" s="514">
        <f>SUM(K53:L54)-SUM(L55:L56)</f>
        <v>-149.15176470588236</v>
      </c>
      <c r="M57" s="121">
        <f>SUM(M53:M56)</f>
        <v>18.7</v>
      </c>
      <c r="N57" s="497">
        <f>SUM(N53:N56)</f>
        <v>18.45635960044395</v>
      </c>
      <c r="O57" s="1097"/>
    </row>
    <row r="58" spans="6:15" ht="16.5" thickBot="1" x14ac:dyDescent="0.3"/>
    <row r="59" spans="6:15" ht="16.5" thickBot="1" x14ac:dyDescent="0.3">
      <c r="F59" s="923" t="s">
        <v>641</v>
      </c>
      <c r="G59" s="924"/>
      <c r="H59" s="924"/>
      <c r="I59" s="924"/>
      <c r="J59" s="924"/>
      <c r="K59" s="924"/>
      <c r="L59" s="924"/>
      <c r="M59" s="924"/>
      <c r="N59" s="925"/>
    </row>
    <row r="60" spans="6:15" ht="16.5" thickBot="1" x14ac:dyDescent="0.3">
      <c r="F60" s="1448" t="s">
        <v>624</v>
      </c>
      <c r="G60" s="1449"/>
      <c r="H60" s="1449"/>
      <c r="I60" s="1449"/>
      <c r="J60" s="1449"/>
      <c r="K60" s="1449"/>
      <c r="L60" s="1449"/>
      <c r="M60" s="1449"/>
      <c r="N60" s="1450"/>
    </row>
    <row r="61" spans="6:15" ht="48" thickBot="1" x14ac:dyDescent="0.3">
      <c r="F61" s="457" t="s">
        <v>0</v>
      </c>
      <c r="G61" s="317" t="s">
        <v>1</v>
      </c>
      <c r="H61" s="457" t="s">
        <v>548</v>
      </c>
      <c r="I61" s="457" t="s">
        <v>667</v>
      </c>
      <c r="J61" s="457" t="s">
        <v>666</v>
      </c>
      <c r="K61" s="457" t="s">
        <v>439</v>
      </c>
      <c r="L61" s="457" t="s">
        <v>552</v>
      </c>
      <c r="M61" s="457" t="s">
        <v>620</v>
      </c>
      <c r="N61" s="292" t="s">
        <v>3</v>
      </c>
    </row>
    <row r="62" spans="6:15" ht="18.75" x14ac:dyDescent="0.25">
      <c r="F62" s="505" t="s">
        <v>182</v>
      </c>
      <c r="G62" s="521" t="s">
        <v>175</v>
      </c>
      <c r="H62" s="521">
        <v>18</v>
      </c>
      <c r="I62" s="524">
        <v>1</v>
      </c>
      <c r="J62" s="521">
        <v>25000</v>
      </c>
      <c r="K62" s="198">
        <v>0</v>
      </c>
      <c r="L62" s="521">
        <f t="shared" ref="L62:L67" si="2">J62</f>
        <v>25000</v>
      </c>
      <c r="M62" s="63">
        <f t="shared" ref="M62:M67" si="3">L62/I62</f>
        <v>25000</v>
      </c>
      <c r="N62" s="1454" t="s">
        <v>745</v>
      </c>
    </row>
    <row r="63" spans="6:15" ht="31.5" x14ac:dyDescent="0.35">
      <c r="F63" s="289" t="s">
        <v>360</v>
      </c>
      <c r="G63" s="197" t="s">
        <v>359</v>
      </c>
      <c r="H63" s="60">
        <v>42</v>
      </c>
      <c r="I63" s="66">
        <v>1.08</v>
      </c>
      <c r="J63" s="60">
        <v>500</v>
      </c>
      <c r="K63" s="60">
        <v>0</v>
      </c>
      <c r="L63" s="60">
        <f t="shared" si="2"/>
        <v>500</v>
      </c>
      <c r="M63" s="105">
        <f t="shared" si="3"/>
        <v>462.96296296296293</v>
      </c>
      <c r="N63" s="1455"/>
    </row>
    <row r="64" spans="6:15" ht="33" x14ac:dyDescent="0.35">
      <c r="F64" s="345" t="s">
        <v>358</v>
      </c>
      <c r="G64" s="178" t="s">
        <v>336</v>
      </c>
      <c r="H64" s="60">
        <v>110</v>
      </c>
      <c r="I64" s="66">
        <v>2.15</v>
      </c>
      <c r="J64" s="60">
        <v>500</v>
      </c>
      <c r="K64" s="60">
        <v>0</v>
      </c>
      <c r="L64" s="60">
        <f t="shared" si="2"/>
        <v>500</v>
      </c>
      <c r="M64" s="105">
        <f t="shared" si="3"/>
        <v>232.55813953488374</v>
      </c>
      <c r="N64" s="1455"/>
    </row>
    <row r="65" spans="6:15" ht="31.5" x14ac:dyDescent="0.25">
      <c r="F65" s="477" t="s">
        <v>357</v>
      </c>
      <c r="G65" s="153" t="s">
        <v>356</v>
      </c>
      <c r="H65" s="474">
        <v>1.62</v>
      </c>
      <c r="I65" s="488">
        <v>2.9</v>
      </c>
      <c r="J65" s="60">
        <v>500</v>
      </c>
      <c r="K65" s="60">
        <v>0</v>
      </c>
      <c r="L65" s="60">
        <f t="shared" si="2"/>
        <v>500</v>
      </c>
      <c r="M65" s="60">
        <f t="shared" si="3"/>
        <v>172.41379310344828</v>
      </c>
      <c r="N65" s="1455"/>
    </row>
    <row r="66" spans="6:15" ht="18.75" x14ac:dyDescent="0.35">
      <c r="F66" s="294" t="s">
        <v>355</v>
      </c>
      <c r="G66" s="132" t="s">
        <v>354</v>
      </c>
      <c r="H66" s="254">
        <v>120</v>
      </c>
      <c r="I66" s="253">
        <v>2.66</v>
      </c>
      <c r="J66" s="60">
        <v>500</v>
      </c>
      <c r="K66" s="60"/>
      <c r="L66" s="60">
        <f t="shared" si="2"/>
        <v>500</v>
      </c>
      <c r="M66" s="60">
        <f t="shared" si="3"/>
        <v>187.96992481203006</v>
      </c>
      <c r="N66" s="1455"/>
    </row>
    <row r="67" spans="6:15" ht="16.5" thickBot="1" x14ac:dyDescent="0.3">
      <c r="F67" s="346" t="s">
        <v>353</v>
      </c>
      <c r="G67" s="252" t="s">
        <v>352</v>
      </c>
      <c r="H67" s="252" t="s">
        <v>351</v>
      </c>
      <c r="I67" s="251">
        <v>0.99</v>
      </c>
      <c r="J67" s="476">
        <v>0</v>
      </c>
      <c r="K67" s="476">
        <v>0</v>
      </c>
      <c r="L67" s="476">
        <f t="shared" si="2"/>
        <v>0</v>
      </c>
      <c r="M67" s="522">
        <f t="shared" si="3"/>
        <v>0</v>
      </c>
      <c r="N67" s="1455"/>
    </row>
    <row r="68" spans="6:15" ht="16.5" thickBot="1" x14ac:dyDescent="0.3">
      <c r="F68" s="933" t="s">
        <v>180</v>
      </c>
      <c r="G68" s="933"/>
      <c r="H68" s="933"/>
      <c r="I68" s="933"/>
      <c r="J68" s="235">
        <f>SUM(J62:J67)</f>
        <v>27000</v>
      </c>
      <c r="K68" s="235">
        <f>SUM(K62:K67)</f>
        <v>0</v>
      </c>
      <c r="L68" s="235">
        <f>SUM(L62:L67)</f>
        <v>27000</v>
      </c>
      <c r="M68" s="234">
        <f>SUM(M62:M67)</f>
        <v>26055.904820413329</v>
      </c>
      <c r="N68" s="1456"/>
    </row>
    <row r="69" spans="6:15" ht="16.5" thickBot="1" x14ac:dyDescent="0.3"/>
    <row r="70" spans="6:15" ht="17.25" customHeight="1" thickBot="1" x14ac:dyDescent="0.3">
      <c r="F70" s="1103" t="s">
        <v>445</v>
      </c>
      <c r="G70" s="1104"/>
      <c r="H70" s="1104"/>
      <c r="I70" s="1104"/>
      <c r="J70" s="1104"/>
      <c r="K70" s="1104"/>
      <c r="L70" s="1104"/>
      <c r="M70" s="1104"/>
      <c r="N70" s="1105"/>
    </row>
    <row r="71" spans="6:15" ht="16.5" thickBot="1" x14ac:dyDescent="0.3">
      <c r="F71" s="1448" t="s">
        <v>624</v>
      </c>
      <c r="G71" s="1449"/>
      <c r="H71" s="1449"/>
      <c r="I71" s="1449"/>
      <c r="J71" s="1449"/>
      <c r="K71" s="1449"/>
      <c r="L71" s="1449"/>
      <c r="M71" s="1449"/>
      <c r="N71" s="1450"/>
    </row>
    <row r="72" spans="6:15" ht="48" thickBot="1" x14ac:dyDescent="0.3">
      <c r="F72" s="342" t="s">
        <v>0</v>
      </c>
      <c r="G72" s="343" t="s">
        <v>1</v>
      </c>
      <c r="H72" s="457" t="s">
        <v>548</v>
      </c>
      <c r="I72" s="457" t="s">
        <v>667</v>
      </c>
      <c r="J72" s="457" t="s">
        <v>666</v>
      </c>
      <c r="K72" s="342" t="s">
        <v>439</v>
      </c>
      <c r="L72" s="457" t="s">
        <v>552</v>
      </c>
      <c r="M72" s="457" t="s">
        <v>620</v>
      </c>
      <c r="N72" s="292" t="s">
        <v>3</v>
      </c>
    </row>
    <row r="73" spans="6:15" ht="19.5" customHeight="1" thickBot="1" x14ac:dyDescent="0.3">
      <c r="F73" s="344" t="s">
        <v>182</v>
      </c>
      <c r="G73" s="39" t="s">
        <v>175</v>
      </c>
      <c r="H73" s="199">
        <v>18</v>
      </c>
      <c r="I73" s="39">
        <v>1</v>
      </c>
      <c r="J73" s="199">
        <v>25</v>
      </c>
      <c r="K73" s="227">
        <v>0</v>
      </c>
      <c r="L73" s="199">
        <f>J73</f>
        <v>25</v>
      </c>
      <c r="M73" s="227">
        <f>L73/I73</f>
        <v>25</v>
      </c>
      <c r="N73" s="1006" t="s">
        <v>573</v>
      </c>
    </row>
    <row r="74" spans="6:15" ht="31.5" customHeight="1" thickBot="1" x14ac:dyDescent="0.3">
      <c r="F74" s="1018" t="s">
        <v>53</v>
      </c>
      <c r="G74" s="951"/>
      <c r="H74" s="951"/>
      <c r="I74" s="952"/>
      <c r="J74" s="511">
        <f>SUM(J73:J73)</f>
        <v>25</v>
      </c>
      <c r="K74" s="71">
        <f>SUM(K73)</f>
        <v>0</v>
      </c>
      <c r="L74" s="511">
        <f>SUM(L73:L73)</f>
        <v>25</v>
      </c>
      <c r="M74" s="235">
        <f>SUM(M73:M73)</f>
        <v>25</v>
      </c>
      <c r="N74" s="1008"/>
    </row>
    <row r="75" spans="6:15" ht="16.5" thickBot="1" x14ac:dyDescent="0.3"/>
    <row r="76" spans="6:15" ht="19.5" customHeight="1" thickBot="1" x14ac:dyDescent="0.3">
      <c r="F76" s="1103" t="s">
        <v>447</v>
      </c>
      <c r="G76" s="1104"/>
      <c r="H76" s="1104"/>
      <c r="I76" s="1104"/>
      <c r="J76" s="1104"/>
      <c r="K76" s="1104"/>
      <c r="L76" s="1104"/>
      <c r="M76" s="1104"/>
      <c r="N76" s="1104"/>
      <c r="O76" s="1105"/>
    </row>
    <row r="77" spans="6:15" ht="18" thickBot="1" x14ac:dyDescent="0.3">
      <c r="F77" s="1120" t="s">
        <v>350</v>
      </c>
      <c r="G77" s="1121"/>
      <c r="H77" s="1121"/>
      <c r="I77" s="1121"/>
      <c r="J77" s="1121"/>
      <c r="K77" s="1121"/>
      <c r="L77" s="1121"/>
      <c r="M77" s="1121"/>
      <c r="N77" s="1121"/>
      <c r="O77" s="1122"/>
    </row>
    <row r="78" spans="6:15" ht="48" thickBot="1" x14ac:dyDescent="0.3">
      <c r="F78" s="457" t="s">
        <v>0</v>
      </c>
      <c r="G78" s="317" t="s">
        <v>1</v>
      </c>
      <c r="H78" s="457" t="s">
        <v>548</v>
      </c>
      <c r="I78" s="457" t="s">
        <v>667</v>
      </c>
      <c r="J78" s="457" t="s">
        <v>666</v>
      </c>
      <c r="K78" s="1439" t="s">
        <v>740</v>
      </c>
      <c r="L78" s="1441"/>
      <c r="M78" s="457" t="s">
        <v>739</v>
      </c>
      <c r="N78" s="457" t="s">
        <v>746</v>
      </c>
      <c r="O78" s="292" t="s">
        <v>3</v>
      </c>
    </row>
    <row r="79" spans="6:15" ht="18.75" x14ac:dyDescent="0.25">
      <c r="F79" s="319" t="s">
        <v>443</v>
      </c>
      <c r="G79" s="247" t="s">
        <v>349</v>
      </c>
      <c r="H79" s="160">
        <v>101</v>
      </c>
      <c r="I79" s="160">
        <v>2.11</v>
      </c>
      <c r="J79" s="160">
        <v>1</v>
      </c>
      <c r="K79" s="1166">
        <f>J79</f>
        <v>1</v>
      </c>
      <c r="L79" s="1166"/>
      <c r="M79" s="160">
        <f>J79-K79</f>
        <v>0</v>
      </c>
      <c r="N79" s="496">
        <f>M79/I79</f>
        <v>0</v>
      </c>
      <c r="O79" s="1095" t="s">
        <v>869</v>
      </c>
    </row>
    <row r="80" spans="6:15" ht="18.75" x14ac:dyDescent="0.25">
      <c r="F80" s="302" t="s">
        <v>182</v>
      </c>
      <c r="G80" s="150" t="s">
        <v>181</v>
      </c>
      <c r="H80" s="129">
        <v>18</v>
      </c>
      <c r="I80" s="150">
        <v>1</v>
      </c>
      <c r="J80" s="150">
        <v>6</v>
      </c>
      <c r="K80" s="1163">
        <f>(J79)*(1/H79)*(1/1)*(H80/1)</f>
        <v>0.17821782178217821</v>
      </c>
      <c r="L80" s="1163"/>
      <c r="M80" s="150">
        <f>J80-K80</f>
        <v>5.8217821782178216</v>
      </c>
      <c r="N80" s="157">
        <f>M80/I80</f>
        <v>5.8217821782178216</v>
      </c>
      <c r="O80" s="1096"/>
    </row>
    <row r="81" spans="3:15" x14ac:dyDescent="0.25">
      <c r="C81" s="539"/>
      <c r="F81" s="318" t="s">
        <v>432</v>
      </c>
      <c r="G81" s="107" t="s">
        <v>93</v>
      </c>
      <c r="H81" s="245">
        <v>56</v>
      </c>
      <c r="I81" s="245">
        <v>2.12</v>
      </c>
      <c r="J81" s="150">
        <v>0</v>
      </c>
      <c r="K81" s="520">
        <f>(J79/H79)*(1/1)*(H81/1)</f>
        <v>0.5544554455445545</v>
      </c>
      <c r="L81" s="249">
        <f>(J80/H80)*(1/1)*(H81/1)</f>
        <v>18.666666666666664</v>
      </c>
      <c r="M81" s="150">
        <f>K81</f>
        <v>0.5544554455445545</v>
      </c>
      <c r="N81" s="157">
        <f>M81/I81</f>
        <v>0.26153558752101624</v>
      </c>
      <c r="O81" s="1096"/>
    </row>
    <row r="82" spans="3:15" ht="19.5" thickBot="1" x14ac:dyDescent="0.4">
      <c r="F82" s="479" t="s">
        <v>403</v>
      </c>
      <c r="G82" s="468" t="s">
        <v>223</v>
      </c>
      <c r="H82" s="476">
        <v>63</v>
      </c>
      <c r="I82" s="476">
        <v>1.51</v>
      </c>
      <c r="J82" s="476">
        <v>0</v>
      </c>
      <c r="K82" s="520">
        <f>(J79/H79)*(1/1)*(H82/1)</f>
        <v>0.62376237623762376</v>
      </c>
      <c r="L82" s="249">
        <f>(J80/H80)*(1/1)*(H82/1)</f>
        <v>21</v>
      </c>
      <c r="M82" s="126">
        <f>K82</f>
        <v>0.62376237623762376</v>
      </c>
      <c r="N82" s="125">
        <f>M82/I82</f>
        <v>0.4130876663825323</v>
      </c>
      <c r="O82" s="1096"/>
    </row>
    <row r="83" spans="3:15" ht="16.5" thickBot="1" x14ac:dyDescent="0.3">
      <c r="F83" s="1458" t="s">
        <v>180</v>
      </c>
      <c r="G83" s="1459"/>
      <c r="H83" s="1459"/>
      <c r="I83" s="1460"/>
      <c r="J83" s="519">
        <f>SUM(J79:J82)</f>
        <v>7</v>
      </c>
      <c r="K83" s="123">
        <f>SUM(K79:L80)-SUM(K81:K82)</f>
        <v>0</v>
      </c>
      <c r="L83" s="514">
        <f>SUM(K79:L80)-SUM(L81:L82)</f>
        <v>-38.488448844884488</v>
      </c>
      <c r="M83" s="121">
        <f>SUM(M79:M82)</f>
        <v>7</v>
      </c>
      <c r="N83" s="121">
        <f>SUM(N79:N82)</f>
        <v>6.49640543212137</v>
      </c>
      <c r="O83" s="1097"/>
    </row>
    <row r="84" spans="3:15" ht="15.75" customHeight="1" x14ac:dyDescent="0.25">
      <c r="F84" s="1103" t="s">
        <v>638</v>
      </c>
      <c r="G84" s="1104"/>
      <c r="H84" s="1104"/>
      <c r="I84" s="1104"/>
      <c r="J84" s="1104"/>
      <c r="K84" s="1104"/>
      <c r="L84" s="1104"/>
      <c r="M84" s="1104"/>
      <c r="N84" s="1104"/>
      <c r="O84" s="1105"/>
    </row>
    <row r="85" spans="3:15" ht="18" thickBot="1" x14ac:dyDescent="0.3">
      <c r="F85" s="1112" t="s">
        <v>348</v>
      </c>
      <c r="G85" s="1113"/>
      <c r="H85" s="1113"/>
      <c r="I85" s="1113"/>
      <c r="J85" s="1113"/>
      <c r="K85" s="1113"/>
      <c r="L85" s="1113"/>
      <c r="M85" s="1113"/>
      <c r="N85" s="1113"/>
      <c r="O85" s="1114"/>
    </row>
    <row r="86" spans="3:15" ht="48" thickBot="1" x14ac:dyDescent="0.3">
      <c r="F86" s="457" t="s">
        <v>0</v>
      </c>
      <c r="G86" s="317" t="s">
        <v>1</v>
      </c>
      <c r="H86" s="457" t="s">
        <v>548</v>
      </c>
      <c r="I86" s="457" t="s">
        <v>667</v>
      </c>
      <c r="J86" s="457" t="s">
        <v>666</v>
      </c>
      <c r="K86" s="1439" t="s">
        <v>740</v>
      </c>
      <c r="L86" s="1441"/>
      <c r="M86" s="606" t="s">
        <v>739</v>
      </c>
      <c r="N86" s="606" t="s">
        <v>746</v>
      </c>
      <c r="O86" s="292" t="s">
        <v>3</v>
      </c>
    </row>
    <row r="87" spans="3:15" ht="18.75" x14ac:dyDescent="0.35">
      <c r="F87" s="319" t="s">
        <v>444</v>
      </c>
      <c r="G87" s="192" t="s">
        <v>347</v>
      </c>
      <c r="H87" s="160">
        <v>85</v>
      </c>
      <c r="I87" s="160">
        <v>1.91</v>
      </c>
      <c r="J87" s="160">
        <v>1</v>
      </c>
      <c r="K87" s="1126">
        <f>J87</f>
        <v>1</v>
      </c>
      <c r="L87" s="1127"/>
      <c r="M87" s="160">
        <f>J87-K87</f>
        <v>0</v>
      </c>
      <c r="N87" s="496">
        <f>M87/I87</f>
        <v>0</v>
      </c>
      <c r="O87" s="1095" t="s">
        <v>866</v>
      </c>
    </row>
    <row r="88" spans="3:15" ht="18.75" x14ac:dyDescent="0.25">
      <c r="F88" s="308" t="s">
        <v>182</v>
      </c>
      <c r="G88" s="150" t="s">
        <v>181</v>
      </c>
      <c r="H88" s="150">
        <v>18</v>
      </c>
      <c r="I88" s="150">
        <v>1</v>
      </c>
      <c r="J88" s="150">
        <v>6</v>
      </c>
      <c r="K88" s="1130">
        <f>(J87/H87)*(1/1)*(H88/1)</f>
        <v>0.21176470588235294</v>
      </c>
      <c r="L88" s="1131"/>
      <c r="M88" s="150">
        <f>J88-K88</f>
        <v>5.7882352941176469</v>
      </c>
      <c r="N88" s="520">
        <f>M88/I88</f>
        <v>5.7882352941176469</v>
      </c>
      <c r="O88" s="1096"/>
    </row>
    <row r="89" spans="3:15" x14ac:dyDescent="0.25">
      <c r="F89" s="318" t="s">
        <v>432</v>
      </c>
      <c r="G89" s="107" t="s">
        <v>93</v>
      </c>
      <c r="H89" s="245">
        <v>56</v>
      </c>
      <c r="I89" s="245">
        <v>2.12</v>
      </c>
      <c r="J89" s="150">
        <v>0</v>
      </c>
      <c r="K89" s="149">
        <f>(J87/H87)*(1/1)*(H89/1)</f>
        <v>0.6588235294117647</v>
      </c>
      <c r="L89" s="148">
        <f>(J88/H88)*(1/1)*(H89/1)</f>
        <v>18.666666666666664</v>
      </c>
      <c r="M89" s="150">
        <f>K89</f>
        <v>0.6588235294117647</v>
      </c>
      <c r="N89" s="520">
        <f>M89/I89</f>
        <v>0.31076581576026635</v>
      </c>
      <c r="O89" s="1096"/>
    </row>
    <row r="90" spans="3:15" ht="19.5" thickBot="1" x14ac:dyDescent="0.4">
      <c r="F90" s="479" t="s">
        <v>421</v>
      </c>
      <c r="G90" s="220" t="s">
        <v>346</v>
      </c>
      <c r="H90" s="476">
        <v>47</v>
      </c>
      <c r="I90" s="476">
        <v>1</v>
      </c>
      <c r="J90" s="476">
        <v>0</v>
      </c>
      <c r="K90" s="149">
        <f>(J87/H87)*(1/1)*(H90/1)</f>
        <v>0.55294117647058827</v>
      </c>
      <c r="L90" s="148">
        <f>(J88/H88)*(1/1)*(H90/1)</f>
        <v>15.666666666666666</v>
      </c>
      <c r="M90" s="150">
        <f>K90</f>
        <v>0.55294117647058827</v>
      </c>
      <c r="N90" s="520">
        <f>M90/I90</f>
        <v>0.55294117647058827</v>
      </c>
      <c r="O90" s="1096"/>
    </row>
    <row r="91" spans="3:15" ht="16.5" thickBot="1" x14ac:dyDescent="0.3">
      <c r="C91" s="539"/>
      <c r="F91" s="1461" t="s">
        <v>180</v>
      </c>
      <c r="G91" s="1462"/>
      <c r="H91" s="1459"/>
      <c r="I91" s="1460"/>
      <c r="J91" s="514">
        <f>SUM(J87:J90)</f>
        <v>7</v>
      </c>
      <c r="K91" s="123">
        <f>SUM(K87:L88)-SUM(K89:K90)</f>
        <v>0</v>
      </c>
      <c r="L91" s="514">
        <f>SUM(K87:L88)-SUM(L89:L90)</f>
        <v>-33.121568627450976</v>
      </c>
      <c r="M91" s="121">
        <f>SUM(M87:M90)</f>
        <v>7</v>
      </c>
      <c r="N91" s="248">
        <f>SUM(N87:N90)</f>
        <v>6.6519422863485014</v>
      </c>
      <c r="O91" s="1097"/>
    </row>
    <row r="92" spans="3:15" ht="16.5" thickBot="1" x14ac:dyDescent="0.3"/>
    <row r="93" spans="3:15" ht="18" customHeight="1" thickBot="1" x14ac:dyDescent="0.3">
      <c r="F93" s="1103" t="s">
        <v>448</v>
      </c>
      <c r="G93" s="1104"/>
      <c r="H93" s="1104"/>
      <c r="I93" s="1104"/>
      <c r="J93" s="1104"/>
      <c r="K93" s="1104"/>
      <c r="L93" s="1104"/>
      <c r="M93" s="1104"/>
      <c r="N93" s="1104"/>
      <c r="O93" s="1105"/>
    </row>
    <row r="94" spans="3:15" ht="19.5" thickBot="1" x14ac:dyDescent="0.3">
      <c r="F94" s="971" t="s">
        <v>747</v>
      </c>
      <c r="G94" s="972"/>
      <c r="H94" s="972"/>
      <c r="I94" s="972"/>
      <c r="J94" s="972"/>
      <c r="K94" s="972"/>
      <c r="L94" s="972"/>
      <c r="M94" s="972"/>
      <c r="N94" s="972"/>
      <c r="O94" s="973"/>
    </row>
    <row r="95" spans="3:15" ht="48" thickBot="1" x14ac:dyDescent="0.3">
      <c r="F95" s="457" t="s">
        <v>0</v>
      </c>
      <c r="G95" s="317" t="s">
        <v>1</v>
      </c>
      <c r="H95" s="457" t="s">
        <v>548</v>
      </c>
      <c r="I95" s="457" t="s">
        <v>667</v>
      </c>
      <c r="J95" s="457" t="s">
        <v>666</v>
      </c>
      <c r="K95" s="1439" t="s">
        <v>740</v>
      </c>
      <c r="L95" s="1441"/>
      <c r="M95" s="606" t="s">
        <v>739</v>
      </c>
      <c r="N95" s="606" t="s">
        <v>746</v>
      </c>
      <c r="O95" s="292" t="s">
        <v>3</v>
      </c>
    </row>
    <row r="96" spans="3:15" ht="18.75" x14ac:dyDescent="0.25">
      <c r="F96" s="319" t="s">
        <v>345</v>
      </c>
      <c r="G96" s="247" t="s">
        <v>344</v>
      </c>
      <c r="H96" s="160">
        <v>94</v>
      </c>
      <c r="I96" s="160">
        <v>4.5999999999999996</v>
      </c>
      <c r="J96" s="160">
        <v>2</v>
      </c>
      <c r="K96" s="1132">
        <f>J96</f>
        <v>2</v>
      </c>
      <c r="L96" s="1133"/>
      <c r="M96" s="160">
        <f>J96-K96</f>
        <v>0</v>
      </c>
      <c r="N96" s="246">
        <f>M96/I96</f>
        <v>0</v>
      </c>
      <c r="O96" s="1117" t="s">
        <v>870</v>
      </c>
    </row>
    <row r="97" spans="3:15" ht="18.75" x14ac:dyDescent="0.25">
      <c r="C97" s="539"/>
      <c r="F97" s="308" t="s">
        <v>182</v>
      </c>
      <c r="G97" s="150" t="s">
        <v>181</v>
      </c>
      <c r="H97" s="150">
        <v>18</v>
      </c>
      <c r="I97" s="150">
        <v>1</v>
      </c>
      <c r="J97" s="150">
        <v>5</v>
      </c>
      <c r="K97" s="1130">
        <f>(J96/H96)*(1/1)*(H97/1)</f>
        <v>0.38297872340425532</v>
      </c>
      <c r="L97" s="1131"/>
      <c r="M97" s="150">
        <f>J97-K97</f>
        <v>4.6170212765957448</v>
      </c>
      <c r="N97" s="147">
        <f>M97/I97</f>
        <v>4.6170212765957448</v>
      </c>
      <c r="O97" s="1118"/>
    </row>
    <row r="98" spans="3:15" x14ac:dyDescent="0.25">
      <c r="F98" s="318" t="s">
        <v>446</v>
      </c>
      <c r="G98" s="107" t="s">
        <v>58</v>
      </c>
      <c r="H98" s="245">
        <v>17</v>
      </c>
      <c r="I98" s="245">
        <v>2.1</v>
      </c>
      <c r="J98" s="150">
        <v>0</v>
      </c>
      <c r="K98" s="149">
        <f>(J96/H96)*(1/1)*(H98/1)</f>
        <v>0.36170212765957444</v>
      </c>
      <c r="L98" s="148">
        <f>(J97/H97)*(1/1)*(H98/1)</f>
        <v>4.7222222222222223</v>
      </c>
      <c r="M98" s="150">
        <f>K98</f>
        <v>0.36170212765957444</v>
      </c>
      <c r="N98" s="147">
        <f>M98/I98</f>
        <v>0.17223910840932116</v>
      </c>
      <c r="O98" s="1118"/>
    </row>
    <row r="99" spans="3:15" ht="19.5" thickBot="1" x14ac:dyDescent="0.3">
      <c r="F99" s="479" t="s">
        <v>867</v>
      </c>
      <c r="G99" s="216" t="s">
        <v>343</v>
      </c>
      <c r="H99" s="476">
        <v>96</v>
      </c>
      <c r="I99" s="476">
        <v>1.84</v>
      </c>
      <c r="J99" s="476">
        <v>0</v>
      </c>
      <c r="K99" s="145">
        <f>(J96/H96)*(1/1)*(H99/1)</f>
        <v>2.0425531914893615</v>
      </c>
      <c r="L99" s="144">
        <f>(J97/H97)*(1/1)*(H99/1)</f>
        <v>26.666666666666668</v>
      </c>
      <c r="M99" s="126">
        <f>K99</f>
        <v>2.0425531914893615</v>
      </c>
      <c r="N99" s="125">
        <f>M99/I99</f>
        <v>1.1100832562442182</v>
      </c>
      <c r="O99" s="1118"/>
    </row>
    <row r="100" spans="3:15" ht="16.5" thickBot="1" x14ac:dyDescent="0.3">
      <c r="F100" s="1461" t="s">
        <v>180</v>
      </c>
      <c r="G100" s="1462"/>
      <c r="H100" s="1459"/>
      <c r="I100" s="1460"/>
      <c r="J100" s="514">
        <f>SUM(J96:J99)</f>
        <v>7</v>
      </c>
      <c r="K100" s="123">
        <f>SUM(K96:L97)-SUM(K98:K99)</f>
        <v>-2.1276595744680549E-2</v>
      </c>
      <c r="L100" s="514">
        <f>SUM(K96:L97)-SUM(L98:L99)</f>
        <v>-29.005910165484636</v>
      </c>
      <c r="M100" s="121">
        <f>SUM(M96:M99)</f>
        <v>7.0212765957446805</v>
      </c>
      <c r="N100" s="497">
        <f>SUM(N96:N99)</f>
        <v>5.8993436412492839</v>
      </c>
      <c r="O100" s="1119"/>
    </row>
  </sheetData>
  <mergeCells count="68">
    <mergeCell ref="O87:O91"/>
    <mergeCell ref="F85:O85"/>
    <mergeCell ref="F84:O84"/>
    <mergeCell ref="K95:L95"/>
    <mergeCell ref="K96:L96"/>
    <mergeCell ref="O96:O100"/>
    <mergeCell ref="K97:L97"/>
    <mergeCell ref="F100:I100"/>
    <mergeCell ref="F94:O94"/>
    <mergeCell ref="F93:O93"/>
    <mergeCell ref="K87:L87"/>
    <mergeCell ref="K88:L88"/>
    <mergeCell ref="F91:I91"/>
    <mergeCell ref="K86:L86"/>
    <mergeCell ref="K80:L80"/>
    <mergeCell ref="F83:I83"/>
    <mergeCell ref="O79:O83"/>
    <mergeCell ref="F77:O77"/>
    <mergeCell ref="F76:O76"/>
    <mergeCell ref="K79:L79"/>
    <mergeCell ref="F74:I74"/>
    <mergeCell ref="N73:N74"/>
    <mergeCell ref="F71:N71"/>
    <mergeCell ref="F70:N70"/>
    <mergeCell ref="K78:L78"/>
    <mergeCell ref="K54:L54"/>
    <mergeCell ref="F57:I57"/>
    <mergeCell ref="O53:O57"/>
    <mergeCell ref="F51:O51"/>
    <mergeCell ref="F68:I68"/>
    <mergeCell ref="N62:N68"/>
    <mergeCell ref="F60:N60"/>
    <mergeCell ref="F59:N59"/>
    <mergeCell ref="K53:L53"/>
    <mergeCell ref="O45:O49"/>
    <mergeCell ref="F43:O43"/>
    <mergeCell ref="F42:O42"/>
    <mergeCell ref="F50:O50"/>
    <mergeCell ref="K52:L52"/>
    <mergeCell ref="K44:L44"/>
    <mergeCell ref="K45:L45"/>
    <mergeCell ref="K46:L46"/>
    <mergeCell ref="F49:I49"/>
    <mergeCell ref="F30:I30"/>
    <mergeCell ref="N24:N30"/>
    <mergeCell ref="F22:N22"/>
    <mergeCell ref="F21:N21"/>
    <mergeCell ref="F40:I40"/>
    <mergeCell ref="N35:N40"/>
    <mergeCell ref="F32:N32"/>
    <mergeCell ref="F33:N33"/>
    <mergeCell ref="F2:O2"/>
    <mergeCell ref="K13:M13"/>
    <mergeCell ref="P14:P19"/>
    <mergeCell ref="F12:P12"/>
    <mergeCell ref="F11:P11"/>
    <mergeCell ref="F19:I19"/>
    <mergeCell ref="K5:L5"/>
    <mergeCell ref="K6:L6"/>
    <mergeCell ref="K14:M14"/>
    <mergeCell ref="K15:M15"/>
    <mergeCell ref="K16:M16"/>
    <mergeCell ref="D3:D11"/>
    <mergeCell ref="B9:B10"/>
    <mergeCell ref="K4:L4"/>
    <mergeCell ref="F10:I10"/>
    <mergeCell ref="O5:O10"/>
    <mergeCell ref="F3:O3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9"/>
  <sheetViews>
    <sheetView zoomScale="80" zoomScaleNormal="80" workbookViewId="0">
      <selection activeCell="N21" sqref="N21:N22"/>
    </sheetView>
  </sheetViews>
  <sheetFormatPr baseColWidth="10" defaultRowHeight="15.75" x14ac:dyDescent="0.25"/>
  <cols>
    <col min="1" max="1" width="4.140625" customWidth="1"/>
    <col min="2" max="2" width="12.5703125" style="3" customWidth="1"/>
    <col min="3" max="3" width="38.140625" customWidth="1"/>
    <col min="4" max="4" width="9.5703125" customWidth="1"/>
    <col min="5" max="5" width="8.7109375" customWidth="1"/>
    <col min="6" max="6" width="25.7109375" customWidth="1"/>
    <col min="7" max="7" width="13.140625" customWidth="1"/>
    <col min="8" max="8" width="13.5703125" customWidth="1"/>
    <col min="9" max="9" width="17" customWidth="1"/>
    <col min="10" max="10" width="13.85546875" customWidth="1"/>
    <col min="12" max="12" width="15.42578125" customWidth="1"/>
    <col min="13" max="13" width="14.42578125" customWidth="1"/>
    <col min="14" max="14" width="54.42578125" style="284" customWidth="1"/>
    <col min="15" max="15" width="11.5703125" customWidth="1"/>
    <col min="17" max="17" width="36.7109375" customWidth="1"/>
  </cols>
  <sheetData>
    <row r="1" spans="2:17" ht="16.5" thickBot="1" x14ac:dyDescent="0.3"/>
    <row r="2" spans="2:17" ht="16.5" customHeight="1" thickBot="1" x14ac:dyDescent="0.3">
      <c r="B2" s="393" t="s">
        <v>639</v>
      </c>
      <c r="C2" s="369" t="s">
        <v>607</v>
      </c>
      <c r="D2" s="400" t="s">
        <v>53</v>
      </c>
      <c r="F2" s="968" t="s">
        <v>449</v>
      </c>
      <c r="G2" s="969"/>
      <c r="H2" s="969"/>
      <c r="I2" s="969"/>
      <c r="J2" s="969"/>
      <c r="K2" s="969"/>
      <c r="L2" s="969"/>
      <c r="M2" s="969"/>
      <c r="N2" s="970"/>
    </row>
    <row r="3" spans="2:17" ht="33" customHeight="1" thickBot="1" x14ac:dyDescent="0.3">
      <c r="B3" s="232">
        <v>1</v>
      </c>
      <c r="C3" s="409" t="s">
        <v>878</v>
      </c>
      <c r="D3" s="1466">
        <v>4</v>
      </c>
      <c r="F3" s="999" t="s">
        <v>374</v>
      </c>
      <c r="G3" s="1000"/>
      <c r="H3" s="1000"/>
      <c r="I3" s="1000"/>
      <c r="J3" s="1000"/>
      <c r="K3" s="1000"/>
      <c r="L3" s="1000"/>
      <c r="M3" s="1000"/>
      <c r="N3" s="1001"/>
    </row>
    <row r="4" spans="2:17" ht="47.25" customHeight="1" thickBot="1" x14ac:dyDescent="0.3">
      <c r="B4" s="359">
        <v>2</v>
      </c>
      <c r="C4" s="406" t="s">
        <v>563</v>
      </c>
      <c r="D4" s="1466"/>
      <c r="F4" s="51" t="s">
        <v>0</v>
      </c>
      <c r="G4" s="52" t="s">
        <v>1</v>
      </c>
      <c r="H4" s="51" t="s">
        <v>2</v>
      </c>
      <c r="I4" s="51" t="s">
        <v>450</v>
      </c>
      <c r="J4" s="51" t="s">
        <v>750</v>
      </c>
      <c r="K4" s="51" t="s">
        <v>458</v>
      </c>
      <c r="L4" s="51" t="s">
        <v>748</v>
      </c>
      <c r="M4" s="51" t="s">
        <v>749</v>
      </c>
      <c r="N4" s="292" t="s">
        <v>3</v>
      </c>
      <c r="Q4" s="137"/>
    </row>
    <row r="5" spans="2:17" ht="58.15" customHeight="1" x14ac:dyDescent="0.25">
      <c r="B5" s="359">
        <v>3</v>
      </c>
      <c r="C5" s="407" t="s">
        <v>562</v>
      </c>
      <c r="D5" s="1466"/>
      <c r="F5" s="285" t="s">
        <v>457</v>
      </c>
      <c r="G5" s="282" t="s">
        <v>372</v>
      </c>
      <c r="H5" s="63">
        <v>161</v>
      </c>
      <c r="I5" s="63">
        <v>3.54</v>
      </c>
      <c r="J5" s="105">
        <v>500</v>
      </c>
      <c r="K5" s="109">
        <v>0</v>
      </c>
      <c r="L5" s="105">
        <f>J5</f>
        <v>500</v>
      </c>
      <c r="M5" s="109">
        <f>L5/I5</f>
        <v>141.24293785310735</v>
      </c>
      <c r="N5" s="1117" t="s">
        <v>907</v>
      </c>
      <c r="Q5" s="137"/>
    </row>
    <row r="6" spans="2:17" ht="26.45" customHeight="1" thickBot="1" x14ac:dyDescent="0.4">
      <c r="B6" s="360">
        <v>4</v>
      </c>
      <c r="C6" s="408" t="s">
        <v>564</v>
      </c>
      <c r="D6" s="1467"/>
      <c r="F6" s="306" t="s">
        <v>254</v>
      </c>
      <c r="G6" s="104" t="s">
        <v>253</v>
      </c>
      <c r="H6" s="124">
        <v>159</v>
      </c>
      <c r="I6" s="124">
        <v>3.6</v>
      </c>
      <c r="J6" s="64">
        <v>500</v>
      </c>
      <c r="K6" s="64">
        <v>0</v>
      </c>
      <c r="L6" s="64">
        <f>J6</f>
        <v>500</v>
      </c>
      <c r="M6" s="64">
        <f>L6/I6</f>
        <v>138.88888888888889</v>
      </c>
      <c r="N6" s="1118"/>
      <c r="Q6" s="137"/>
    </row>
    <row r="7" spans="2:17" ht="32.450000000000003" customHeight="1" thickBot="1" x14ac:dyDescent="0.3">
      <c r="B7" s="329"/>
      <c r="C7" s="405"/>
      <c r="D7" s="405"/>
      <c r="F7" s="942" t="s">
        <v>53</v>
      </c>
      <c r="G7" s="942"/>
      <c r="H7" s="942"/>
      <c r="I7" s="942"/>
      <c r="J7" s="97">
        <f>SUM(J5:J6)</f>
        <v>1000</v>
      </c>
      <c r="K7" s="102">
        <f>SUM(K5:K6)</f>
        <v>0</v>
      </c>
      <c r="L7" s="97">
        <f>SUM(L5:L6)</f>
        <v>1000</v>
      </c>
      <c r="M7" s="101">
        <f>SUM(M5:M6)</f>
        <v>280.13182674199624</v>
      </c>
      <c r="N7" s="1119"/>
      <c r="Q7" s="142"/>
    </row>
    <row r="8" spans="2:17" ht="16.5" thickBot="1" x14ac:dyDescent="0.3">
      <c r="C8" s="281"/>
      <c r="D8" s="281"/>
      <c r="F8" s="114"/>
      <c r="G8" s="113"/>
      <c r="H8" s="113"/>
      <c r="I8" s="117"/>
      <c r="J8" s="115"/>
      <c r="K8" s="115"/>
      <c r="L8" s="117"/>
      <c r="M8" s="112"/>
      <c r="Q8" s="142"/>
    </row>
    <row r="9" spans="2:17" ht="16.899999999999999" customHeight="1" thickBot="1" x14ac:dyDescent="0.3">
      <c r="C9" s="280"/>
      <c r="D9" s="280"/>
      <c r="F9" s="968" t="s">
        <v>451</v>
      </c>
      <c r="G9" s="969"/>
      <c r="H9" s="969"/>
      <c r="I9" s="969"/>
      <c r="J9" s="969"/>
      <c r="K9" s="969"/>
      <c r="L9" s="969"/>
      <c r="M9" s="969"/>
      <c r="N9" s="970"/>
      <c r="Q9" s="142"/>
    </row>
    <row r="10" spans="2:17" ht="16.5" thickBot="1" x14ac:dyDescent="0.3">
      <c r="C10" s="279"/>
      <c r="D10" s="363"/>
      <c r="F10" s="999" t="s">
        <v>374</v>
      </c>
      <c r="G10" s="1000"/>
      <c r="H10" s="1000"/>
      <c r="I10" s="1000"/>
      <c r="J10" s="1000"/>
      <c r="K10" s="1000"/>
      <c r="L10" s="1000"/>
      <c r="M10" s="1000"/>
      <c r="N10" s="1001"/>
      <c r="Q10" s="142"/>
    </row>
    <row r="11" spans="2:17" ht="36.75" customHeight="1" thickBot="1" x14ac:dyDescent="0.3">
      <c r="C11" s="1463"/>
      <c r="D11" s="363"/>
      <c r="F11" s="51" t="s">
        <v>0</v>
      </c>
      <c r="G11" s="52" t="s">
        <v>1</v>
      </c>
      <c r="H11" s="51" t="s">
        <v>2</v>
      </c>
      <c r="I11" s="51" t="s">
        <v>450</v>
      </c>
      <c r="J11" s="606" t="s">
        <v>750</v>
      </c>
      <c r="K11" s="606" t="s">
        <v>458</v>
      </c>
      <c r="L11" s="606" t="s">
        <v>748</v>
      </c>
      <c r="M11" s="606" t="s">
        <v>749</v>
      </c>
      <c r="N11" s="292" t="s">
        <v>3</v>
      </c>
      <c r="P11" s="137"/>
    </row>
    <row r="12" spans="2:17" ht="33.6" customHeight="1" thickBot="1" x14ac:dyDescent="0.3">
      <c r="C12" s="1464"/>
      <c r="D12" s="364"/>
      <c r="F12" s="410" t="s">
        <v>182</v>
      </c>
      <c r="G12" s="366" t="s">
        <v>181</v>
      </c>
      <c r="H12" s="362">
        <v>18</v>
      </c>
      <c r="I12" s="366">
        <v>1</v>
      </c>
      <c r="J12" s="27">
        <v>1</v>
      </c>
      <c r="K12" s="161">
        <v>0</v>
      </c>
      <c r="L12" s="27">
        <f>J12</f>
        <v>1</v>
      </c>
      <c r="M12" s="161">
        <f>L12/I12</f>
        <v>1</v>
      </c>
      <c r="N12" s="1084" t="s">
        <v>573</v>
      </c>
    </row>
    <row r="13" spans="2:17" x14ac:dyDescent="0.25">
      <c r="C13" s="1465"/>
      <c r="D13" s="365"/>
      <c r="F13" s="1468" t="s">
        <v>53</v>
      </c>
      <c r="G13" s="987"/>
      <c r="H13" s="987"/>
      <c r="I13" s="1469"/>
      <c r="J13" s="1436">
        <f>SUM(J12:J12)</f>
        <v>1</v>
      </c>
      <c r="K13" s="1436">
        <f>SUM(K12)</f>
        <v>0</v>
      </c>
      <c r="L13" s="1436">
        <f>SUM(L12:L12)</f>
        <v>1</v>
      </c>
      <c r="M13" s="1471">
        <f>SUM(M12:M12)</f>
        <v>1</v>
      </c>
      <c r="N13" s="1085"/>
    </row>
    <row r="14" spans="2:17" ht="27" customHeight="1" thickBot="1" x14ac:dyDescent="0.3">
      <c r="C14" s="278"/>
      <c r="D14" s="365"/>
      <c r="F14" s="988"/>
      <c r="G14" s="989"/>
      <c r="H14" s="989"/>
      <c r="I14" s="1312"/>
      <c r="J14" s="1470"/>
      <c r="K14" s="1470"/>
      <c r="L14" s="1470"/>
      <c r="M14" s="1472"/>
      <c r="N14" s="1086"/>
    </row>
    <row r="15" spans="2:17" ht="16.5" thickBot="1" x14ac:dyDescent="0.3">
      <c r="C15" s="278"/>
      <c r="D15" s="365"/>
      <c r="F15" s="250"/>
    </row>
    <row r="16" spans="2:17" ht="16.899999999999999" customHeight="1" thickBot="1" x14ac:dyDescent="0.3">
      <c r="C16" s="277"/>
      <c r="D16" s="277"/>
      <c r="E16" s="276"/>
      <c r="F16" s="1477" t="s">
        <v>452</v>
      </c>
      <c r="G16" s="1478"/>
      <c r="H16" s="1478"/>
      <c r="I16" s="1478"/>
      <c r="J16" s="1478"/>
      <c r="K16" s="1478"/>
      <c r="L16" s="1478"/>
      <c r="M16" s="1478"/>
      <c r="N16" s="1479"/>
    </row>
    <row r="17" spans="2:17" ht="16.5" thickBot="1" x14ac:dyDescent="0.3">
      <c r="C17" s="274"/>
      <c r="D17" s="274"/>
      <c r="E17" s="274"/>
      <c r="F17" s="1474" t="s">
        <v>751</v>
      </c>
      <c r="G17" s="1475"/>
      <c r="H17" s="1475"/>
      <c r="I17" s="1475"/>
      <c r="J17" s="1475"/>
      <c r="K17" s="1475"/>
      <c r="L17" s="1475"/>
      <c r="M17" s="1475"/>
      <c r="N17" s="1476"/>
    </row>
    <row r="18" spans="2:17" ht="42.6" customHeight="1" thickBot="1" x14ac:dyDescent="0.3">
      <c r="C18" s="274"/>
      <c r="D18" s="274"/>
      <c r="E18" s="274"/>
      <c r="F18" s="51" t="s">
        <v>0</v>
      </c>
      <c r="G18" s="52" t="s">
        <v>1</v>
      </c>
      <c r="H18" s="51" t="s">
        <v>2</v>
      </c>
      <c r="I18" s="51" t="s">
        <v>450</v>
      </c>
      <c r="J18" s="606" t="s">
        <v>750</v>
      </c>
      <c r="K18" s="606" t="s">
        <v>458</v>
      </c>
      <c r="L18" s="606" t="s">
        <v>748</v>
      </c>
      <c r="M18" s="606" t="s">
        <v>749</v>
      </c>
      <c r="N18" s="292" t="s">
        <v>3</v>
      </c>
      <c r="Q18" s="275"/>
    </row>
    <row r="19" spans="2:17" ht="36.6" customHeight="1" x14ac:dyDescent="0.25">
      <c r="C19" s="274"/>
      <c r="D19" s="274"/>
      <c r="E19" s="274"/>
      <c r="F19" s="293" t="s">
        <v>126</v>
      </c>
      <c r="G19" s="186" t="s">
        <v>238</v>
      </c>
      <c r="H19" s="105">
        <v>36</v>
      </c>
      <c r="I19" s="105">
        <v>1.1200000000000001</v>
      </c>
      <c r="J19" s="105">
        <v>100</v>
      </c>
      <c r="K19" s="109">
        <v>0</v>
      </c>
      <c r="L19" s="105">
        <f>J19</f>
        <v>100</v>
      </c>
      <c r="M19" s="195">
        <f>L19/I19</f>
        <v>89.285714285714278</v>
      </c>
      <c r="N19" s="872" t="s">
        <v>871</v>
      </c>
    </row>
    <row r="20" spans="2:17" ht="45.6" customHeight="1" thickBot="1" x14ac:dyDescent="0.3">
      <c r="C20" s="847"/>
      <c r="D20" s="274"/>
      <c r="E20" s="274"/>
      <c r="F20" s="289" t="s">
        <v>286</v>
      </c>
      <c r="G20" s="60" t="s">
        <v>211</v>
      </c>
      <c r="H20" s="60">
        <v>40</v>
      </c>
      <c r="I20" s="60">
        <v>2.13</v>
      </c>
      <c r="J20" s="60">
        <v>200</v>
      </c>
      <c r="K20" s="60">
        <v>0</v>
      </c>
      <c r="L20" s="60">
        <f>J20</f>
        <v>200</v>
      </c>
      <c r="M20" s="166">
        <f>L20/I20</f>
        <v>93.896713615023472</v>
      </c>
      <c r="N20" s="1020"/>
    </row>
    <row r="21" spans="2:17" ht="35.450000000000003" customHeight="1" thickBot="1" x14ac:dyDescent="0.3">
      <c r="C21" s="273"/>
      <c r="D21" s="273"/>
      <c r="E21" s="273"/>
      <c r="F21" s="290" t="s">
        <v>371</v>
      </c>
      <c r="G21" s="216" t="s">
        <v>370</v>
      </c>
      <c r="H21" s="64">
        <v>15</v>
      </c>
      <c r="I21" s="64">
        <v>0.72</v>
      </c>
      <c r="J21" s="64">
        <v>100</v>
      </c>
      <c r="K21" s="64">
        <v>0</v>
      </c>
      <c r="L21" s="64">
        <f>J21</f>
        <v>100</v>
      </c>
      <c r="M21" s="207">
        <f>L21/I21</f>
        <v>138.88888888888889</v>
      </c>
      <c r="N21" s="1437" t="s">
        <v>908</v>
      </c>
    </row>
    <row r="22" spans="2:17" s="8" customFormat="1" ht="51" customHeight="1" thickBot="1" x14ac:dyDescent="0.3">
      <c r="B22" s="6"/>
      <c r="C22" s="666"/>
      <c r="D22" s="666"/>
      <c r="E22" s="666"/>
      <c r="F22" s="1473" t="s">
        <v>53</v>
      </c>
      <c r="G22" s="1473"/>
      <c r="H22" s="1473"/>
      <c r="I22" s="1473"/>
      <c r="J22" s="601">
        <f>SUM(J19:J21)</f>
        <v>400</v>
      </c>
      <c r="K22" s="602">
        <f>SUM(K19:K21)</f>
        <v>0</v>
      </c>
      <c r="L22" s="601">
        <f>SUM(L19:L21)</f>
        <v>400</v>
      </c>
      <c r="M22" s="235">
        <f>SUM(M19:M21)</f>
        <v>322.07131678962662</v>
      </c>
      <c r="N22" s="1422"/>
    </row>
    <row r="23" spans="2:17" ht="16.5" thickBot="1" x14ac:dyDescent="0.3"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N23" s="194"/>
    </row>
    <row r="24" spans="2:17" ht="16.899999999999999" customHeight="1" thickBot="1" x14ac:dyDescent="0.3">
      <c r="C24" s="271"/>
      <c r="D24" s="271"/>
      <c r="E24" s="271"/>
      <c r="F24" s="1055" t="s">
        <v>453</v>
      </c>
      <c r="G24" s="1056"/>
      <c r="H24" s="1056"/>
      <c r="I24" s="1056"/>
      <c r="J24" s="1056"/>
      <c r="K24" s="1056"/>
      <c r="L24" s="1056"/>
      <c r="M24" s="1056"/>
      <c r="N24" s="1057"/>
    </row>
    <row r="25" spans="2:17" ht="16.5" thickBot="1" x14ac:dyDescent="0.3">
      <c r="C25" s="271"/>
      <c r="D25" s="271"/>
      <c r="E25" s="271"/>
      <c r="F25" s="999" t="s">
        <v>374</v>
      </c>
      <c r="G25" s="1000"/>
      <c r="H25" s="1000"/>
      <c r="I25" s="1000"/>
      <c r="J25" s="1000"/>
      <c r="K25" s="1000"/>
      <c r="L25" s="1000"/>
      <c r="M25" s="1000"/>
      <c r="N25" s="1001"/>
    </row>
    <row r="26" spans="2:17" ht="32.25" thickBot="1" x14ac:dyDescent="0.3">
      <c r="C26" s="271"/>
      <c r="D26" s="271"/>
      <c r="E26" s="271"/>
      <c r="F26" s="51" t="s">
        <v>0</v>
      </c>
      <c r="G26" s="52" t="s">
        <v>1</v>
      </c>
      <c r="H26" s="51" t="s">
        <v>2</v>
      </c>
      <c r="I26" s="51" t="s">
        <v>450</v>
      </c>
      <c r="J26" s="606" t="s">
        <v>750</v>
      </c>
      <c r="K26" s="606" t="s">
        <v>458</v>
      </c>
      <c r="L26" s="606" t="s">
        <v>748</v>
      </c>
      <c r="M26" s="606" t="s">
        <v>749</v>
      </c>
      <c r="N26" s="292" t="s">
        <v>3</v>
      </c>
    </row>
    <row r="27" spans="2:17" ht="42" customHeight="1" thickBot="1" x14ac:dyDescent="0.3">
      <c r="C27" s="271"/>
      <c r="D27" s="271"/>
      <c r="E27" s="271"/>
      <c r="F27" s="305" t="s">
        <v>182</v>
      </c>
      <c r="G27" s="126" t="s">
        <v>181</v>
      </c>
      <c r="H27" s="124">
        <v>18</v>
      </c>
      <c r="I27" s="272">
        <v>1</v>
      </c>
      <c r="J27" s="105">
        <v>1</v>
      </c>
      <c r="K27" s="109">
        <v>0</v>
      </c>
      <c r="L27" s="71">
        <f>J27</f>
        <v>1</v>
      </c>
      <c r="M27" s="219">
        <f>L27/I27</f>
        <v>1</v>
      </c>
      <c r="N27" s="1084" t="s">
        <v>573</v>
      </c>
    </row>
    <row r="28" spans="2:17" s="33" customFormat="1" x14ac:dyDescent="0.25">
      <c r="B28" s="361"/>
      <c r="C28" s="268"/>
      <c r="D28" s="268"/>
      <c r="E28" s="268"/>
      <c r="F28" s="1468" t="s">
        <v>53</v>
      </c>
      <c r="G28" s="987"/>
      <c r="H28" s="987"/>
      <c r="I28" s="1469"/>
      <c r="J28" s="1436">
        <f>SUM(J27:J27)</f>
        <v>1</v>
      </c>
      <c r="K28" s="1436">
        <f>SUM(K279)</f>
        <v>0</v>
      </c>
      <c r="L28" s="1436" t="b">
        <f>C4=SUM(L27:L27)</f>
        <v>0</v>
      </c>
      <c r="M28" s="1471">
        <f>SUM(M27:M27)</f>
        <v>1</v>
      </c>
      <c r="N28" s="1085"/>
    </row>
    <row r="29" spans="2:17" s="33" customFormat="1" ht="18.600000000000001" customHeight="1" thickBot="1" x14ac:dyDescent="0.3">
      <c r="B29" s="361"/>
      <c r="C29" s="268"/>
      <c r="D29" s="268"/>
      <c r="E29" s="268"/>
      <c r="F29" s="988"/>
      <c r="G29" s="989"/>
      <c r="H29" s="989"/>
      <c r="I29" s="1312"/>
      <c r="J29" s="1470"/>
      <c r="K29" s="1470"/>
      <c r="L29" s="1470"/>
      <c r="M29" s="1472"/>
      <c r="N29" s="1086"/>
    </row>
    <row r="30" spans="2:17" x14ac:dyDescent="0.25">
      <c r="C30" s="255"/>
      <c r="D30" s="255"/>
      <c r="E30" s="255"/>
      <c r="F30" s="255"/>
      <c r="G30" s="255"/>
      <c r="H30" s="255"/>
      <c r="I30" s="99"/>
      <c r="J30" s="243"/>
      <c r="K30" s="268"/>
    </row>
    <row r="32" spans="2:17" ht="16.149999999999999" customHeight="1" x14ac:dyDescent="0.25">
      <c r="C32" s="120"/>
      <c r="D32" s="120"/>
      <c r="E32" s="120"/>
      <c r="F32" s="120"/>
      <c r="G32" s="120"/>
      <c r="H32" s="120"/>
      <c r="I32" s="120"/>
      <c r="J32" s="120"/>
      <c r="K32" s="244"/>
    </row>
    <row r="33" spans="3:12" ht="16.149999999999999" customHeight="1" x14ac:dyDescent="0.25">
      <c r="C33" s="120"/>
      <c r="D33" s="120"/>
      <c r="E33" s="120"/>
      <c r="F33" s="120"/>
      <c r="G33" s="120"/>
      <c r="H33" s="120"/>
      <c r="I33" s="120"/>
      <c r="J33" s="120"/>
      <c r="K33" s="244"/>
    </row>
    <row r="34" spans="3:12" x14ac:dyDescent="0.25">
      <c r="C34" s="120"/>
      <c r="D34" s="120"/>
      <c r="E34" s="120"/>
      <c r="F34" s="120"/>
      <c r="G34" s="120"/>
      <c r="H34" s="120"/>
      <c r="I34" s="120"/>
      <c r="J34" s="120"/>
      <c r="K34" s="244"/>
    </row>
    <row r="35" spans="3:12" x14ac:dyDescent="0.25">
      <c r="C35" s="120"/>
      <c r="D35" s="120"/>
      <c r="E35" s="120"/>
      <c r="F35" s="120"/>
      <c r="G35" s="120"/>
      <c r="H35" s="120"/>
      <c r="I35" s="117"/>
      <c r="J35" s="117"/>
      <c r="K35" s="212"/>
    </row>
    <row r="36" spans="3:12" ht="15.6" customHeight="1" x14ac:dyDescent="0.25">
      <c r="C36" s="115"/>
      <c r="D36" s="115"/>
      <c r="E36" s="115"/>
      <c r="F36" s="115"/>
      <c r="G36" s="115"/>
      <c r="H36" s="115"/>
      <c r="I36" s="112"/>
      <c r="J36" s="111"/>
      <c r="K36" s="268"/>
    </row>
    <row r="37" spans="3:12" x14ac:dyDescent="0.25">
      <c r="C37" s="118"/>
      <c r="D37" s="118"/>
      <c r="E37" s="270"/>
      <c r="F37" s="115"/>
      <c r="G37" s="115"/>
      <c r="H37" s="115"/>
      <c r="I37" s="112"/>
      <c r="J37" s="111"/>
      <c r="K37" s="268"/>
    </row>
    <row r="38" spans="3:12" x14ac:dyDescent="0.25">
      <c r="C38" s="116"/>
      <c r="D38" s="116"/>
      <c r="E38" s="117"/>
      <c r="F38" s="115"/>
      <c r="G38" s="115"/>
      <c r="H38" s="115"/>
      <c r="I38" s="112"/>
      <c r="J38" s="111"/>
      <c r="K38" s="268"/>
    </row>
    <row r="39" spans="3:12" x14ac:dyDescent="0.25">
      <c r="C39" s="113"/>
      <c r="D39" s="113"/>
      <c r="E39" s="113"/>
      <c r="F39" s="113"/>
      <c r="G39" s="113"/>
      <c r="H39" s="113"/>
      <c r="I39" s="112"/>
      <c r="J39" s="111"/>
      <c r="K39" s="268"/>
    </row>
    <row r="40" spans="3:12" x14ac:dyDescent="0.25">
      <c r="C40" s="113"/>
      <c r="D40" s="113"/>
      <c r="E40" s="113"/>
      <c r="F40" s="113"/>
      <c r="G40" s="113"/>
      <c r="H40" s="113"/>
      <c r="I40" s="112"/>
      <c r="J40" s="111"/>
      <c r="K40" s="268"/>
    </row>
    <row r="41" spans="3:12" x14ac:dyDescent="0.25">
      <c r="C41" s="113"/>
      <c r="D41" s="113"/>
      <c r="E41" s="113"/>
      <c r="F41" s="113"/>
      <c r="G41" s="113"/>
      <c r="H41" s="113"/>
      <c r="I41" s="112"/>
      <c r="J41" s="111"/>
      <c r="K41" s="268"/>
    </row>
    <row r="42" spans="3:12" x14ac:dyDescent="0.25">
      <c r="C42" s="113"/>
      <c r="D42" s="113"/>
      <c r="E42" s="113"/>
      <c r="F42" s="113"/>
      <c r="G42" s="113"/>
      <c r="H42" s="113"/>
      <c r="I42" s="112"/>
      <c r="J42" s="111"/>
      <c r="K42" s="268"/>
    </row>
    <row r="43" spans="3:12" x14ac:dyDescent="0.25">
      <c r="C43" s="113"/>
      <c r="D43" s="113"/>
      <c r="E43" s="113"/>
      <c r="F43" s="113"/>
      <c r="G43" s="113"/>
      <c r="H43" s="113"/>
      <c r="I43" s="112"/>
      <c r="J43" s="111"/>
      <c r="K43" s="268"/>
    </row>
    <row r="44" spans="3:12" x14ac:dyDescent="0.25">
      <c r="C44" s="113"/>
      <c r="D44" s="113"/>
      <c r="E44" s="113"/>
      <c r="F44" s="113"/>
      <c r="G44" s="113"/>
      <c r="H44" s="113"/>
      <c r="I44" s="112"/>
      <c r="J44" s="111"/>
      <c r="K44" s="268"/>
    </row>
    <row r="45" spans="3:12" x14ac:dyDescent="0.25">
      <c r="C45" s="255"/>
      <c r="D45" s="255"/>
      <c r="E45" s="255"/>
      <c r="F45" s="255"/>
      <c r="G45" s="269"/>
      <c r="H45" s="269"/>
      <c r="I45" s="99"/>
      <c r="J45" s="243"/>
      <c r="K45" s="268"/>
    </row>
    <row r="46" spans="3:12" x14ac:dyDescent="0.25">
      <c r="K46" s="259"/>
    </row>
    <row r="47" spans="3:12" x14ac:dyDescent="0.25">
      <c r="C47" s="120"/>
      <c r="D47" s="120"/>
      <c r="E47" s="120"/>
      <c r="F47" s="120"/>
      <c r="G47" s="120"/>
      <c r="H47" s="120"/>
      <c r="I47" s="120"/>
      <c r="J47" s="120"/>
      <c r="K47" s="120"/>
      <c r="L47" s="120"/>
    </row>
    <row r="48" spans="3:12" x14ac:dyDescent="0.25">
      <c r="C48" s="120"/>
      <c r="D48" s="120"/>
      <c r="E48" s="120"/>
      <c r="F48" s="120"/>
      <c r="G48" s="120"/>
      <c r="H48" s="120"/>
      <c r="I48" s="120"/>
      <c r="J48" s="120"/>
      <c r="K48" s="120"/>
      <c r="L48" s="120"/>
    </row>
    <row r="49" spans="3:12" x14ac:dyDescent="0.25">
      <c r="C49" s="120"/>
      <c r="D49" s="120"/>
      <c r="E49" s="120"/>
      <c r="F49" s="120"/>
      <c r="G49" s="120"/>
      <c r="H49" s="120"/>
      <c r="I49" s="120"/>
      <c r="J49" s="120"/>
      <c r="K49" s="120"/>
      <c r="L49" s="120"/>
    </row>
    <row r="50" spans="3:12" x14ac:dyDescent="0.25">
      <c r="C50" s="120"/>
      <c r="D50" s="120"/>
      <c r="E50" s="120"/>
      <c r="F50" s="120"/>
      <c r="G50" s="120"/>
      <c r="H50" s="120"/>
      <c r="I50" s="120"/>
      <c r="J50" s="120"/>
      <c r="K50" s="120"/>
      <c r="L50" s="120"/>
    </row>
    <row r="51" spans="3:12" x14ac:dyDescent="0.25">
      <c r="C51" s="115"/>
      <c r="D51" s="115"/>
      <c r="E51" s="115"/>
      <c r="F51" s="115"/>
      <c r="G51" s="115"/>
      <c r="H51" s="115"/>
      <c r="I51" s="115"/>
      <c r="J51" s="115"/>
      <c r="K51" s="115"/>
      <c r="L51" s="115"/>
    </row>
    <row r="52" spans="3:12" x14ac:dyDescent="0.25">
      <c r="C52" s="115"/>
      <c r="D52" s="115"/>
      <c r="E52" s="115"/>
      <c r="F52" s="115"/>
      <c r="G52" s="115"/>
      <c r="H52" s="113"/>
      <c r="I52" s="113"/>
      <c r="J52" s="113"/>
      <c r="K52" s="113"/>
      <c r="L52" s="113"/>
    </row>
    <row r="53" spans="3:12" x14ac:dyDescent="0.25">
      <c r="C53" s="113"/>
      <c r="D53" s="113"/>
      <c r="E53" s="113"/>
      <c r="F53" s="113"/>
      <c r="G53" s="113"/>
      <c r="H53" s="113"/>
      <c r="I53" s="113"/>
      <c r="J53" s="113"/>
      <c r="K53" s="113"/>
      <c r="L53" s="113"/>
    </row>
    <row r="54" spans="3:12" x14ac:dyDescent="0.25">
      <c r="C54" s="113"/>
      <c r="D54" s="113"/>
      <c r="E54" s="113"/>
      <c r="F54" s="113"/>
      <c r="G54" s="113"/>
      <c r="H54" s="113"/>
      <c r="I54" s="113"/>
      <c r="J54" s="113"/>
      <c r="K54" s="113"/>
      <c r="L54" s="113"/>
    </row>
    <row r="55" spans="3:12" x14ac:dyDescent="0.25">
      <c r="C55" s="113"/>
      <c r="D55" s="113"/>
      <c r="E55" s="113"/>
      <c r="F55" s="113"/>
      <c r="G55" s="113"/>
      <c r="H55" s="113"/>
      <c r="I55" s="113"/>
      <c r="J55" s="113"/>
      <c r="K55" s="113"/>
      <c r="L55" s="113"/>
    </row>
    <row r="56" spans="3:12" x14ac:dyDescent="0.25"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3:12" x14ac:dyDescent="0.25"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3:12" x14ac:dyDescent="0.25">
      <c r="C58" s="113"/>
      <c r="D58" s="113"/>
      <c r="E58" s="113"/>
      <c r="F58" s="113"/>
      <c r="G58" s="113"/>
      <c r="H58" s="113"/>
      <c r="I58" s="113"/>
      <c r="J58" s="113"/>
      <c r="K58" s="113"/>
      <c r="L58" s="113"/>
    </row>
    <row r="59" spans="3:12" x14ac:dyDescent="0.25"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</sheetData>
  <mergeCells count="27">
    <mergeCell ref="F24:N24"/>
    <mergeCell ref="F13:I14"/>
    <mergeCell ref="J13:J14"/>
    <mergeCell ref="K13:K14"/>
    <mergeCell ref="L13:L14"/>
    <mergeCell ref="M13:M14"/>
    <mergeCell ref="F22:I22"/>
    <mergeCell ref="F17:N17"/>
    <mergeCell ref="F16:N16"/>
    <mergeCell ref="N19:N20"/>
    <mergeCell ref="N21:N22"/>
    <mergeCell ref="F25:N25"/>
    <mergeCell ref="N27:N29"/>
    <mergeCell ref="F28:I29"/>
    <mergeCell ref="J28:J29"/>
    <mergeCell ref="K28:K29"/>
    <mergeCell ref="L28:L29"/>
    <mergeCell ref="M28:M29"/>
    <mergeCell ref="F2:N2"/>
    <mergeCell ref="C11:C13"/>
    <mergeCell ref="F10:N10"/>
    <mergeCell ref="F9:N9"/>
    <mergeCell ref="N12:N14"/>
    <mergeCell ref="F3:N3"/>
    <mergeCell ref="N5:N7"/>
    <mergeCell ref="F7:I7"/>
    <mergeCell ref="D3:D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abSelected="1" zoomScale="80" zoomScaleNormal="80" workbookViewId="0">
      <selection activeCell="M39" sqref="M39"/>
    </sheetView>
  </sheetViews>
  <sheetFormatPr baseColWidth="10" defaultRowHeight="15" x14ac:dyDescent="0.25"/>
  <cols>
    <col min="1" max="1" width="3.5703125" customWidth="1"/>
    <col min="2" max="2" width="14.42578125" customWidth="1"/>
    <col min="3" max="3" width="18.7109375" customWidth="1"/>
    <col min="4" max="4" width="8.28515625" customWidth="1"/>
    <col min="5" max="5" width="12.7109375" customWidth="1"/>
    <col min="6" max="6" width="14" customWidth="1"/>
    <col min="7" max="7" width="14.42578125" customWidth="1"/>
    <col min="8" max="8" width="14.7109375" customWidth="1"/>
    <col min="9" max="10" width="17.28515625" customWidth="1"/>
    <col min="13" max="13" width="52.28515625" customWidth="1"/>
  </cols>
  <sheetData>
    <row r="2" spans="2:13" ht="15.75" thickBot="1" x14ac:dyDescent="0.3"/>
    <row r="3" spans="2:13" ht="16.5" thickBot="1" x14ac:dyDescent="0.3">
      <c r="B3" s="393" t="s">
        <v>639</v>
      </c>
      <c r="C3" s="369" t="s">
        <v>607</v>
      </c>
      <c r="E3" s="1103" t="s">
        <v>190</v>
      </c>
      <c r="F3" s="1104"/>
      <c r="G3" s="1104"/>
      <c r="H3" s="1104"/>
      <c r="I3" s="1104"/>
      <c r="J3" s="1104"/>
      <c r="K3" s="1104"/>
      <c r="L3" s="1104"/>
      <c r="M3" s="1105"/>
    </row>
    <row r="4" spans="2:13" ht="16.5" thickBot="1" x14ac:dyDescent="0.3">
      <c r="B4" s="1480">
        <v>1</v>
      </c>
      <c r="C4" s="1483" t="s">
        <v>565</v>
      </c>
      <c r="E4" s="1168" t="s">
        <v>412</v>
      </c>
      <c r="F4" s="1151"/>
      <c r="G4" s="1151"/>
      <c r="H4" s="1151"/>
      <c r="I4" s="1151"/>
      <c r="J4" s="1151"/>
      <c r="K4" s="1151"/>
      <c r="L4" s="1151"/>
      <c r="M4" s="1152"/>
    </row>
    <row r="5" spans="2:13" ht="36.75" customHeight="1" thickBot="1" x14ac:dyDescent="0.3">
      <c r="B5" s="1481"/>
      <c r="C5" s="1484"/>
      <c r="E5" s="535" t="s">
        <v>0</v>
      </c>
      <c r="F5" s="535" t="s">
        <v>1</v>
      </c>
      <c r="G5" s="535" t="s">
        <v>2</v>
      </c>
      <c r="H5" s="535" t="s">
        <v>187</v>
      </c>
      <c r="I5" s="535" t="s">
        <v>752</v>
      </c>
      <c r="J5" s="535" t="s">
        <v>753</v>
      </c>
      <c r="K5" s="535" t="s">
        <v>735</v>
      </c>
      <c r="L5" s="535" t="s">
        <v>669</v>
      </c>
      <c r="M5" s="292" t="s">
        <v>3</v>
      </c>
    </row>
    <row r="6" spans="2:13" ht="39.75" customHeight="1" thickBot="1" x14ac:dyDescent="0.3">
      <c r="B6" s="1482"/>
      <c r="C6" s="1485"/>
      <c r="E6" s="1" t="s">
        <v>189</v>
      </c>
      <c r="F6" s="71" t="s">
        <v>188</v>
      </c>
      <c r="G6" s="71">
        <v>46</v>
      </c>
      <c r="H6" s="66">
        <v>0.9</v>
      </c>
      <c r="I6" s="139">
        <v>500</v>
      </c>
      <c r="J6" s="123">
        <v>0</v>
      </c>
      <c r="K6" s="141">
        <f>I6</f>
        <v>500</v>
      </c>
      <c r="L6" s="140">
        <f>K6/H6</f>
        <v>555.55555555555554</v>
      </c>
      <c r="M6" s="954" t="s">
        <v>872</v>
      </c>
    </row>
    <row r="7" spans="2:13" ht="49.15" customHeight="1" thickBot="1" x14ac:dyDescent="0.3">
      <c r="E7" s="1487" t="s">
        <v>180</v>
      </c>
      <c r="F7" s="1487"/>
      <c r="G7" s="1487"/>
      <c r="H7" s="1487"/>
      <c r="I7" s="139">
        <f>SUM(I6:I6)</f>
        <v>500</v>
      </c>
      <c r="J7" s="123">
        <f>SUM(J6)</f>
        <v>0</v>
      </c>
      <c r="K7" s="139">
        <f>SUM(K6:K6)</f>
        <v>500</v>
      </c>
      <c r="L7" s="138">
        <f>SUM(L6:L6)</f>
        <v>555.55555555555554</v>
      </c>
      <c r="M7" s="1486"/>
    </row>
    <row r="8" spans="2:13" ht="14.45" customHeight="1" x14ac:dyDescent="0.25"/>
    <row r="9" spans="2:13" ht="15.75" x14ac:dyDescent="0.25">
      <c r="B9" s="120"/>
      <c r="C9" s="120"/>
    </row>
    <row r="10" spans="2:13" ht="15.75" x14ac:dyDescent="0.25">
      <c r="B10" s="120"/>
      <c r="C10" s="120"/>
    </row>
    <row r="11" spans="2:13" ht="15.75" x14ac:dyDescent="0.25">
      <c r="B11" s="120"/>
      <c r="C11" s="120"/>
    </row>
    <row r="12" spans="2:13" ht="15.75" x14ac:dyDescent="0.25">
      <c r="B12" s="114"/>
      <c r="C12" s="115"/>
    </row>
    <row r="13" spans="2:13" ht="15.75" x14ac:dyDescent="0.25">
      <c r="B13" s="114"/>
      <c r="C13" s="115"/>
    </row>
    <row r="14" spans="2:13" ht="15.75" x14ac:dyDescent="0.25">
      <c r="B14" s="114"/>
      <c r="C14" s="115"/>
      <c r="D14" s="115"/>
      <c r="E14" s="115"/>
      <c r="F14" s="115"/>
      <c r="G14" s="113"/>
      <c r="H14" s="113"/>
      <c r="I14" s="112"/>
      <c r="J14" s="111"/>
    </row>
    <row r="15" spans="2:13" ht="15.75" x14ac:dyDescent="0.25">
      <c r="B15" s="114"/>
      <c r="C15" s="113"/>
      <c r="D15" s="113"/>
      <c r="E15" s="113"/>
      <c r="F15" s="113"/>
      <c r="G15" s="115"/>
      <c r="H15" s="115"/>
      <c r="I15" s="112"/>
      <c r="J15" s="111"/>
    </row>
    <row r="16" spans="2:13" ht="15.75" x14ac:dyDescent="0.25">
      <c r="B16" s="114"/>
      <c r="C16" s="113"/>
      <c r="D16" s="113"/>
      <c r="E16" s="113"/>
      <c r="F16" s="113"/>
      <c r="G16" s="113"/>
      <c r="H16" s="113"/>
      <c r="I16" s="112"/>
      <c r="J16" s="111"/>
    </row>
    <row r="17" spans="2:10" ht="15.75" x14ac:dyDescent="0.25">
      <c r="B17" s="114"/>
      <c r="C17" s="113"/>
      <c r="D17" s="113"/>
      <c r="E17" s="113"/>
      <c r="F17" s="113"/>
      <c r="G17" s="113"/>
      <c r="H17" s="113"/>
      <c r="I17" s="112"/>
      <c r="J17" s="111"/>
    </row>
    <row r="18" spans="2:10" ht="15.75" x14ac:dyDescent="0.25">
      <c r="B18" s="114"/>
      <c r="C18" s="113"/>
      <c r="D18" s="113"/>
      <c r="E18" s="113"/>
      <c r="F18" s="113"/>
      <c r="G18" s="113"/>
      <c r="H18" s="113"/>
      <c r="I18" s="112"/>
      <c r="J18" s="111"/>
    </row>
    <row r="19" spans="2:10" ht="15.75" x14ac:dyDescent="0.25">
      <c r="B19" s="114"/>
      <c r="C19" s="113"/>
      <c r="D19" s="113"/>
      <c r="E19" s="113"/>
      <c r="F19" s="113"/>
      <c r="G19" s="113"/>
      <c r="H19" s="113"/>
      <c r="I19" s="112"/>
      <c r="J19" s="111"/>
    </row>
    <row r="20" spans="2:10" ht="15.75" x14ac:dyDescent="0.25">
      <c r="B20" s="114"/>
      <c r="C20" s="113"/>
      <c r="D20" s="113"/>
      <c r="E20" s="113"/>
      <c r="F20" s="113"/>
      <c r="G20" s="113"/>
      <c r="H20" s="113"/>
      <c r="I20" s="112"/>
      <c r="J20" s="111"/>
    </row>
    <row r="21" spans="2:10" ht="15.75" x14ac:dyDescent="0.25">
      <c r="B21" s="114"/>
      <c r="C21" s="113"/>
      <c r="D21" s="113"/>
      <c r="E21" s="113"/>
      <c r="F21" s="113"/>
      <c r="G21" s="113"/>
      <c r="H21" s="113"/>
      <c r="I21" s="112"/>
      <c r="J21" s="111"/>
    </row>
    <row r="22" spans="2:10" x14ac:dyDescent="0.25">
      <c r="B22" s="119"/>
      <c r="C22" s="119"/>
      <c r="D22" s="119"/>
      <c r="E22" s="119"/>
      <c r="F22" s="119"/>
      <c r="G22" s="119"/>
      <c r="H22" s="119"/>
      <c r="I22" s="119"/>
      <c r="J22" s="119"/>
    </row>
    <row r="23" spans="2:10" x14ac:dyDescent="0.25">
      <c r="B23" s="119"/>
      <c r="C23" s="119"/>
      <c r="D23" s="119"/>
      <c r="E23" s="119"/>
      <c r="F23" s="119"/>
      <c r="G23" s="119"/>
      <c r="H23" s="119"/>
      <c r="I23" s="119"/>
      <c r="J23" s="119"/>
    </row>
    <row r="24" spans="2:10" x14ac:dyDescent="0.25">
      <c r="B24" s="119"/>
      <c r="C24" s="119"/>
      <c r="D24" s="119"/>
      <c r="E24" s="119"/>
      <c r="F24" s="119"/>
      <c r="G24" s="119"/>
      <c r="H24" s="119"/>
      <c r="I24" s="119"/>
      <c r="J24" s="119"/>
    </row>
    <row r="25" spans="2:10" ht="15.75" x14ac:dyDescent="0.25">
      <c r="B25" s="136"/>
      <c r="C25" s="135"/>
      <c r="D25" s="135"/>
      <c r="E25" s="135"/>
      <c r="F25" s="119"/>
      <c r="G25" s="119"/>
      <c r="H25" s="119"/>
      <c r="I25" s="119"/>
      <c r="J25" s="119"/>
    </row>
  </sheetData>
  <mergeCells count="6">
    <mergeCell ref="B4:B6"/>
    <mergeCell ref="C4:C6"/>
    <mergeCell ref="E3:M3"/>
    <mergeCell ref="E4:M4"/>
    <mergeCell ref="M6:M7"/>
    <mergeCell ref="E7:H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80" zoomScaleNormal="80" workbookViewId="0">
      <selection activeCell="N4" sqref="N4"/>
    </sheetView>
  </sheetViews>
  <sheetFormatPr baseColWidth="10" defaultRowHeight="15" x14ac:dyDescent="0.25"/>
  <cols>
    <col min="2" max="2" width="12.42578125" customWidth="1"/>
    <col min="3" max="3" width="15.7109375" customWidth="1"/>
    <col min="4" max="4" width="7.5703125" customWidth="1"/>
    <col min="5" max="5" width="14.7109375" customWidth="1"/>
    <col min="6" max="6" width="25.85546875" customWidth="1"/>
    <col min="7" max="7" width="19.28515625" customWidth="1"/>
    <col min="8" max="8" width="17.5703125" customWidth="1"/>
    <col min="9" max="9" width="19.28515625" customWidth="1"/>
    <col min="10" max="10" width="16.7109375" customWidth="1"/>
    <col min="11" max="11" width="14.28515625" customWidth="1"/>
    <col min="12" max="12" width="10.85546875" customWidth="1"/>
    <col min="14" max="14" width="15.42578125" customWidth="1"/>
    <col min="15" max="15" width="42.28515625" customWidth="1"/>
  </cols>
  <sheetData>
    <row r="1" spans="2:15" ht="16.5" thickBot="1" x14ac:dyDescent="0.3"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ht="16.5" thickBot="1" x14ac:dyDescent="0.3">
      <c r="B2" s="393" t="s">
        <v>606</v>
      </c>
      <c r="C2" s="394" t="s">
        <v>607</v>
      </c>
      <c r="D2" s="395" t="s">
        <v>53</v>
      </c>
      <c r="F2" s="866" t="s">
        <v>179</v>
      </c>
      <c r="G2" s="867"/>
      <c r="H2" s="867"/>
      <c r="I2" s="867"/>
      <c r="J2" s="867"/>
      <c r="K2" s="867"/>
      <c r="L2" s="867"/>
      <c r="M2" s="867"/>
      <c r="N2" s="867"/>
      <c r="O2" s="868"/>
    </row>
    <row r="3" spans="2:15" ht="18" thickBot="1" x14ac:dyDescent="0.35">
      <c r="B3" s="859">
        <v>1</v>
      </c>
      <c r="C3" s="861" t="s">
        <v>529</v>
      </c>
      <c r="D3" s="875">
        <v>1</v>
      </c>
      <c r="F3" s="869" t="s">
        <v>178</v>
      </c>
      <c r="G3" s="870"/>
      <c r="H3" s="870"/>
      <c r="I3" s="870"/>
      <c r="J3" s="870"/>
      <c r="K3" s="870"/>
      <c r="L3" s="870"/>
      <c r="M3" s="870"/>
      <c r="N3" s="870"/>
      <c r="O3" s="871"/>
    </row>
    <row r="4" spans="2:15" ht="39" customHeight="1" thickBot="1" x14ac:dyDescent="0.3">
      <c r="B4" s="859"/>
      <c r="C4" s="861"/>
      <c r="D4" s="875"/>
      <c r="F4" s="28" t="s">
        <v>0</v>
      </c>
      <c r="G4" s="29" t="s">
        <v>1</v>
      </c>
      <c r="H4" s="28" t="s">
        <v>2</v>
      </c>
      <c r="I4" s="28" t="s">
        <v>910</v>
      </c>
      <c r="J4" s="28" t="s">
        <v>909</v>
      </c>
      <c r="K4" s="879" t="s">
        <v>911</v>
      </c>
      <c r="L4" s="880"/>
      <c r="M4" s="28" t="s">
        <v>912</v>
      </c>
      <c r="N4" s="30" t="s">
        <v>749</v>
      </c>
      <c r="O4" s="31" t="s">
        <v>3</v>
      </c>
    </row>
    <row r="5" spans="2:15" ht="18" customHeight="1" thickBot="1" x14ac:dyDescent="0.3">
      <c r="B5" s="860"/>
      <c r="C5" s="862"/>
      <c r="D5" s="876"/>
      <c r="F5" s="285" t="s">
        <v>43</v>
      </c>
      <c r="G5" s="63" t="s">
        <v>176</v>
      </c>
      <c r="H5" s="108">
        <v>342</v>
      </c>
      <c r="I5" s="65">
        <v>2.67</v>
      </c>
      <c r="J5" s="105">
        <v>100</v>
      </c>
      <c r="K5" s="877">
        <f>J5</f>
        <v>100</v>
      </c>
      <c r="L5" s="878"/>
      <c r="M5" s="109">
        <f>J5-K5</f>
        <v>0</v>
      </c>
      <c r="N5" s="108">
        <f>M5/I5</f>
        <v>0</v>
      </c>
      <c r="O5" s="872" t="s">
        <v>716</v>
      </c>
    </row>
    <row r="6" spans="2:15" ht="15.6" customHeight="1" x14ac:dyDescent="0.35">
      <c r="F6" s="286" t="s">
        <v>45</v>
      </c>
      <c r="G6" s="107" t="s">
        <v>175</v>
      </c>
      <c r="H6" s="106">
        <v>18</v>
      </c>
      <c r="I6" s="66">
        <v>1</v>
      </c>
      <c r="J6" s="60">
        <v>100</v>
      </c>
      <c r="K6" s="881">
        <f>J5*((1/H5)*(6/1)*(H6/1))</f>
        <v>31.578947368421051</v>
      </c>
      <c r="L6" s="882"/>
      <c r="M6" s="60">
        <f>J6-K6</f>
        <v>68.421052631578945</v>
      </c>
      <c r="N6" s="103">
        <f>M6/I6</f>
        <v>68.421052631578945</v>
      </c>
      <c r="O6" s="873"/>
    </row>
    <row r="7" spans="2:15" ht="15.75" x14ac:dyDescent="0.25">
      <c r="F7" s="286" t="s">
        <v>174</v>
      </c>
      <c r="G7" s="107" t="s">
        <v>173</v>
      </c>
      <c r="H7" s="106">
        <v>78</v>
      </c>
      <c r="I7" s="66">
        <v>2.42</v>
      </c>
      <c r="J7" s="60">
        <v>0</v>
      </c>
      <c r="K7" s="66">
        <f>((J5)*(1/H5)*(2/1)*(H7/1))</f>
        <v>45.614035087719294</v>
      </c>
      <c r="L7" s="562">
        <f>($J6/$H6)*(2/6)*(H7/1)</f>
        <v>144.44444444444443</v>
      </c>
      <c r="M7" s="60">
        <f>K7</f>
        <v>45.614035087719294</v>
      </c>
      <c r="N7" s="105">
        <f>M7/I7</f>
        <v>18.848774829636074</v>
      </c>
      <c r="O7" s="873"/>
    </row>
    <row r="8" spans="2:15" ht="19.5" thickBot="1" x14ac:dyDescent="0.4">
      <c r="F8" s="287" t="s">
        <v>36</v>
      </c>
      <c r="G8" s="104" t="s">
        <v>172</v>
      </c>
      <c r="H8" s="103">
        <v>98</v>
      </c>
      <c r="I8" s="67">
        <v>1.83</v>
      </c>
      <c r="J8" s="79">
        <v>0</v>
      </c>
      <c r="K8" s="67">
        <f>((J5)*(1/H5)*(3/1)*(H8/1))</f>
        <v>85.964912280701753</v>
      </c>
      <c r="L8" s="562">
        <f>((J6)*(1/H6)*(3/6)*(H8/1))</f>
        <v>272.22222222222223</v>
      </c>
      <c r="M8" s="79">
        <f>K8</f>
        <v>85.964912280701753</v>
      </c>
      <c r="N8" s="526">
        <f>M8/I8</f>
        <v>46.975361902022811</v>
      </c>
      <c r="O8" s="873"/>
    </row>
    <row r="9" spans="2:15" ht="16.5" thickBot="1" x14ac:dyDescent="0.3">
      <c r="F9" s="863" t="s">
        <v>53</v>
      </c>
      <c r="G9" s="864"/>
      <c r="H9" s="864"/>
      <c r="I9" s="865"/>
      <c r="J9" s="97">
        <f>SUM(J5:J8)</f>
        <v>200</v>
      </c>
      <c r="K9" s="102">
        <f>(SUM(K7:K8))-(SUM(K5:L6))</f>
        <v>0</v>
      </c>
      <c r="L9" s="558">
        <f>(SUM(L7:L8)-(SUM(K5:L6)))</f>
        <v>285.08771929824559</v>
      </c>
      <c r="M9" s="101">
        <f>SUM(M5:M8)</f>
        <v>200</v>
      </c>
      <c r="N9" s="100">
        <f>SUM(N5:N8)</f>
        <v>134.24518936323784</v>
      </c>
      <c r="O9" s="874"/>
    </row>
    <row r="10" spans="2:15" ht="15.75" x14ac:dyDescent="0.25"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15.75" x14ac:dyDescent="0.25"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15.75" x14ac:dyDescent="0.25"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15.75" x14ac:dyDescent="0.25"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 ht="15.75" x14ac:dyDescent="0.25"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5" ht="15.75" x14ac:dyDescent="0.25"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ht="15.75" x14ac:dyDescent="0.25">
      <c r="F16" s="3"/>
      <c r="G16" s="3"/>
      <c r="H16" s="3"/>
      <c r="I16" s="3"/>
      <c r="J16" s="3"/>
      <c r="K16" s="3"/>
      <c r="L16" s="3"/>
      <c r="M16" s="3"/>
      <c r="N16" s="3"/>
      <c r="O16" s="3"/>
    </row>
    <row r="19" spans="1:13" ht="12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</sheetData>
  <mergeCells count="10">
    <mergeCell ref="B3:B5"/>
    <mergeCell ref="C3:C5"/>
    <mergeCell ref="F9:I9"/>
    <mergeCell ref="F2:O2"/>
    <mergeCell ref="F3:O3"/>
    <mergeCell ref="O5:O9"/>
    <mergeCell ref="D3:D5"/>
    <mergeCell ref="K5:L5"/>
    <mergeCell ref="K4:L4"/>
    <mergeCell ref="K6:L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72"/>
  <sheetViews>
    <sheetView zoomScale="80" zoomScaleNormal="80" workbookViewId="0">
      <selection activeCell="L73" sqref="L73"/>
    </sheetView>
  </sheetViews>
  <sheetFormatPr baseColWidth="10" defaultRowHeight="15.75" x14ac:dyDescent="0.25"/>
  <cols>
    <col min="1" max="1" width="7" customWidth="1"/>
    <col min="2" max="2" width="7.7109375" style="3" customWidth="1"/>
    <col min="3" max="3" width="12.7109375" style="361" customWidth="1"/>
    <col min="4" max="4" width="20.85546875" style="3" customWidth="1"/>
    <col min="5" max="5" width="12" style="3" customWidth="1"/>
    <col min="6" max="6" width="11.42578125" style="3"/>
    <col min="7" max="7" width="15" style="12" customWidth="1"/>
    <col min="8" max="8" width="17.7109375" style="7" customWidth="1"/>
    <col min="9" max="9" width="13" style="3" customWidth="1"/>
    <col min="10" max="11" width="11.42578125" style="3"/>
    <col min="12" max="12" width="8.5703125" style="3" customWidth="1"/>
    <col min="13" max="14" width="11.42578125" style="3"/>
    <col min="15" max="15" width="45.42578125" style="3" customWidth="1"/>
    <col min="16" max="16" width="11.42578125" style="3"/>
  </cols>
  <sheetData>
    <row r="2" spans="2:16" ht="16.5" thickBot="1" x14ac:dyDescent="0.3"/>
    <row r="3" spans="2:16" ht="16.5" thickBot="1" x14ac:dyDescent="0.3">
      <c r="C3" s="393" t="s">
        <v>606</v>
      </c>
      <c r="D3" s="394" t="s">
        <v>607</v>
      </c>
      <c r="E3" s="395" t="s">
        <v>53</v>
      </c>
      <c r="G3" s="866" t="s">
        <v>4</v>
      </c>
      <c r="H3" s="867"/>
      <c r="I3" s="867"/>
      <c r="J3" s="867"/>
      <c r="K3" s="867"/>
      <c r="L3" s="867"/>
      <c r="M3" s="867"/>
      <c r="N3" s="867"/>
      <c r="O3" s="868"/>
    </row>
    <row r="4" spans="2:16" ht="19.5" thickBot="1" x14ac:dyDescent="0.3">
      <c r="C4" s="384">
        <v>1</v>
      </c>
      <c r="D4" s="387" t="s">
        <v>513</v>
      </c>
      <c r="E4" s="896">
        <v>8</v>
      </c>
      <c r="G4" s="920" t="s">
        <v>90</v>
      </c>
      <c r="H4" s="921"/>
      <c r="I4" s="921"/>
      <c r="J4" s="921"/>
      <c r="K4" s="921"/>
      <c r="L4" s="921"/>
      <c r="M4" s="921"/>
      <c r="N4" s="921"/>
      <c r="O4" s="922"/>
    </row>
    <row r="5" spans="2:16" ht="47.25" customHeight="1" thickBot="1" x14ac:dyDescent="0.3">
      <c r="C5" s="385">
        <v>2</v>
      </c>
      <c r="D5" s="388" t="s">
        <v>514</v>
      </c>
      <c r="E5" s="897"/>
      <c r="G5" s="28" t="s">
        <v>0</v>
      </c>
      <c r="H5" s="29" t="s">
        <v>1</v>
      </c>
      <c r="I5" s="28" t="s">
        <v>2</v>
      </c>
      <c r="J5" s="28" t="s">
        <v>164</v>
      </c>
      <c r="K5" s="28" t="s">
        <v>376</v>
      </c>
      <c r="L5" s="29" t="s">
        <v>377</v>
      </c>
      <c r="M5" s="28" t="s">
        <v>375</v>
      </c>
      <c r="N5" s="499" t="s">
        <v>621</v>
      </c>
      <c r="O5" s="31" t="s">
        <v>3</v>
      </c>
    </row>
    <row r="6" spans="2:16" s="8" customFormat="1" ht="61.5" customHeight="1" thickBot="1" x14ac:dyDescent="0.3">
      <c r="B6" s="6"/>
      <c r="C6" s="385">
        <v>3</v>
      </c>
      <c r="D6" s="389" t="s">
        <v>520</v>
      </c>
      <c r="E6" s="897"/>
      <c r="F6" s="6"/>
      <c r="G6" s="26" t="s">
        <v>7</v>
      </c>
      <c r="H6" s="705" t="s">
        <v>6</v>
      </c>
      <c r="I6" s="27">
        <v>46.07</v>
      </c>
      <c r="J6" s="71">
        <v>0.78900000000000003</v>
      </c>
      <c r="K6" s="27">
        <v>250</v>
      </c>
      <c r="L6" s="71">
        <v>0</v>
      </c>
      <c r="M6" s="27">
        <f>K6</f>
        <v>250</v>
      </c>
      <c r="N6" s="71">
        <f>M6/J6</f>
        <v>316.85678073510769</v>
      </c>
      <c r="O6" s="883" t="s">
        <v>782</v>
      </c>
      <c r="P6" s="6"/>
    </row>
    <row r="7" spans="2:16" ht="16.5" thickBot="1" x14ac:dyDescent="0.3">
      <c r="C7" s="385">
        <v>4</v>
      </c>
      <c r="D7" s="388" t="s">
        <v>515</v>
      </c>
      <c r="E7" s="897"/>
      <c r="G7" s="863" t="s">
        <v>53</v>
      </c>
      <c r="H7" s="864"/>
      <c r="I7" s="864"/>
      <c r="J7" s="865"/>
      <c r="K7" s="642">
        <f>SUM(K6)</f>
        <v>250</v>
      </c>
      <c r="L7" s="647">
        <f>SUM(L6)</f>
        <v>0</v>
      </c>
      <c r="M7" s="647">
        <f>SUM(M6)</f>
        <v>250</v>
      </c>
      <c r="N7" s="101">
        <f>SUM(N6)</f>
        <v>316.85678073510769</v>
      </c>
      <c r="O7" s="884"/>
    </row>
    <row r="8" spans="2:16" ht="16.5" thickBot="1" x14ac:dyDescent="0.3">
      <c r="C8" s="385">
        <v>5</v>
      </c>
      <c r="D8" s="388" t="s">
        <v>516</v>
      </c>
      <c r="E8" s="897"/>
      <c r="O8" s="2"/>
    </row>
    <row r="9" spans="2:16" ht="31.5" x14ac:dyDescent="0.25">
      <c r="C9" s="385">
        <v>7</v>
      </c>
      <c r="D9" s="388" t="s">
        <v>518</v>
      </c>
      <c r="E9" s="897"/>
      <c r="G9" s="923" t="s">
        <v>8</v>
      </c>
      <c r="H9" s="924"/>
      <c r="I9" s="924"/>
      <c r="J9" s="924"/>
      <c r="K9" s="924"/>
      <c r="L9" s="924"/>
      <c r="M9" s="924"/>
      <c r="N9" s="924"/>
      <c r="O9" s="925"/>
    </row>
    <row r="10" spans="2:16" ht="16.5" thickBot="1" x14ac:dyDescent="0.3">
      <c r="C10" s="385">
        <v>8</v>
      </c>
      <c r="D10" s="388" t="s">
        <v>517</v>
      </c>
      <c r="E10" s="897"/>
      <c r="G10" s="893" t="s">
        <v>10</v>
      </c>
      <c r="H10" s="894"/>
      <c r="I10" s="894"/>
      <c r="J10" s="894"/>
      <c r="K10" s="894"/>
      <c r="L10" s="894"/>
      <c r="M10" s="894"/>
      <c r="N10" s="894"/>
      <c r="O10" s="895"/>
    </row>
    <row r="11" spans="2:16" s="36" customFormat="1" ht="35.25" thickBot="1" x14ac:dyDescent="0.3">
      <c r="B11" s="35"/>
      <c r="C11" s="386">
        <v>9</v>
      </c>
      <c r="D11" s="390" t="s">
        <v>519</v>
      </c>
      <c r="E11" s="898"/>
      <c r="F11" s="35"/>
      <c r="G11" s="28" t="s">
        <v>0</v>
      </c>
      <c r="H11" s="29" t="s">
        <v>1</v>
      </c>
      <c r="I11" s="28" t="s">
        <v>2</v>
      </c>
      <c r="J11" s="28" t="s">
        <v>164</v>
      </c>
      <c r="K11" s="28" t="s">
        <v>376</v>
      </c>
      <c r="L11" s="29" t="s">
        <v>377</v>
      </c>
      <c r="M11" s="28" t="s">
        <v>375</v>
      </c>
      <c r="N11" s="30" t="s">
        <v>621</v>
      </c>
      <c r="O11" s="31" t="s">
        <v>3</v>
      </c>
      <c r="P11" s="35"/>
    </row>
    <row r="12" spans="2:16" s="33" customFormat="1" ht="54.75" customHeight="1" thickBot="1" x14ac:dyDescent="0.3">
      <c r="B12" s="361"/>
      <c r="C12" s="361"/>
      <c r="D12" s="361"/>
      <c r="E12" s="361"/>
      <c r="F12" s="18"/>
      <c r="G12" s="34" t="s">
        <v>9</v>
      </c>
      <c r="H12" s="651" t="s">
        <v>10</v>
      </c>
      <c r="I12" s="27">
        <v>319.85000000000002</v>
      </c>
      <c r="J12" s="71">
        <v>1.7569999999999999</v>
      </c>
      <c r="K12" s="27">
        <v>0.25</v>
      </c>
      <c r="L12" s="71">
        <v>0</v>
      </c>
      <c r="M12" s="27">
        <f>K12</f>
        <v>0.25</v>
      </c>
      <c r="N12" s="502">
        <f>M12/J12</f>
        <v>0.14228799089356858</v>
      </c>
      <c r="O12" s="889" t="s">
        <v>879</v>
      </c>
      <c r="P12" s="18"/>
    </row>
    <row r="13" spans="2:16" ht="16.5" thickBot="1" x14ac:dyDescent="0.3">
      <c r="G13" s="863" t="s">
        <v>53</v>
      </c>
      <c r="H13" s="864"/>
      <c r="I13" s="864"/>
      <c r="J13" s="865"/>
      <c r="K13" s="642">
        <f>SUM(K12)</f>
        <v>0.25</v>
      </c>
      <c r="L13" s="647">
        <f>SUM(L12)</f>
        <v>0</v>
      </c>
      <c r="M13" s="647">
        <f>SUM(M12)</f>
        <v>0.25</v>
      </c>
      <c r="N13" s="101">
        <f>SUM(N12)</f>
        <v>0.14228799089356858</v>
      </c>
      <c r="O13" s="890"/>
    </row>
    <row r="14" spans="2:16" ht="16.5" thickBot="1" x14ac:dyDescent="0.3">
      <c r="J14" s="4"/>
    </row>
    <row r="15" spans="2:16" x14ac:dyDescent="0.25">
      <c r="G15" s="926" t="s">
        <v>11</v>
      </c>
      <c r="H15" s="927"/>
      <c r="I15" s="927"/>
      <c r="J15" s="927"/>
      <c r="K15" s="927"/>
      <c r="L15" s="927"/>
      <c r="M15" s="927"/>
      <c r="N15" s="927"/>
      <c r="O15" s="928"/>
    </row>
    <row r="16" spans="2:16" x14ac:dyDescent="0.25">
      <c r="G16" s="914" t="s">
        <v>18</v>
      </c>
      <c r="H16" s="915"/>
      <c r="I16" s="915"/>
      <c r="J16" s="915"/>
      <c r="K16" s="915"/>
      <c r="L16" s="915"/>
      <c r="M16" s="915"/>
      <c r="N16" s="915"/>
      <c r="O16" s="916"/>
    </row>
    <row r="17" spans="2:16" ht="16.5" thickBot="1" x14ac:dyDescent="0.3">
      <c r="G17" s="911" t="s">
        <v>10</v>
      </c>
      <c r="H17" s="912"/>
      <c r="I17" s="912"/>
      <c r="J17" s="912"/>
      <c r="K17" s="912"/>
      <c r="L17" s="912"/>
      <c r="M17" s="912"/>
      <c r="N17" s="912"/>
      <c r="O17" s="913"/>
    </row>
    <row r="18" spans="2:16" s="36" customFormat="1" ht="35.25" thickBot="1" x14ac:dyDescent="0.3">
      <c r="B18" s="35"/>
      <c r="C18" s="35"/>
      <c r="D18" s="35"/>
      <c r="E18" s="35"/>
      <c r="F18" s="35"/>
      <c r="G18" s="28" t="s">
        <v>0</v>
      </c>
      <c r="H18" s="29" t="s">
        <v>1</v>
      </c>
      <c r="I18" s="28" t="s">
        <v>2</v>
      </c>
      <c r="J18" s="28" t="s">
        <v>164</v>
      </c>
      <c r="K18" s="28" t="s">
        <v>376</v>
      </c>
      <c r="L18" s="29" t="s">
        <v>377</v>
      </c>
      <c r="M18" s="28" t="s">
        <v>375</v>
      </c>
      <c r="N18" s="499" t="s">
        <v>621</v>
      </c>
      <c r="O18" s="31" t="s">
        <v>3</v>
      </c>
      <c r="P18" s="35"/>
    </row>
    <row r="19" spans="2:16" s="33" customFormat="1" ht="48" customHeight="1" thickBot="1" x14ac:dyDescent="0.3">
      <c r="B19" s="361"/>
      <c r="C19" s="361"/>
      <c r="D19" s="361"/>
      <c r="E19" s="361"/>
      <c r="F19" s="18"/>
      <c r="G19" s="34" t="s">
        <v>9</v>
      </c>
      <c r="H19" s="651" t="s">
        <v>10</v>
      </c>
      <c r="I19" s="27">
        <v>319.85000000000002</v>
      </c>
      <c r="J19" s="71">
        <v>1.7569999999999999</v>
      </c>
      <c r="K19" s="27">
        <v>0.5</v>
      </c>
      <c r="L19" s="71">
        <v>0</v>
      </c>
      <c r="M19" s="27">
        <f>K19</f>
        <v>0.5</v>
      </c>
      <c r="N19" s="71">
        <f>M19/J19</f>
        <v>0.28457598178713717</v>
      </c>
      <c r="O19" s="889" t="s">
        <v>880</v>
      </c>
      <c r="P19" s="18"/>
    </row>
    <row r="20" spans="2:16" s="33" customFormat="1" ht="16.5" thickBot="1" x14ac:dyDescent="0.3">
      <c r="B20" s="421"/>
      <c r="C20" s="421"/>
      <c r="D20" s="421"/>
      <c r="E20" s="421"/>
      <c r="F20" s="421"/>
      <c r="G20" s="863" t="s">
        <v>53</v>
      </c>
      <c r="H20" s="864"/>
      <c r="I20" s="864"/>
      <c r="J20" s="865"/>
      <c r="K20" s="642">
        <f>SUM(K19)</f>
        <v>0.5</v>
      </c>
      <c r="L20" s="647">
        <f>SUM(L19)</f>
        <v>0</v>
      </c>
      <c r="M20" s="647">
        <f>SUM(M19)</f>
        <v>0.5</v>
      </c>
      <c r="N20" s="101">
        <f>SUM(N19)</f>
        <v>0.28457598178713717</v>
      </c>
      <c r="O20" s="890"/>
      <c r="P20" s="421"/>
    </row>
    <row r="21" spans="2:16" s="33" customFormat="1" x14ac:dyDescent="0.25">
      <c r="B21" s="361"/>
      <c r="C21" s="361"/>
      <c r="D21" s="361"/>
      <c r="E21" s="361"/>
      <c r="F21" s="18"/>
      <c r="G21" s="917" t="s">
        <v>19</v>
      </c>
      <c r="H21" s="918"/>
      <c r="I21" s="918"/>
      <c r="J21" s="918"/>
      <c r="K21" s="918"/>
      <c r="L21" s="918"/>
      <c r="M21" s="918"/>
      <c r="N21" s="918"/>
      <c r="O21" s="919"/>
      <c r="P21" s="18"/>
    </row>
    <row r="22" spans="2:16" ht="16.5" thickBot="1" x14ac:dyDescent="0.3">
      <c r="G22" s="908" t="s">
        <v>13</v>
      </c>
      <c r="H22" s="909"/>
      <c r="I22" s="909"/>
      <c r="J22" s="909"/>
      <c r="K22" s="909"/>
      <c r="L22" s="909"/>
      <c r="M22" s="909"/>
      <c r="N22" s="909"/>
      <c r="O22" s="910"/>
    </row>
    <row r="23" spans="2:16" ht="35.25" thickBot="1" x14ac:dyDescent="0.3">
      <c r="C23" s="421"/>
      <c r="G23" s="645" t="s">
        <v>0</v>
      </c>
      <c r="H23" s="612" t="s">
        <v>1</v>
      </c>
      <c r="I23" s="645" t="s">
        <v>2</v>
      </c>
      <c r="J23" s="645" t="s">
        <v>164</v>
      </c>
      <c r="K23" s="645" t="s">
        <v>376</v>
      </c>
      <c r="L23" s="612" t="s">
        <v>377</v>
      </c>
      <c r="M23" s="645" t="s">
        <v>375</v>
      </c>
      <c r="N23" s="644" t="s">
        <v>621</v>
      </c>
      <c r="O23" s="646" t="s">
        <v>3</v>
      </c>
    </row>
    <row r="24" spans="2:16" s="33" customFormat="1" ht="32.25" customHeight="1" thickBot="1" x14ac:dyDescent="0.3">
      <c r="B24" s="361"/>
      <c r="C24" s="361"/>
      <c r="D24" s="361"/>
      <c r="E24" s="361"/>
      <c r="F24" s="18"/>
      <c r="G24" s="37" t="s">
        <v>12</v>
      </c>
      <c r="H24" s="92" t="s">
        <v>13</v>
      </c>
      <c r="I24" s="17">
        <v>126.90447</v>
      </c>
      <c r="J24" s="71">
        <v>4.9400000000000004</v>
      </c>
      <c r="K24" s="17">
        <v>0.25</v>
      </c>
      <c r="L24" s="71">
        <v>0</v>
      </c>
      <c r="M24" s="17">
        <f>K24</f>
        <v>0.25</v>
      </c>
      <c r="N24" s="71">
        <f>M24/J24</f>
        <v>5.0607287449392711E-2</v>
      </c>
      <c r="O24" s="887" t="s">
        <v>783</v>
      </c>
      <c r="P24" s="18"/>
    </row>
    <row r="25" spans="2:16" ht="16.5" thickBot="1" x14ac:dyDescent="0.3">
      <c r="G25" s="863" t="s">
        <v>53</v>
      </c>
      <c r="H25" s="864"/>
      <c r="I25" s="864"/>
      <c r="J25" s="865"/>
      <c r="K25" s="642">
        <f>SUM(K24)</f>
        <v>0.25</v>
      </c>
      <c r="L25" s="647">
        <f>SUM(L24)</f>
        <v>0</v>
      </c>
      <c r="M25" s="647">
        <f>SUM(M24)</f>
        <v>0.25</v>
      </c>
      <c r="N25" s="101">
        <f>SUM(N24)</f>
        <v>5.0607287449392711E-2</v>
      </c>
      <c r="O25" s="888"/>
    </row>
    <row r="26" spans="2:16" ht="16.5" thickBot="1" x14ac:dyDescent="0.3"/>
    <row r="27" spans="2:16" x14ac:dyDescent="0.25">
      <c r="G27" s="866" t="s">
        <v>14</v>
      </c>
      <c r="H27" s="867"/>
      <c r="I27" s="867"/>
      <c r="J27" s="867"/>
      <c r="K27" s="867"/>
      <c r="L27" s="867"/>
      <c r="M27" s="867"/>
      <c r="N27" s="867"/>
      <c r="O27" s="868"/>
    </row>
    <row r="28" spans="2:16" ht="16.5" thickBot="1" x14ac:dyDescent="0.3">
      <c r="G28" s="893" t="s">
        <v>10</v>
      </c>
      <c r="H28" s="894"/>
      <c r="I28" s="894"/>
      <c r="J28" s="894"/>
      <c r="K28" s="894"/>
      <c r="L28" s="894"/>
      <c r="M28" s="894"/>
      <c r="N28" s="894"/>
      <c r="O28" s="895"/>
    </row>
    <row r="29" spans="2:16" s="33" customFormat="1" ht="35.25" thickBot="1" x14ac:dyDescent="0.3">
      <c r="B29" s="361"/>
      <c r="C29" s="361"/>
      <c r="D29" s="361"/>
      <c r="E29" s="361"/>
      <c r="F29" s="18"/>
      <c r="G29" s="28" t="s">
        <v>0</v>
      </c>
      <c r="H29" s="29" t="s">
        <v>1</v>
      </c>
      <c r="I29" s="28" t="s">
        <v>2</v>
      </c>
      <c r="J29" s="28" t="s">
        <v>164</v>
      </c>
      <c r="K29" s="28" t="s">
        <v>376</v>
      </c>
      <c r="L29" s="29" t="s">
        <v>377</v>
      </c>
      <c r="M29" s="28" t="s">
        <v>375</v>
      </c>
      <c r="N29" s="499" t="s">
        <v>621</v>
      </c>
      <c r="O29" s="31" t="s">
        <v>3</v>
      </c>
      <c r="P29" s="18"/>
    </row>
    <row r="30" spans="2:16" s="33" customFormat="1" ht="48" customHeight="1" thickBot="1" x14ac:dyDescent="0.3">
      <c r="B30" s="361"/>
      <c r="C30" s="361"/>
      <c r="D30" s="361"/>
      <c r="E30" s="361"/>
      <c r="F30" s="18"/>
      <c r="G30" s="37" t="s">
        <v>9</v>
      </c>
      <c r="H30" s="651" t="s">
        <v>10</v>
      </c>
      <c r="I30" s="17">
        <v>319.85000000000002</v>
      </c>
      <c r="J30" s="71">
        <v>1.7569999999999999</v>
      </c>
      <c r="K30" s="17">
        <v>0.25</v>
      </c>
      <c r="L30" s="71">
        <v>0</v>
      </c>
      <c r="M30" s="17">
        <f>K30</f>
        <v>0.25</v>
      </c>
      <c r="N30" s="71">
        <f>M30/J30</f>
        <v>0.14228799089356858</v>
      </c>
      <c r="O30" s="889" t="s">
        <v>881</v>
      </c>
      <c r="P30" s="18"/>
    </row>
    <row r="31" spans="2:16" ht="16.5" thickBot="1" x14ac:dyDescent="0.3">
      <c r="G31" s="863" t="s">
        <v>53</v>
      </c>
      <c r="H31" s="864"/>
      <c r="I31" s="864"/>
      <c r="J31" s="865"/>
      <c r="K31" s="642">
        <f>SUM(K30)</f>
        <v>0.25</v>
      </c>
      <c r="L31" s="647">
        <f>SUM(L30)</f>
        <v>0</v>
      </c>
      <c r="M31" s="647">
        <f>SUM(M30)</f>
        <v>0.25</v>
      </c>
      <c r="N31" s="101">
        <f>SUM(N30)</f>
        <v>0.14228799089356858</v>
      </c>
      <c r="O31" s="890"/>
    </row>
    <row r="32" spans="2:16" ht="16.5" thickBot="1" x14ac:dyDescent="0.3"/>
    <row r="33" spans="2:20" ht="15.75" customHeight="1" x14ac:dyDescent="0.25">
      <c r="G33" s="866" t="s">
        <v>15</v>
      </c>
      <c r="H33" s="867"/>
      <c r="I33" s="867"/>
      <c r="J33" s="867"/>
      <c r="K33" s="867"/>
      <c r="L33" s="867"/>
      <c r="M33" s="867"/>
      <c r="N33" s="867"/>
      <c r="O33" s="868"/>
    </row>
    <row r="34" spans="2:20" x14ac:dyDescent="0.25">
      <c r="G34" s="902" t="s">
        <v>18</v>
      </c>
      <c r="H34" s="903"/>
      <c r="I34" s="903"/>
      <c r="J34" s="903"/>
      <c r="K34" s="903"/>
      <c r="L34" s="903"/>
      <c r="M34" s="903"/>
      <c r="N34" s="903"/>
      <c r="O34" s="904"/>
    </row>
    <row r="35" spans="2:20" ht="16.5" thickBot="1" x14ac:dyDescent="0.3">
      <c r="G35" s="893" t="s">
        <v>10</v>
      </c>
      <c r="H35" s="894"/>
      <c r="I35" s="894"/>
      <c r="J35" s="894"/>
      <c r="K35" s="894"/>
      <c r="L35" s="894"/>
      <c r="M35" s="894"/>
      <c r="N35" s="894"/>
      <c r="O35" s="895"/>
    </row>
    <row r="36" spans="2:20" ht="45.75" customHeight="1" thickBot="1" x14ac:dyDescent="0.3">
      <c r="G36" s="28" t="s">
        <v>0</v>
      </c>
      <c r="H36" s="29" t="s">
        <v>1</v>
      </c>
      <c r="I36" s="28" t="s">
        <v>2</v>
      </c>
      <c r="J36" s="28" t="s">
        <v>164</v>
      </c>
      <c r="K36" s="28" t="s">
        <v>376</v>
      </c>
      <c r="L36" s="29" t="s">
        <v>377</v>
      </c>
      <c r="M36" s="28" t="s">
        <v>375</v>
      </c>
      <c r="N36" s="499" t="s">
        <v>621</v>
      </c>
      <c r="O36" s="31" t="s">
        <v>3</v>
      </c>
    </row>
    <row r="37" spans="2:20" s="33" customFormat="1" ht="50.25" customHeight="1" thickBot="1" x14ac:dyDescent="0.3">
      <c r="B37" s="361"/>
      <c r="C37" s="361"/>
      <c r="D37" s="361"/>
      <c r="E37" s="361"/>
      <c r="F37" s="18"/>
      <c r="G37" s="25" t="s">
        <v>717</v>
      </c>
      <c r="H37" s="71" t="s">
        <v>16</v>
      </c>
      <c r="I37" s="17">
        <v>492.39</v>
      </c>
      <c r="J37" s="71">
        <v>0.49</v>
      </c>
      <c r="K37" s="411">
        <v>5</v>
      </c>
      <c r="L37" s="235">
        <v>0</v>
      </c>
      <c r="M37" s="411">
        <f>K37</f>
        <v>5</v>
      </c>
      <c r="N37" s="235">
        <f>M37/J37</f>
        <v>10.204081632653061</v>
      </c>
      <c r="O37" s="891" t="s">
        <v>882</v>
      </c>
      <c r="P37" s="18"/>
    </row>
    <row r="38" spans="2:20" s="33" customFormat="1" ht="19.5" customHeight="1" thickBot="1" x14ac:dyDescent="0.3">
      <c r="B38" s="421"/>
      <c r="C38" s="421"/>
      <c r="D38" s="421"/>
      <c r="E38" s="421"/>
      <c r="F38" s="421"/>
      <c r="G38" s="863" t="s">
        <v>53</v>
      </c>
      <c r="H38" s="864"/>
      <c r="I38" s="864"/>
      <c r="J38" s="865"/>
      <c r="K38" s="642">
        <f>SUM(K37)</f>
        <v>5</v>
      </c>
      <c r="L38" s="647">
        <f>SUM(L37)</f>
        <v>0</v>
      </c>
      <c r="M38" s="647">
        <f>SUM(M37)</f>
        <v>5</v>
      </c>
      <c r="N38" s="101">
        <f>SUM(N37)</f>
        <v>10.204081632653061</v>
      </c>
      <c r="O38" s="892"/>
      <c r="P38" s="421"/>
    </row>
    <row r="39" spans="2:20" ht="16.5" thickBot="1" x14ac:dyDescent="0.3">
      <c r="G39" s="899" t="s">
        <v>17</v>
      </c>
      <c r="H39" s="900"/>
      <c r="I39" s="900"/>
      <c r="J39" s="900"/>
      <c r="K39" s="900"/>
      <c r="L39" s="900"/>
      <c r="M39" s="900"/>
      <c r="N39" s="900"/>
      <c r="O39" s="901"/>
    </row>
    <row r="40" spans="2:20" ht="35.25" thickBot="1" x14ac:dyDescent="0.3">
      <c r="C40" s="421"/>
      <c r="G40" s="645" t="s">
        <v>0</v>
      </c>
      <c r="H40" s="612" t="s">
        <v>1</v>
      </c>
      <c r="I40" s="645" t="s">
        <v>2</v>
      </c>
      <c r="J40" s="645" t="s">
        <v>164</v>
      </c>
      <c r="K40" s="645" t="s">
        <v>376</v>
      </c>
      <c r="L40" s="612" t="s">
        <v>377</v>
      </c>
      <c r="M40" s="645" t="s">
        <v>375</v>
      </c>
      <c r="N40" s="644" t="s">
        <v>621</v>
      </c>
      <c r="O40" s="646" t="s">
        <v>3</v>
      </c>
    </row>
    <row r="41" spans="2:20" s="33" customFormat="1" ht="44.25" customHeight="1" thickBot="1" x14ac:dyDescent="0.3">
      <c r="B41" s="361"/>
      <c r="C41" s="361"/>
      <c r="D41" s="361"/>
      <c r="E41" s="361"/>
      <c r="F41" s="22"/>
      <c r="G41" s="32" t="s">
        <v>7</v>
      </c>
      <c r="H41" s="92" t="s">
        <v>90</v>
      </c>
      <c r="I41" s="38">
        <v>46.07</v>
      </c>
      <c r="J41" s="71">
        <v>0.78900000000000003</v>
      </c>
      <c r="K41" s="260">
        <v>10</v>
      </c>
      <c r="L41" s="235">
        <v>0</v>
      </c>
      <c r="M41" s="260">
        <f>K41</f>
        <v>10</v>
      </c>
      <c r="N41" s="235">
        <f>M41/J41</f>
        <v>12.674271229404308</v>
      </c>
      <c r="O41" s="883" t="s">
        <v>874</v>
      </c>
      <c r="P41" s="22"/>
    </row>
    <row r="42" spans="2:20" s="33" customFormat="1" ht="19.5" customHeight="1" thickBot="1" x14ac:dyDescent="0.3">
      <c r="B42" s="421"/>
      <c r="C42" s="421"/>
      <c r="D42" s="421"/>
      <c r="E42" s="421"/>
      <c r="F42" s="421"/>
      <c r="G42" s="863" t="s">
        <v>53</v>
      </c>
      <c r="H42" s="864"/>
      <c r="I42" s="864"/>
      <c r="J42" s="865"/>
      <c r="K42" s="642">
        <f>SUM(K41)</f>
        <v>10</v>
      </c>
      <c r="L42" s="647">
        <f>SUM(L41)</f>
        <v>0</v>
      </c>
      <c r="M42" s="647">
        <f>SUM(M41)</f>
        <v>10</v>
      </c>
      <c r="N42" s="101">
        <f>SUM(N41)</f>
        <v>12.674271229404308</v>
      </c>
      <c r="O42" s="884"/>
      <c r="P42" s="421"/>
    </row>
    <row r="43" spans="2:20" ht="16.5" thickBot="1" x14ac:dyDescent="0.3">
      <c r="G43" s="905" t="s">
        <v>19</v>
      </c>
      <c r="H43" s="906"/>
      <c r="I43" s="906"/>
      <c r="J43" s="906"/>
      <c r="K43" s="906"/>
      <c r="L43" s="906"/>
      <c r="M43" s="906"/>
      <c r="N43" s="906"/>
      <c r="O43" s="907"/>
    </row>
    <row r="44" spans="2:20" ht="35.25" thickBot="1" x14ac:dyDescent="0.3">
      <c r="C44" s="421"/>
      <c r="G44" s="645" t="s">
        <v>0</v>
      </c>
      <c r="H44" s="612" t="s">
        <v>1</v>
      </c>
      <c r="I44" s="645" t="s">
        <v>2</v>
      </c>
      <c r="J44" s="645" t="s">
        <v>164</v>
      </c>
      <c r="K44" s="645" t="s">
        <v>376</v>
      </c>
      <c r="L44" s="612" t="s">
        <v>377</v>
      </c>
      <c r="M44" s="645" t="s">
        <v>375</v>
      </c>
      <c r="N44" s="644" t="s">
        <v>621</v>
      </c>
      <c r="O44" s="646" t="s">
        <v>3</v>
      </c>
    </row>
    <row r="45" spans="2:20" s="33" customFormat="1" ht="43.15" customHeight="1" thickBot="1" x14ac:dyDescent="0.3">
      <c r="B45" s="361"/>
      <c r="C45" s="361"/>
      <c r="D45" s="361"/>
      <c r="E45" s="361"/>
      <c r="F45" s="18"/>
      <c r="G45" s="26" t="s">
        <v>20</v>
      </c>
      <c r="H45" s="92" t="s">
        <v>21</v>
      </c>
      <c r="I45" s="27">
        <v>500.5</v>
      </c>
      <c r="J45" s="71">
        <v>1</v>
      </c>
      <c r="K45" s="27">
        <v>5</v>
      </c>
      <c r="L45" s="71">
        <v>0</v>
      </c>
      <c r="M45" s="27">
        <f>K45</f>
        <v>5</v>
      </c>
      <c r="N45" s="71">
        <f>M45/J45</f>
        <v>5</v>
      </c>
      <c r="O45" s="885" t="s">
        <v>718</v>
      </c>
      <c r="P45" s="18"/>
    </row>
    <row r="46" spans="2:20" ht="16.5" thickBot="1" x14ac:dyDescent="0.3">
      <c r="G46" s="863" t="s">
        <v>53</v>
      </c>
      <c r="H46" s="864"/>
      <c r="I46" s="864"/>
      <c r="J46" s="865"/>
      <c r="K46" s="642">
        <f>SUM(K45)</f>
        <v>5</v>
      </c>
      <c r="L46" s="647">
        <f>SUM(L45)</f>
        <v>0</v>
      </c>
      <c r="M46" s="647">
        <f>SUM(M45)</f>
        <v>5</v>
      </c>
      <c r="N46" s="101">
        <f>SUM(N45)</f>
        <v>5</v>
      </c>
      <c r="O46" s="886"/>
    </row>
    <row r="47" spans="2:20" ht="16.5" thickBot="1" x14ac:dyDescent="0.3"/>
    <row r="48" spans="2:20" x14ac:dyDescent="0.25">
      <c r="G48" s="866" t="s">
        <v>22</v>
      </c>
      <c r="H48" s="867"/>
      <c r="I48" s="867"/>
      <c r="J48" s="867"/>
      <c r="K48" s="867"/>
      <c r="L48" s="867"/>
      <c r="M48" s="867"/>
      <c r="N48" s="867"/>
      <c r="O48" s="868"/>
      <c r="Q48" s="43"/>
      <c r="R48" s="43"/>
      <c r="S48" s="43"/>
      <c r="T48" s="43"/>
    </row>
    <row r="49" spans="2:20" ht="16.5" thickBot="1" x14ac:dyDescent="0.3">
      <c r="G49" s="893" t="s">
        <v>165</v>
      </c>
      <c r="H49" s="894"/>
      <c r="I49" s="894"/>
      <c r="J49" s="894"/>
      <c r="K49" s="894"/>
      <c r="L49" s="894"/>
      <c r="M49" s="894"/>
      <c r="N49" s="894"/>
      <c r="O49" s="895"/>
      <c r="Q49" s="43"/>
      <c r="R49" s="43"/>
      <c r="S49" s="43"/>
      <c r="T49" s="43"/>
    </row>
    <row r="50" spans="2:20" ht="48.75" customHeight="1" thickBot="1" x14ac:dyDescent="0.3">
      <c r="G50" s="557" t="s">
        <v>0</v>
      </c>
      <c r="H50" s="508" t="s">
        <v>1</v>
      </c>
      <c r="I50" s="557" t="s">
        <v>2</v>
      </c>
      <c r="J50" s="557" t="s">
        <v>164</v>
      </c>
      <c r="K50" s="557" t="s">
        <v>376</v>
      </c>
      <c r="L50" s="508" t="s">
        <v>377</v>
      </c>
      <c r="M50" s="557" t="s">
        <v>375</v>
      </c>
      <c r="N50" s="556" t="s">
        <v>621</v>
      </c>
      <c r="O50" s="53" t="s">
        <v>3</v>
      </c>
      <c r="Q50" s="20"/>
      <c r="R50" s="20"/>
      <c r="S50" s="20"/>
      <c r="T50" s="20"/>
    </row>
    <row r="51" spans="2:20" ht="32.25" customHeight="1" thickBot="1" x14ac:dyDescent="0.3">
      <c r="G51" s="26" t="s">
        <v>7</v>
      </c>
      <c r="H51" s="92" t="s">
        <v>90</v>
      </c>
      <c r="I51" s="561">
        <v>46.07</v>
      </c>
      <c r="J51" s="71">
        <v>0.78900000000000003</v>
      </c>
      <c r="K51" s="706">
        <v>10</v>
      </c>
      <c r="L51" s="138">
        <v>0</v>
      </c>
      <c r="M51" s="706">
        <f>K51</f>
        <v>10</v>
      </c>
      <c r="N51" s="138">
        <f>M51/J51</f>
        <v>12.674271229404308</v>
      </c>
      <c r="O51" s="883" t="s">
        <v>874</v>
      </c>
      <c r="Q51" s="20"/>
      <c r="R51" s="20"/>
      <c r="S51" s="20"/>
      <c r="T51" s="20"/>
    </row>
    <row r="52" spans="2:20" ht="16.5" thickBot="1" x14ac:dyDescent="0.3">
      <c r="C52" s="421"/>
      <c r="G52" s="863" t="s">
        <v>53</v>
      </c>
      <c r="H52" s="864"/>
      <c r="I52" s="864"/>
      <c r="J52" s="865"/>
      <c r="K52" s="642">
        <f>SUM(K51)</f>
        <v>10</v>
      </c>
      <c r="L52" s="647">
        <f>SUM(L51)</f>
        <v>0</v>
      </c>
      <c r="M52" s="647">
        <f>SUM(M51)</f>
        <v>10</v>
      </c>
      <c r="N52" s="101">
        <f>SUM(N51)</f>
        <v>12.674271229404308</v>
      </c>
      <c r="O52" s="884"/>
      <c r="Q52" s="643"/>
      <c r="R52" s="643"/>
      <c r="S52" s="643"/>
      <c r="T52" s="643"/>
    </row>
    <row r="53" spans="2:20" ht="16.5" thickBot="1" x14ac:dyDescent="0.3">
      <c r="G53" s="893" t="s">
        <v>24</v>
      </c>
      <c r="H53" s="894"/>
      <c r="I53" s="894"/>
      <c r="J53" s="894"/>
      <c r="K53" s="894"/>
      <c r="L53" s="894"/>
      <c r="M53" s="894"/>
      <c r="N53" s="894"/>
      <c r="O53" s="895"/>
      <c r="Q53" s="20"/>
      <c r="R53" s="20"/>
      <c r="S53" s="20"/>
      <c r="T53" s="20"/>
    </row>
    <row r="54" spans="2:20" ht="35.25" thickBot="1" x14ac:dyDescent="0.3">
      <c r="G54" s="28" t="s">
        <v>0</v>
      </c>
      <c r="H54" s="29" t="s">
        <v>1</v>
      </c>
      <c r="I54" s="28" t="s">
        <v>2</v>
      </c>
      <c r="J54" s="28" t="s">
        <v>164</v>
      </c>
      <c r="K54" s="28" t="s">
        <v>376</v>
      </c>
      <c r="L54" s="29" t="s">
        <v>377</v>
      </c>
      <c r="M54" s="28" t="s">
        <v>375</v>
      </c>
      <c r="N54" s="499" t="s">
        <v>621</v>
      </c>
      <c r="O54" s="31" t="s">
        <v>3</v>
      </c>
    </row>
    <row r="55" spans="2:20" s="33" customFormat="1" ht="68.25" customHeight="1" thickBot="1" x14ac:dyDescent="0.3">
      <c r="B55" s="361"/>
      <c r="C55" s="361"/>
      <c r="D55" s="361"/>
      <c r="E55" s="361"/>
      <c r="F55" s="22"/>
      <c r="G55" s="26" t="s">
        <v>23</v>
      </c>
      <c r="H55" s="660" t="s">
        <v>566</v>
      </c>
      <c r="I55" s="412" t="s">
        <v>568</v>
      </c>
      <c r="J55" s="71">
        <v>1.1599999999999999</v>
      </c>
      <c r="K55" s="27">
        <v>0.25</v>
      </c>
      <c r="L55" s="235">
        <v>0</v>
      </c>
      <c r="M55" s="412">
        <f>K55</f>
        <v>0.25</v>
      </c>
      <c r="N55" s="235">
        <f>M55/J55</f>
        <v>0.21551724137931036</v>
      </c>
      <c r="O55" s="885" t="s">
        <v>875</v>
      </c>
      <c r="P55" s="22"/>
    </row>
    <row r="56" spans="2:20" s="33" customFormat="1" ht="21" customHeight="1" thickBot="1" x14ac:dyDescent="0.3">
      <c r="B56" s="421"/>
      <c r="C56" s="421"/>
      <c r="D56" s="421"/>
      <c r="E56" s="421"/>
      <c r="F56" s="421"/>
      <c r="G56" s="863" t="s">
        <v>53</v>
      </c>
      <c r="H56" s="864"/>
      <c r="I56" s="864"/>
      <c r="J56" s="865"/>
      <c r="K56" s="642">
        <f>SUM(K55)</f>
        <v>0.25</v>
      </c>
      <c r="L56" s="647">
        <f>SUM(L55)</f>
        <v>0</v>
      </c>
      <c r="M56" s="647">
        <f>SUM(M55)</f>
        <v>0.25</v>
      </c>
      <c r="N56" s="101">
        <f>SUM(N55)</f>
        <v>0.21551724137931036</v>
      </c>
      <c r="O56" s="886"/>
      <c r="P56" s="421"/>
    </row>
    <row r="57" spans="2:20" ht="16.5" thickBot="1" x14ac:dyDescent="0.3">
      <c r="G57" s="893" t="s">
        <v>25</v>
      </c>
      <c r="H57" s="894"/>
      <c r="I57" s="894"/>
      <c r="J57" s="894"/>
      <c r="K57" s="894"/>
      <c r="L57" s="894"/>
      <c r="M57" s="894"/>
      <c r="N57" s="894"/>
      <c r="O57" s="895"/>
    </row>
    <row r="58" spans="2:20" ht="46.5" customHeight="1" thickBot="1" x14ac:dyDescent="0.3">
      <c r="G58" s="28" t="s">
        <v>0</v>
      </c>
      <c r="H58" s="29" t="s">
        <v>1</v>
      </c>
      <c r="I58" s="28" t="s">
        <v>2</v>
      </c>
      <c r="J58" s="28" t="s">
        <v>164</v>
      </c>
      <c r="K58" s="28" t="s">
        <v>376</v>
      </c>
      <c r="L58" s="29" t="s">
        <v>377</v>
      </c>
      <c r="M58" s="28" t="s">
        <v>375</v>
      </c>
      <c r="N58" s="499" t="s">
        <v>621</v>
      </c>
      <c r="O58" s="31" t="s">
        <v>3</v>
      </c>
    </row>
    <row r="59" spans="2:20" s="33" customFormat="1" ht="63.75" thickBot="1" x14ac:dyDescent="0.3">
      <c r="B59" s="361"/>
      <c r="C59" s="361"/>
      <c r="D59" s="361"/>
      <c r="E59" s="361"/>
      <c r="F59" s="22"/>
      <c r="G59" s="25" t="s">
        <v>23</v>
      </c>
      <c r="H59" s="660" t="s">
        <v>566</v>
      </c>
      <c r="I59" s="411" t="s">
        <v>567</v>
      </c>
      <c r="J59" s="71">
        <v>1.1599999999999999</v>
      </c>
      <c r="K59" s="23">
        <v>0.25</v>
      </c>
      <c r="L59" s="235">
        <v>0</v>
      </c>
      <c r="M59" s="411">
        <f>K59</f>
        <v>0.25</v>
      </c>
      <c r="N59" s="235">
        <f>M59/J59</f>
        <v>0.21551724137931036</v>
      </c>
      <c r="O59" s="885" t="s">
        <v>876</v>
      </c>
      <c r="P59" s="22"/>
    </row>
    <row r="60" spans="2:20" ht="16.5" thickBot="1" x14ac:dyDescent="0.3">
      <c r="G60" s="863" t="s">
        <v>53</v>
      </c>
      <c r="H60" s="864"/>
      <c r="I60" s="864"/>
      <c r="J60" s="865"/>
      <c r="K60" s="642">
        <f>SUM(K59)</f>
        <v>0.25</v>
      </c>
      <c r="L60" s="647">
        <f>SUM(L59)</f>
        <v>0</v>
      </c>
      <c r="M60" s="647">
        <f>SUM(M59)</f>
        <v>0.25</v>
      </c>
      <c r="N60" s="101">
        <f>SUM(N59)</f>
        <v>0.21551724137931036</v>
      </c>
      <c r="O60" s="886"/>
    </row>
    <row r="61" spans="2:20" ht="16.5" thickBot="1" x14ac:dyDescent="0.3"/>
    <row r="62" spans="2:20" x14ac:dyDescent="0.25">
      <c r="G62" s="866" t="s">
        <v>26</v>
      </c>
      <c r="H62" s="867"/>
      <c r="I62" s="867"/>
      <c r="J62" s="867"/>
      <c r="K62" s="867"/>
      <c r="L62" s="867"/>
      <c r="M62" s="867"/>
      <c r="N62" s="867"/>
      <c r="O62" s="868"/>
    </row>
    <row r="63" spans="2:20" ht="16.5" thickBot="1" x14ac:dyDescent="0.3">
      <c r="G63" s="893" t="s">
        <v>17</v>
      </c>
      <c r="H63" s="894"/>
      <c r="I63" s="894"/>
      <c r="J63" s="894"/>
      <c r="K63" s="894"/>
      <c r="L63" s="894"/>
      <c r="M63" s="894"/>
      <c r="N63" s="894"/>
      <c r="O63" s="895"/>
    </row>
    <row r="64" spans="2:20" ht="48.75" customHeight="1" thickBot="1" x14ac:dyDescent="0.3">
      <c r="G64" s="28" t="s">
        <v>0</v>
      </c>
      <c r="H64" s="29" t="s">
        <v>1</v>
      </c>
      <c r="I64" s="28" t="s">
        <v>2</v>
      </c>
      <c r="J64" s="28" t="s">
        <v>164</v>
      </c>
      <c r="K64" s="28" t="s">
        <v>376</v>
      </c>
      <c r="L64" s="29" t="s">
        <v>377</v>
      </c>
      <c r="M64" s="28" t="s">
        <v>375</v>
      </c>
      <c r="N64" s="499" t="s">
        <v>621</v>
      </c>
      <c r="O64" s="31" t="s">
        <v>3</v>
      </c>
    </row>
    <row r="65" spans="2:16" s="33" customFormat="1" ht="32.25" customHeight="1" thickBot="1" x14ac:dyDescent="0.3">
      <c r="B65" s="361"/>
      <c r="C65" s="361"/>
      <c r="D65" s="361"/>
      <c r="E65" s="361"/>
      <c r="F65" s="22"/>
      <c r="G65" s="26" t="s">
        <v>7</v>
      </c>
      <c r="H65" s="92" t="s">
        <v>90</v>
      </c>
      <c r="I65" s="27">
        <v>46.07</v>
      </c>
      <c r="J65" s="71">
        <v>0.78900000000000003</v>
      </c>
      <c r="K65" s="648">
        <v>250</v>
      </c>
      <c r="L65" s="71">
        <v>0</v>
      </c>
      <c r="M65" s="648">
        <f>K65</f>
        <v>250</v>
      </c>
      <c r="N65" s="71">
        <f>M65/J65</f>
        <v>316.85678073510769</v>
      </c>
      <c r="O65" s="883" t="s">
        <v>877</v>
      </c>
      <c r="P65" s="22"/>
    </row>
    <row r="66" spans="2:16" ht="16.5" thickBot="1" x14ac:dyDescent="0.3">
      <c r="G66" s="863" t="s">
        <v>53</v>
      </c>
      <c r="H66" s="864"/>
      <c r="I66" s="864"/>
      <c r="J66" s="865"/>
      <c r="K66" s="642">
        <f>SUM(K65)</f>
        <v>250</v>
      </c>
      <c r="L66" s="647">
        <f>SUM(L65)</f>
        <v>0</v>
      </c>
      <c r="M66" s="647">
        <f>SUM(M65)</f>
        <v>250</v>
      </c>
      <c r="N66" s="101">
        <f>SUM(N65)</f>
        <v>316.85678073510769</v>
      </c>
      <c r="O66" s="884"/>
    </row>
    <row r="67" spans="2:16" ht="16.5" thickBot="1" x14ac:dyDescent="0.3"/>
    <row r="68" spans="2:16" x14ac:dyDescent="0.25">
      <c r="G68" s="866" t="s">
        <v>27</v>
      </c>
      <c r="H68" s="867"/>
      <c r="I68" s="867"/>
      <c r="J68" s="867"/>
      <c r="K68" s="867"/>
      <c r="L68" s="867"/>
      <c r="M68" s="867"/>
      <c r="N68" s="867"/>
      <c r="O68" s="868"/>
    </row>
    <row r="69" spans="2:16" ht="16.5" thickBot="1" x14ac:dyDescent="0.3">
      <c r="G69" s="893" t="s">
        <v>17</v>
      </c>
      <c r="H69" s="894"/>
      <c r="I69" s="894"/>
      <c r="J69" s="894"/>
      <c r="K69" s="894"/>
      <c r="L69" s="894"/>
      <c r="M69" s="894"/>
      <c r="N69" s="894"/>
      <c r="O69" s="895"/>
    </row>
    <row r="70" spans="2:16" ht="35.25" thickBot="1" x14ac:dyDescent="0.3">
      <c r="G70" s="28" t="s">
        <v>0</v>
      </c>
      <c r="H70" s="29" t="s">
        <v>1</v>
      </c>
      <c r="I70" s="28" t="s">
        <v>2</v>
      </c>
      <c r="J70" s="28" t="s">
        <v>164</v>
      </c>
      <c r="K70" s="28" t="s">
        <v>376</v>
      </c>
      <c r="L70" s="29" t="s">
        <v>377</v>
      </c>
      <c r="M70" s="28" t="s">
        <v>375</v>
      </c>
      <c r="N70" s="499" t="s">
        <v>621</v>
      </c>
      <c r="O70" s="31" t="s">
        <v>3</v>
      </c>
    </row>
    <row r="71" spans="2:16" s="33" customFormat="1" ht="32.25" customHeight="1" thickBot="1" x14ac:dyDescent="0.3">
      <c r="B71" s="361"/>
      <c r="C71" s="361"/>
      <c r="D71" s="361"/>
      <c r="E71" s="361"/>
      <c r="F71" s="22"/>
      <c r="G71" s="25" t="s">
        <v>7</v>
      </c>
      <c r="H71" s="92" t="s">
        <v>90</v>
      </c>
      <c r="I71" s="23">
        <v>46.07</v>
      </c>
      <c r="J71" s="71">
        <v>0.78900000000000003</v>
      </c>
      <c r="K71" s="561">
        <v>250</v>
      </c>
      <c r="L71" s="71">
        <v>0</v>
      </c>
      <c r="M71" s="561">
        <f>K71</f>
        <v>250</v>
      </c>
      <c r="N71" s="71">
        <f>M71/J71</f>
        <v>316.85678073510769</v>
      </c>
      <c r="O71" s="883" t="s">
        <v>877</v>
      </c>
      <c r="P71" s="22"/>
    </row>
    <row r="72" spans="2:16" ht="16.5" thickBot="1" x14ac:dyDescent="0.3">
      <c r="G72" s="863" t="s">
        <v>53</v>
      </c>
      <c r="H72" s="864"/>
      <c r="I72" s="864"/>
      <c r="J72" s="865"/>
      <c r="K72" s="642">
        <f>SUM(K71)</f>
        <v>250</v>
      </c>
      <c r="L72" s="647">
        <f>SUM(L71)</f>
        <v>0</v>
      </c>
      <c r="M72" s="647">
        <f>SUM(M71)</f>
        <v>250</v>
      </c>
      <c r="N72" s="101">
        <f>SUM(N71)</f>
        <v>316.85678073510769</v>
      </c>
      <c r="O72" s="884"/>
    </row>
  </sheetData>
  <mergeCells count="51">
    <mergeCell ref="G16:O16"/>
    <mergeCell ref="G21:O21"/>
    <mergeCell ref="G3:O3"/>
    <mergeCell ref="G4:O4"/>
    <mergeCell ref="G9:O9"/>
    <mergeCell ref="G10:O10"/>
    <mergeCell ref="G15:O15"/>
    <mergeCell ref="G7:J7"/>
    <mergeCell ref="O6:O7"/>
    <mergeCell ref="G13:J13"/>
    <mergeCell ref="O12:O13"/>
    <mergeCell ref="G20:J20"/>
    <mergeCell ref="O19:O20"/>
    <mergeCell ref="E4:E11"/>
    <mergeCell ref="G68:O68"/>
    <mergeCell ref="G69:O69"/>
    <mergeCell ref="G49:O49"/>
    <mergeCell ref="G57:O57"/>
    <mergeCell ref="G62:O62"/>
    <mergeCell ref="G63:O63"/>
    <mergeCell ref="G53:O53"/>
    <mergeCell ref="G35:O35"/>
    <mergeCell ref="G39:O39"/>
    <mergeCell ref="G34:O34"/>
    <mergeCell ref="G43:O43"/>
    <mergeCell ref="G48:O48"/>
    <mergeCell ref="G22:O22"/>
    <mergeCell ref="G17:O17"/>
    <mergeCell ref="G27:O27"/>
    <mergeCell ref="O24:O25"/>
    <mergeCell ref="G31:J31"/>
    <mergeCell ref="O30:O31"/>
    <mergeCell ref="G38:J38"/>
    <mergeCell ref="O37:O38"/>
    <mergeCell ref="G28:O28"/>
    <mergeCell ref="G33:O33"/>
    <mergeCell ref="G25:J25"/>
    <mergeCell ref="G42:J42"/>
    <mergeCell ref="O41:O42"/>
    <mergeCell ref="G46:J46"/>
    <mergeCell ref="O45:O46"/>
    <mergeCell ref="G52:J52"/>
    <mergeCell ref="O51:O52"/>
    <mergeCell ref="G72:J72"/>
    <mergeCell ref="O71:O72"/>
    <mergeCell ref="G56:J56"/>
    <mergeCell ref="G60:J60"/>
    <mergeCell ref="O59:O60"/>
    <mergeCell ref="O55:O56"/>
    <mergeCell ref="G66:J66"/>
    <mergeCell ref="O65:O6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479"/>
  <sheetViews>
    <sheetView zoomScale="80" zoomScaleNormal="80" workbookViewId="0">
      <selection activeCell="I356" sqref="I356"/>
    </sheetView>
  </sheetViews>
  <sheetFormatPr baseColWidth="10" defaultRowHeight="15.75" x14ac:dyDescent="0.25"/>
  <cols>
    <col min="1" max="1" width="4.85546875" customWidth="1"/>
    <col min="3" max="3" width="43" style="3" customWidth="1"/>
    <col min="4" max="4" width="7.42578125" customWidth="1"/>
    <col min="6" max="6" width="17.85546875" customWidth="1"/>
    <col min="7" max="7" width="18.42578125" customWidth="1"/>
    <col min="11" max="11" width="13.28515625" customWidth="1"/>
    <col min="14" max="14" width="24.5703125" customWidth="1"/>
    <col min="15" max="15" width="32.28515625" style="3" customWidth="1"/>
    <col min="16" max="16" width="59.7109375" style="3" customWidth="1"/>
    <col min="17" max="19" width="11.42578125" style="3"/>
  </cols>
  <sheetData>
    <row r="1" spans="2:14" ht="16.5" thickBot="1" x14ac:dyDescent="0.3"/>
    <row r="2" spans="2:14" ht="16.5" thickBot="1" x14ac:dyDescent="0.3">
      <c r="B2" s="393" t="s">
        <v>606</v>
      </c>
      <c r="C2" s="394" t="s">
        <v>607</v>
      </c>
      <c r="D2" s="395" t="s">
        <v>53</v>
      </c>
      <c r="F2" s="866" t="s">
        <v>408</v>
      </c>
      <c r="G2" s="867"/>
      <c r="H2" s="867"/>
      <c r="I2" s="867"/>
      <c r="J2" s="867"/>
      <c r="K2" s="867"/>
      <c r="L2" s="867"/>
      <c r="M2" s="867"/>
      <c r="N2" s="868"/>
    </row>
    <row r="3" spans="2:14" ht="16.5" thickBot="1" x14ac:dyDescent="0.3">
      <c r="B3" s="945">
        <v>1</v>
      </c>
      <c r="C3" s="947" t="s">
        <v>521</v>
      </c>
      <c r="D3" s="948">
        <v>8</v>
      </c>
      <c r="F3" s="929" t="s">
        <v>410</v>
      </c>
      <c r="G3" s="930"/>
      <c r="H3" s="930"/>
      <c r="I3" s="930"/>
      <c r="J3" s="930"/>
      <c r="K3" s="930"/>
      <c r="L3" s="930"/>
      <c r="M3" s="930"/>
      <c r="N3" s="931"/>
    </row>
    <row r="4" spans="2:14" ht="48" thickBot="1" x14ac:dyDescent="0.3">
      <c r="B4" s="946"/>
      <c r="C4" s="947"/>
      <c r="D4" s="948"/>
      <c r="F4" s="473" t="s">
        <v>0</v>
      </c>
      <c r="G4" s="29" t="s">
        <v>1</v>
      </c>
      <c r="H4" s="473" t="s">
        <v>2</v>
      </c>
      <c r="I4" s="473" t="s">
        <v>164</v>
      </c>
      <c r="J4" s="473" t="s">
        <v>618</v>
      </c>
      <c r="K4" s="29" t="s">
        <v>759</v>
      </c>
      <c r="L4" s="473" t="s">
        <v>617</v>
      </c>
      <c r="M4" s="499" t="s">
        <v>643</v>
      </c>
      <c r="N4" s="31" t="s">
        <v>3</v>
      </c>
    </row>
    <row r="5" spans="2:14" ht="19.5" thickBot="1" x14ac:dyDescent="0.3">
      <c r="B5" s="391">
        <v>3</v>
      </c>
      <c r="C5" s="392" t="s">
        <v>528</v>
      </c>
      <c r="D5" s="948"/>
      <c r="F5" s="288" t="s">
        <v>182</v>
      </c>
      <c r="G5" s="242" t="s">
        <v>175</v>
      </c>
      <c r="H5" s="63">
        <v>18</v>
      </c>
      <c r="I5" s="63">
        <v>1</v>
      </c>
      <c r="J5" s="63">
        <v>375</v>
      </c>
      <c r="K5" s="179">
        <v>0</v>
      </c>
      <c r="L5" s="179">
        <f>J5</f>
        <v>375</v>
      </c>
      <c r="M5" s="63">
        <f>L5/I5</f>
        <v>375</v>
      </c>
      <c r="N5" s="953" t="s">
        <v>805</v>
      </c>
    </row>
    <row r="6" spans="2:14" ht="54" customHeight="1" thickBot="1" x14ac:dyDescent="0.3">
      <c r="B6" s="391">
        <v>4</v>
      </c>
      <c r="C6" s="560" t="s">
        <v>522</v>
      </c>
      <c r="D6" s="948"/>
      <c r="F6" s="289" t="s">
        <v>405</v>
      </c>
      <c r="G6" s="241" t="s">
        <v>188</v>
      </c>
      <c r="H6" s="60">
        <v>46</v>
      </c>
      <c r="I6" s="60">
        <v>0.9</v>
      </c>
      <c r="J6" s="60">
        <v>10</v>
      </c>
      <c r="K6" s="60">
        <v>0</v>
      </c>
      <c r="L6" s="60">
        <f>J6</f>
        <v>10</v>
      </c>
      <c r="M6" s="105">
        <f>L6/I6</f>
        <v>11.111111111111111</v>
      </c>
      <c r="N6" s="954"/>
    </row>
    <row r="7" spans="2:14" ht="69" customHeight="1" thickBot="1" x14ac:dyDescent="0.3">
      <c r="B7" s="391">
        <v>5</v>
      </c>
      <c r="C7" s="527" t="s">
        <v>523</v>
      </c>
      <c r="D7" s="948"/>
      <c r="F7" s="289" t="s">
        <v>342</v>
      </c>
      <c r="G7" s="528" t="s">
        <v>64</v>
      </c>
      <c r="H7" s="60">
        <v>58</v>
      </c>
      <c r="I7" s="60">
        <v>1.01</v>
      </c>
      <c r="J7" s="60">
        <v>10</v>
      </c>
      <c r="K7" s="60">
        <v>0</v>
      </c>
      <c r="L7" s="60">
        <f>J7</f>
        <v>10</v>
      </c>
      <c r="M7" s="105">
        <f>L7/I7</f>
        <v>9.9009900990099009</v>
      </c>
      <c r="N7" s="954"/>
    </row>
    <row r="8" spans="2:14" ht="19.5" thickBot="1" x14ac:dyDescent="0.3">
      <c r="B8" s="391">
        <v>6</v>
      </c>
      <c r="C8" s="392" t="s">
        <v>526</v>
      </c>
      <c r="D8" s="948"/>
      <c r="F8" s="290" t="s">
        <v>406</v>
      </c>
      <c r="G8" s="240" t="s">
        <v>339</v>
      </c>
      <c r="H8" s="64">
        <v>34</v>
      </c>
      <c r="I8" s="64">
        <v>1.45</v>
      </c>
      <c r="J8" s="64">
        <v>10</v>
      </c>
      <c r="K8" s="64">
        <v>0</v>
      </c>
      <c r="L8" s="64">
        <f>J8</f>
        <v>10</v>
      </c>
      <c r="M8" s="476">
        <f>L8/I8</f>
        <v>6.8965517241379315</v>
      </c>
      <c r="N8" s="954"/>
    </row>
    <row r="9" spans="2:14" ht="16.5" thickBot="1" x14ac:dyDescent="0.3">
      <c r="B9" s="391">
        <v>7</v>
      </c>
      <c r="C9" s="392" t="s">
        <v>525</v>
      </c>
      <c r="D9" s="948"/>
      <c r="F9" s="950" t="s">
        <v>53</v>
      </c>
      <c r="G9" s="951"/>
      <c r="H9" s="951"/>
      <c r="I9" s="952"/>
      <c r="J9" s="511">
        <f>SUM(J5:J8)</f>
        <v>405</v>
      </c>
      <c r="K9" s="71">
        <v>0</v>
      </c>
      <c r="L9" s="235">
        <f>SUM(L5:L8)</f>
        <v>405</v>
      </c>
      <c r="M9" s="522">
        <f>SUM(M5:M8)</f>
        <v>402.9086529342589</v>
      </c>
      <c r="N9" s="955"/>
    </row>
    <row r="10" spans="2:14" ht="16.5" thickBot="1" x14ac:dyDescent="0.3">
      <c r="B10" s="391">
        <v>8</v>
      </c>
      <c r="C10" s="392" t="s">
        <v>524</v>
      </c>
      <c r="D10" s="948"/>
    </row>
    <row r="11" spans="2:14" ht="36.75" customHeight="1" thickBot="1" x14ac:dyDescent="0.3">
      <c r="B11" s="391">
        <v>9</v>
      </c>
      <c r="C11" s="392" t="s">
        <v>527</v>
      </c>
      <c r="D11" s="949"/>
      <c r="F11" s="923" t="s">
        <v>409</v>
      </c>
      <c r="G11" s="924"/>
      <c r="H11" s="924"/>
      <c r="I11" s="924"/>
      <c r="J11" s="924"/>
      <c r="K11" s="924"/>
      <c r="L11" s="924"/>
      <c r="M11" s="924"/>
      <c r="N11" s="925"/>
    </row>
    <row r="12" spans="2:14" ht="16.5" thickBot="1" x14ac:dyDescent="0.3">
      <c r="F12" s="929" t="s">
        <v>410</v>
      </c>
      <c r="G12" s="930"/>
      <c r="H12" s="930"/>
      <c r="I12" s="930"/>
      <c r="J12" s="930"/>
      <c r="K12" s="930"/>
      <c r="L12" s="930"/>
      <c r="M12" s="930"/>
      <c r="N12" s="931"/>
    </row>
    <row r="13" spans="2:14" ht="48" customHeight="1" thickBot="1" x14ac:dyDescent="0.3">
      <c r="F13" s="473" t="s">
        <v>0</v>
      </c>
      <c r="G13" s="29" t="s">
        <v>1</v>
      </c>
      <c r="H13" s="473" t="s">
        <v>2</v>
      </c>
      <c r="I13" s="473" t="s">
        <v>164</v>
      </c>
      <c r="J13" s="473" t="s">
        <v>618</v>
      </c>
      <c r="K13" s="29" t="s">
        <v>651</v>
      </c>
      <c r="L13" s="473" t="s">
        <v>617</v>
      </c>
      <c r="M13" s="499" t="s">
        <v>643</v>
      </c>
      <c r="N13" s="31" t="s">
        <v>3</v>
      </c>
    </row>
    <row r="14" spans="2:14" ht="19.5" customHeight="1" x14ac:dyDescent="0.25">
      <c r="F14" s="288" t="s">
        <v>182</v>
      </c>
      <c r="G14" s="239" t="s">
        <v>175</v>
      </c>
      <c r="H14" s="63">
        <v>18</v>
      </c>
      <c r="I14" s="63">
        <v>1</v>
      </c>
      <c r="J14" s="63">
        <v>20</v>
      </c>
      <c r="K14" s="179">
        <v>0</v>
      </c>
      <c r="L14" s="179">
        <f>J14</f>
        <v>20</v>
      </c>
      <c r="M14" s="63">
        <f>L14/I14</f>
        <v>20</v>
      </c>
      <c r="N14" s="934" t="s">
        <v>803</v>
      </c>
    </row>
    <row r="15" spans="2:14" x14ac:dyDescent="0.25">
      <c r="F15" s="289" t="s">
        <v>341</v>
      </c>
      <c r="G15" s="188" t="s">
        <v>340</v>
      </c>
      <c r="H15" s="474">
        <v>42</v>
      </c>
      <c r="I15" s="60">
        <v>0.8</v>
      </c>
      <c r="J15" s="60">
        <v>2</v>
      </c>
      <c r="K15" s="60">
        <v>0</v>
      </c>
      <c r="L15" s="60">
        <f>J15</f>
        <v>2</v>
      </c>
      <c r="M15" s="105">
        <f>L15/I15</f>
        <v>2.5</v>
      </c>
      <c r="N15" s="935"/>
    </row>
    <row r="16" spans="2:14" ht="19.5" thickBot="1" x14ac:dyDescent="0.3">
      <c r="F16" s="290" t="s">
        <v>406</v>
      </c>
      <c r="G16" s="237" t="s">
        <v>339</v>
      </c>
      <c r="H16" s="238">
        <v>34</v>
      </c>
      <c r="I16" s="60">
        <v>1.45</v>
      </c>
      <c r="J16" s="60">
        <v>10</v>
      </c>
      <c r="K16" s="474">
        <v>0</v>
      </c>
      <c r="L16" s="60">
        <f>J16</f>
        <v>10</v>
      </c>
      <c r="M16" s="105">
        <f>L16/I16</f>
        <v>6.8965517241379315</v>
      </c>
      <c r="N16" s="935"/>
    </row>
    <row r="17" spans="6:16" ht="18.75" x14ac:dyDescent="0.25">
      <c r="F17" s="477" t="s">
        <v>309</v>
      </c>
      <c r="G17" s="236" t="s">
        <v>188</v>
      </c>
      <c r="H17" s="236">
        <v>46</v>
      </c>
      <c r="I17" s="474">
        <v>0.78900000000000003</v>
      </c>
      <c r="J17" s="236">
        <v>10</v>
      </c>
      <c r="K17" s="237">
        <v>0</v>
      </c>
      <c r="L17" s="236">
        <f>J17</f>
        <v>10</v>
      </c>
      <c r="M17" s="105">
        <f>L17/I17</f>
        <v>12.674271229404308</v>
      </c>
      <c r="N17" s="935"/>
    </row>
    <row r="18" spans="6:16" ht="16.5" thickBot="1" x14ac:dyDescent="0.3">
      <c r="F18" s="291" t="s">
        <v>308</v>
      </c>
      <c r="G18" s="184" t="s">
        <v>307</v>
      </c>
      <c r="H18" s="184">
        <v>101</v>
      </c>
      <c r="I18" s="184">
        <v>0.8</v>
      </c>
      <c r="J18" s="184">
        <v>10</v>
      </c>
      <c r="K18" s="184">
        <v>0</v>
      </c>
      <c r="L18" s="522">
        <f>J18</f>
        <v>10</v>
      </c>
      <c r="M18" s="522">
        <f>L18/I18</f>
        <v>12.5</v>
      </c>
      <c r="N18" s="935"/>
    </row>
    <row r="19" spans="6:16" ht="16.5" thickBot="1" x14ac:dyDescent="0.3">
      <c r="F19" s="932" t="s">
        <v>53</v>
      </c>
      <c r="G19" s="933"/>
      <c r="H19" s="933"/>
      <c r="I19" s="933"/>
      <c r="J19" s="235">
        <f>SUM(J14:J18)</f>
        <v>52</v>
      </c>
      <c r="K19" s="235">
        <v>0</v>
      </c>
      <c r="L19" s="235">
        <f>SUM(L14:L18)</f>
        <v>52</v>
      </c>
      <c r="M19" s="234">
        <f>SUM(M14:M18)</f>
        <v>54.57082295354224</v>
      </c>
      <c r="N19" s="936"/>
    </row>
    <row r="20" spans="6:16" ht="16.5" thickBot="1" x14ac:dyDescent="0.3"/>
    <row r="21" spans="6:16" ht="31.5" customHeight="1" thickBot="1" x14ac:dyDescent="0.3">
      <c r="F21" s="968" t="s">
        <v>411</v>
      </c>
      <c r="G21" s="969"/>
      <c r="H21" s="969"/>
      <c r="I21" s="969"/>
      <c r="J21" s="969"/>
      <c r="K21" s="969"/>
      <c r="L21" s="969"/>
      <c r="M21" s="969"/>
      <c r="N21" s="969"/>
      <c r="O21" s="970"/>
    </row>
    <row r="22" spans="6:16" ht="18" thickBot="1" x14ac:dyDescent="0.3">
      <c r="F22" s="971" t="s">
        <v>338</v>
      </c>
      <c r="G22" s="972"/>
      <c r="H22" s="972"/>
      <c r="I22" s="972"/>
      <c r="J22" s="972"/>
      <c r="K22" s="972"/>
      <c r="L22" s="972"/>
      <c r="M22" s="972"/>
      <c r="N22" s="972"/>
      <c r="O22" s="973"/>
    </row>
    <row r="23" spans="6:16" ht="54" customHeight="1" thickBot="1" x14ac:dyDescent="0.3">
      <c r="F23" s="457" t="s">
        <v>0</v>
      </c>
      <c r="G23" s="457" t="s">
        <v>1</v>
      </c>
      <c r="H23" s="457" t="s">
        <v>2</v>
      </c>
      <c r="I23" s="473" t="s">
        <v>164</v>
      </c>
      <c r="J23" s="457" t="s">
        <v>724</v>
      </c>
      <c r="K23" s="879" t="s">
        <v>766</v>
      </c>
      <c r="L23" s="880"/>
      <c r="M23" s="457" t="s">
        <v>619</v>
      </c>
      <c r="N23" s="459" t="s">
        <v>767</v>
      </c>
      <c r="O23" s="31" t="s">
        <v>3</v>
      </c>
    </row>
    <row r="24" spans="6:16" ht="18.75" x14ac:dyDescent="0.35">
      <c r="F24" s="288" t="s">
        <v>337</v>
      </c>
      <c r="G24" s="233" t="s">
        <v>336</v>
      </c>
      <c r="H24" s="521">
        <v>110</v>
      </c>
      <c r="I24" s="65">
        <v>2.15</v>
      </c>
      <c r="J24" s="503">
        <v>15</v>
      </c>
      <c r="K24" s="937">
        <f>J24</f>
        <v>15</v>
      </c>
      <c r="L24" s="938"/>
      <c r="M24" s="179">
        <f>J24-K24</f>
        <v>0</v>
      </c>
      <c r="N24" s="504">
        <f>M24/I24</f>
        <v>0</v>
      </c>
      <c r="O24" s="974" t="s">
        <v>784</v>
      </c>
    </row>
    <row r="25" spans="6:16" ht="30" customHeight="1" x14ac:dyDescent="0.35">
      <c r="F25" s="289" t="s">
        <v>407</v>
      </c>
      <c r="G25" s="178" t="s">
        <v>335</v>
      </c>
      <c r="H25" s="178">
        <v>124.09</v>
      </c>
      <c r="I25" s="66">
        <v>1.5</v>
      </c>
      <c r="J25" s="469">
        <v>75</v>
      </c>
      <c r="K25" s="881">
        <f>((J24)*(1/H24)*(1/1)*(H25/1))</f>
        <v>16.921363636363637</v>
      </c>
      <c r="L25" s="882"/>
      <c r="M25" s="60">
        <f>J25-K25</f>
        <v>58.078636363636363</v>
      </c>
      <c r="N25" s="507">
        <f>M25/I25</f>
        <v>38.719090909090909</v>
      </c>
      <c r="O25" s="975"/>
      <c r="P25" s="539"/>
    </row>
    <row r="26" spans="6:16" ht="18.75" x14ac:dyDescent="0.35">
      <c r="F26" s="289" t="s">
        <v>334</v>
      </c>
      <c r="G26" s="178" t="s">
        <v>333</v>
      </c>
      <c r="H26" s="105">
        <v>128</v>
      </c>
      <c r="I26" s="66">
        <v>2.12</v>
      </c>
      <c r="J26" s="231">
        <v>0</v>
      </c>
      <c r="K26" s="490">
        <f>((J24)*(1/H24)*(1/1)*(H26/1))</f>
        <v>17.454545454545453</v>
      </c>
      <c r="L26" s="491">
        <f>J25*((1/H25)*(1/1)*(H26/1))</f>
        <v>77.363204126037544</v>
      </c>
      <c r="M26" s="60">
        <f>K26</f>
        <v>17.454545454545453</v>
      </c>
      <c r="N26" s="105">
        <f>M26/I26</f>
        <v>8.2332761578044593</v>
      </c>
      <c r="O26" s="975"/>
    </row>
    <row r="27" spans="6:16" ht="40.5" customHeight="1" thickBot="1" x14ac:dyDescent="0.3">
      <c r="F27" s="290" t="s">
        <v>34</v>
      </c>
      <c r="G27" s="191" t="s">
        <v>332</v>
      </c>
      <c r="H27" s="64">
        <v>53.49</v>
      </c>
      <c r="I27" s="488">
        <v>1.53</v>
      </c>
      <c r="J27" s="225">
        <v>0</v>
      </c>
      <c r="K27" s="230">
        <f>(J24/H24)*(2/1)*(H27/1)</f>
        <v>14.588181818181818</v>
      </c>
      <c r="L27" s="229">
        <f>J25*((1/H25)*(1/1)*(H27/1))</f>
        <v>32.329357724232409</v>
      </c>
      <c r="M27" s="474">
        <f>K27</f>
        <v>14.588181818181818</v>
      </c>
      <c r="N27" s="507">
        <f>M27/I27</f>
        <v>9.5347593582887704</v>
      </c>
      <c r="O27" s="975"/>
    </row>
    <row r="28" spans="6:16" ht="16.5" thickBot="1" x14ac:dyDescent="0.3">
      <c r="F28" s="965" t="s">
        <v>53</v>
      </c>
      <c r="G28" s="966"/>
      <c r="H28" s="966"/>
      <c r="I28" s="967"/>
      <c r="J28" s="455">
        <f>J24+J25</f>
        <v>90</v>
      </c>
      <c r="K28" s="50">
        <f>SUM(K24:L25)-SUM(K26:K27)</f>
        <v>-0.12136363636363257</v>
      </c>
      <c r="L28" s="228">
        <f>SUM(K24:L25)-SUM(L26:L27)</f>
        <v>-77.771198213906317</v>
      </c>
      <c r="M28" s="101">
        <f>SUM(M24:M27)</f>
        <v>90.12136363636364</v>
      </c>
      <c r="N28" s="1">
        <f>SUM(N24:N27)</f>
        <v>56.487126425184144</v>
      </c>
      <c r="O28" s="976"/>
    </row>
    <row r="29" spans="6:16" x14ac:dyDescent="0.25">
      <c r="F29" s="956"/>
      <c r="G29" s="956"/>
      <c r="H29" s="956"/>
      <c r="I29" s="956"/>
      <c r="J29" s="956"/>
      <c r="K29" s="956"/>
      <c r="L29" s="956"/>
      <c r="M29" s="956"/>
      <c r="N29" s="956"/>
      <c r="O29" s="956"/>
    </row>
    <row r="30" spans="6:16" ht="16.5" thickBot="1" x14ac:dyDescent="0.3">
      <c r="F30" s="961" t="s">
        <v>614</v>
      </c>
      <c r="G30" s="961"/>
      <c r="H30" s="961"/>
      <c r="I30" s="961"/>
      <c r="J30" s="961"/>
      <c r="K30" s="961"/>
      <c r="L30" s="961"/>
      <c r="M30" s="961"/>
      <c r="N30" s="961"/>
      <c r="O30" s="961"/>
      <c r="P30" s="961"/>
    </row>
    <row r="31" spans="6:16" ht="18" thickBot="1" x14ac:dyDescent="0.35">
      <c r="F31" s="962" t="s">
        <v>331</v>
      </c>
      <c r="G31" s="963"/>
      <c r="H31" s="963"/>
      <c r="I31" s="963"/>
      <c r="J31" s="963"/>
      <c r="K31" s="963"/>
      <c r="L31" s="963"/>
      <c r="M31" s="963"/>
      <c r="N31" s="963"/>
      <c r="O31" s="963"/>
      <c r="P31" s="964"/>
    </row>
    <row r="32" spans="6:16" ht="52.5" customHeight="1" thickBot="1" x14ac:dyDescent="0.3">
      <c r="F32" s="457" t="s">
        <v>0</v>
      </c>
      <c r="G32" s="457" t="s">
        <v>1</v>
      </c>
      <c r="H32" s="457" t="s">
        <v>2</v>
      </c>
      <c r="I32" s="473" t="s">
        <v>164</v>
      </c>
      <c r="J32" s="457" t="s">
        <v>723</v>
      </c>
      <c r="K32" s="957" t="s">
        <v>763</v>
      </c>
      <c r="L32" s="957"/>
      <c r="M32" s="957"/>
      <c r="N32" s="459" t="s">
        <v>764</v>
      </c>
      <c r="O32" s="556" t="s">
        <v>765</v>
      </c>
      <c r="P32" s="31" t="s">
        <v>3</v>
      </c>
    </row>
    <row r="33" spans="6:16" ht="19.5" thickBot="1" x14ac:dyDescent="0.4">
      <c r="F33" s="293" t="s">
        <v>313</v>
      </c>
      <c r="G33" s="180" t="s">
        <v>330</v>
      </c>
      <c r="H33" s="105">
        <v>60</v>
      </c>
      <c r="I33" s="65">
        <v>1.6</v>
      </c>
      <c r="J33" s="63">
        <v>2</v>
      </c>
      <c r="K33" s="977">
        <f>J33</f>
        <v>2</v>
      </c>
      <c r="L33" s="978"/>
      <c r="M33" s="979"/>
      <c r="N33" s="179">
        <f>J33-K33</f>
        <v>0</v>
      </c>
      <c r="O33" s="179">
        <f>N33/I33</f>
        <v>0</v>
      </c>
      <c r="P33" s="959" t="s">
        <v>807</v>
      </c>
    </row>
    <row r="34" spans="6:16" ht="16.5" thickBot="1" x14ac:dyDescent="0.3">
      <c r="F34" s="289" t="s">
        <v>329</v>
      </c>
      <c r="G34" s="107" t="s">
        <v>81</v>
      </c>
      <c r="H34" s="60">
        <v>58</v>
      </c>
      <c r="I34" s="66">
        <v>2.16</v>
      </c>
      <c r="J34" s="60">
        <v>2</v>
      </c>
      <c r="K34" s="881">
        <f>J34</f>
        <v>2</v>
      </c>
      <c r="L34" s="980"/>
      <c r="M34" s="882"/>
      <c r="N34" s="60">
        <f>J34-K34</f>
        <v>0</v>
      </c>
      <c r="O34" s="60">
        <f>N34/I34</f>
        <v>0</v>
      </c>
      <c r="P34" s="960"/>
    </row>
    <row r="35" spans="6:16" ht="19.5" thickBot="1" x14ac:dyDescent="0.3">
      <c r="F35" s="289" t="s">
        <v>182</v>
      </c>
      <c r="G35" s="475" t="s">
        <v>175</v>
      </c>
      <c r="H35" s="60">
        <v>18</v>
      </c>
      <c r="I35" s="66">
        <v>1</v>
      </c>
      <c r="J35" s="60">
        <v>20</v>
      </c>
      <c r="K35" s="881">
        <f>(J34)*(1/H34)*(1/2)*(H35/1)</f>
        <v>0.31034482758620691</v>
      </c>
      <c r="L35" s="980"/>
      <c r="M35" s="882"/>
      <c r="N35" s="60">
        <f>J35-K35</f>
        <v>19.689655172413794</v>
      </c>
      <c r="O35" s="60">
        <f>N35/I35</f>
        <v>19.689655172413794</v>
      </c>
      <c r="P35" s="960"/>
    </row>
    <row r="36" spans="6:16" ht="32.25" thickBot="1" x14ac:dyDescent="0.3">
      <c r="F36" s="289" t="s">
        <v>154</v>
      </c>
      <c r="G36" s="107" t="s">
        <v>272</v>
      </c>
      <c r="H36" s="60">
        <v>36.4</v>
      </c>
      <c r="I36" s="66">
        <v>0.11799999999999999</v>
      </c>
      <c r="J36" s="60">
        <v>0</v>
      </c>
      <c r="K36" s="490">
        <f>(J33/H33)*(2/1)*(H36/1)</f>
        <v>2.4266666666666667</v>
      </c>
      <c r="L36" s="39">
        <f>(J34/H34)*(2/2)*(H36/1)</f>
        <v>1.2551724137931033</v>
      </c>
      <c r="M36" s="569">
        <f>(J35/H35)*(2/1)*(H36/1)</f>
        <v>80.888888888888886</v>
      </c>
      <c r="N36" s="60">
        <f>L36</f>
        <v>1.2551724137931033</v>
      </c>
      <c r="O36" s="60">
        <f>N36/I36</f>
        <v>10.637054354178842</v>
      </c>
      <c r="P36" s="960"/>
    </row>
    <row r="37" spans="6:16" ht="19.5" thickBot="1" x14ac:dyDescent="0.4">
      <c r="F37" s="290" t="s">
        <v>328</v>
      </c>
      <c r="G37" s="468" t="s">
        <v>327</v>
      </c>
      <c r="H37" s="64">
        <v>122</v>
      </c>
      <c r="I37" s="488">
        <v>2.4</v>
      </c>
      <c r="J37" s="64">
        <v>0</v>
      </c>
      <c r="K37" s="515">
        <f>(J33/H33)*(1/1)*(H37/1)</f>
        <v>4.0666666666666664</v>
      </c>
      <c r="L37" s="442">
        <f>(J34/H34)*(1/2)*(H37/1)</f>
        <v>2.103448275862069</v>
      </c>
      <c r="M37" s="569">
        <f>(J35/H35)*(1/1)*(H37/1)</f>
        <v>135.55555555555557</v>
      </c>
      <c r="N37" s="474">
        <f>L37</f>
        <v>2.103448275862069</v>
      </c>
      <c r="O37" s="474">
        <f>N37/I37</f>
        <v>0.87643678160919547</v>
      </c>
      <c r="P37" s="960"/>
    </row>
    <row r="38" spans="6:16" ht="16.5" thickBot="1" x14ac:dyDescent="0.3">
      <c r="F38" s="941" t="s">
        <v>53</v>
      </c>
      <c r="G38" s="942"/>
      <c r="H38" s="942"/>
      <c r="I38" s="958"/>
      <c r="J38" s="468">
        <f>SUM(J33:J37)</f>
        <v>24</v>
      </c>
      <c r="K38" s="512">
        <f>SUM(K33:M35)-SUM(K36:K37)</f>
        <v>-2.1829885057471259</v>
      </c>
      <c r="L38" s="468">
        <f>SUM(K33:M35)-SUM(L36:L37)</f>
        <v>0.95172413793103505</v>
      </c>
      <c r="M38" s="468">
        <f>SUM(K33:M35)-SUM(M36:M37)</f>
        <v>-212.13409961685824</v>
      </c>
      <c r="N38" s="1">
        <f t="shared" ref="N38:O38" si="0">SUM(N33:N37)</f>
        <v>23.048275862068966</v>
      </c>
      <c r="O38" s="1">
        <f t="shared" si="0"/>
        <v>31.203146308201834</v>
      </c>
      <c r="P38" s="960"/>
    </row>
    <row r="39" spans="6:16" x14ac:dyDescent="0.25">
      <c r="F39" s="940"/>
      <c r="G39" s="940"/>
      <c r="H39" s="940"/>
      <c r="I39" s="940"/>
      <c r="J39" s="940"/>
      <c r="K39" s="940"/>
      <c r="L39" s="940"/>
      <c r="M39" s="940"/>
      <c r="N39" s="940"/>
      <c r="O39" s="940"/>
      <c r="P39" s="940"/>
    </row>
    <row r="40" spans="6:16" ht="16.5" thickBot="1" x14ac:dyDescent="0.3">
      <c r="F40" s="944" t="s">
        <v>615</v>
      </c>
      <c r="G40" s="944"/>
      <c r="H40" s="944"/>
      <c r="I40" s="944"/>
      <c r="J40" s="944"/>
      <c r="K40" s="944"/>
      <c r="L40" s="944"/>
      <c r="M40" s="944"/>
      <c r="N40" s="944"/>
    </row>
    <row r="41" spans="6:16" ht="16.5" thickBot="1" x14ac:dyDescent="0.3">
      <c r="F41" s="929" t="s">
        <v>410</v>
      </c>
      <c r="G41" s="930"/>
      <c r="H41" s="930"/>
      <c r="I41" s="930"/>
      <c r="J41" s="930"/>
      <c r="K41" s="930"/>
      <c r="L41" s="930"/>
      <c r="M41" s="930"/>
      <c r="N41" s="931"/>
    </row>
    <row r="42" spans="6:16" ht="48" thickBot="1" x14ac:dyDescent="0.3">
      <c r="F42" s="473" t="s">
        <v>0</v>
      </c>
      <c r="G42" s="29" t="s">
        <v>1</v>
      </c>
      <c r="H42" s="473" t="s">
        <v>2</v>
      </c>
      <c r="I42" s="473" t="s">
        <v>164</v>
      </c>
      <c r="J42" s="473" t="s">
        <v>725</v>
      </c>
      <c r="K42" s="29" t="s">
        <v>762</v>
      </c>
      <c r="L42" s="473" t="s">
        <v>375</v>
      </c>
      <c r="M42" s="499" t="s">
        <v>646</v>
      </c>
      <c r="N42" s="31" t="s">
        <v>3</v>
      </c>
    </row>
    <row r="43" spans="6:16" ht="19.5" thickBot="1" x14ac:dyDescent="0.3">
      <c r="F43" s="288" t="s">
        <v>45</v>
      </c>
      <c r="G43" s="63" t="s">
        <v>175</v>
      </c>
      <c r="H43" s="63">
        <v>18</v>
      </c>
      <c r="I43" s="63">
        <v>1</v>
      </c>
      <c r="J43" s="63">
        <v>50</v>
      </c>
      <c r="K43" s="179">
        <v>0</v>
      </c>
      <c r="L43" s="63">
        <f>J43</f>
        <v>50</v>
      </c>
      <c r="M43" s="466">
        <f>L43/I43</f>
        <v>50</v>
      </c>
      <c r="N43" s="943" t="s">
        <v>804</v>
      </c>
    </row>
    <row r="44" spans="6:16" ht="19.5" thickBot="1" x14ac:dyDescent="0.3">
      <c r="F44" s="289" t="s">
        <v>184</v>
      </c>
      <c r="G44" s="226" t="s">
        <v>326</v>
      </c>
      <c r="H44" s="60">
        <v>282</v>
      </c>
      <c r="I44" s="60">
        <v>0.84</v>
      </c>
      <c r="J44" s="60">
        <v>25</v>
      </c>
      <c r="K44" s="60">
        <v>0</v>
      </c>
      <c r="L44" s="60">
        <f>J44</f>
        <v>25</v>
      </c>
      <c r="M44" s="470">
        <f>L44/I44</f>
        <v>29.761904761904763</v>
      </c>
      <c r="N44" s="943"/>
    </row>
    <row r="45" spans="6:16" ht="19.5" thickBot="1" x14ac:dyDescent="0.4">
      <c r="F45" s="479" t="s">
        <v>309</v>
      </c>
      <c r="G45" s="223" t="s">
        <v>90</v>
      </c>
      <c r="H45" s="64">
        <v>46</v>
      </c>
      <c r="I45" s="64">
        <v>0.78900000000000003</v>
      </c>
      <c r="J45" s="64">
        <v>25</v>
      </c>
      <c r="K45" s="64">
        <v>0</v>
      </c>
      <c r="L45" s="64">
        <f>J45</f>
        <v>25</v>
      </c>
      <c r="M45" s="470">
        <f>L45/I45</f>
        <v>31.685678073510772</v>
      </c>
      <c r="N45" s="943"/>
    </row>
    <row r="46" spans="6:16" ht="16.5" thickBot="1" x14ac:dyDescent="0.3">
      <c r="F46" s="941" t="s">
        <v>53</v>
      </c>
      <c r="G46" s="942"/>
      <c r="H46" s="942"/>
      <c r="I46" s="942"/>
      <c r="J46" s="455">
        <f>SUM(J43:J45)</f>
        <v>100</v>
      </c>
      <c r="K46" s="467">
        <f>SUM(K43:K45)</f>
        <v>0</v>
      </c>
      <c r="L46" s="455">
        <f>SUM(L43:L45)</f>
        <v>100</v>
      </c>
      <c r="M46" s="101">
        <f>SUM(M43:M45)</f>
        <v>111.44758283541553</v>
      </c>
      <c r="N46" s="943"/>
    </row>
    <row r="48" spans="6:16" ht="16.5" thickBot="1" x14ac:dyDescent="0.3">
      <c r="F48" s="939" t="s">
        <v>622</v>
      </c>
      <c r="G48" s="939"/>
      <c r="H48" s="939"/>
      <c r="I48" s="939"/>
      <c r="J48" s="939"/>
      <c r="K48" s="939"/>
      <c r="L48" s="939"/>
      <c r="M48" s="939"/>
      <c r="N48" s="939"/>
    </row>
    <row r="49" spans="6:15" ht="16.5" thickBot="1" x14ac:dyDescent="0.3">
      <c r="F49" s="929" t="s">
        <v>412</v>
      </c>
      <c r="G49" s="930"/>
      <c r="H49" s="930"/>
      <c r="I49" s="930"/>
      <c r="J49" s="930"/>
      <c r="K49" s="930"/>
      <c r="L49" s="930"/>
      <c r="M49" s="930"/>
      <c r="N49" s="931"/>
      <c r="O49" s="417"/>
    </row>
    <row r="50" spans="6:15" ht="48" thickBot="1" x14ac:dyDescent="0.3">
      <c r="F50" s="473" t="s">
        <v>0</v>
      </c>
      <c r="G50" s="29" t="s">
        <v>1</v>
      </c>
      <c r="H50" s="473" t="s">
        <v>2</v>
      </c>
      <c r="I50" s="473" t="s">
        <v>164</v>
      </c>
      <c r="J50" s="473" t="s">
        <v>618</v>
      </c>
      <c r="K50" s="612" t="s">
        <v>762</v>
      </c>
      <c r="L50" s="473" t="s">
        <v>375</v>
      </c>
      <c r="M50" s="499" t="s">
        <v>646</v>
      </c>
      <c r="N50" s="31" t="s">
        <v>3</v>
      </c>
    </row>
    <row r="51" spans="6:15" ht="19.5" thickBot="1" x14ac:dyDescent="0.3">
      <c r="F51" s="288" t="s">
        <v>325</v>
      </c>
      <c r="G51" s="58" t="s">
        <v>324</v>
      </c>
      <c r="H51" s="63">
        <v>86</v>
      </c>
      <c r="I51" s="498">
        <v>0.65</v>
      </c>
      <c r="J51" s="60">
        <v>10</v>
      </c>
      <c r="K51" s="166">
        <v>0</v>
      </c>
      <c r="L51" s="60">
        <f>J51</f>
        <v>10</v>
      </c>
      <c r="M51" s="466">
        <f t="shared" ref="M51:M56" si="1">L51/I51</f>
        <v>15.384615384615383</v>
      </c>
      <c r="N51" s="959" t="s">
        <v>808</v>
      </c>
    </row>
    <row r="52" spans="6:15" ht="19.5" thickBot="1" x14ac:dyDescent="0.4">
      <c r="F52" s="289" t="s">
        <v>5</v>
      </c>
      <c r="G52" s="197" t="s">
        <v>90</v>
      </c>
      <c r="H52" s="60">
        <v>282</v>
      </c>
      <c r="I52" s="469">
        <v>0.84</v>
      </c>
      <c r="J52" s="60">
        <v>10</v>
      </c>
      <c r="K52" s="166">
        <v>0</v>
      </c>
      <c r="L52" s="60">
        <f>J52</f>
        <v>10</v>
      </c>
      <c r="M52" s="466">
        <f t="shared" si="1"/>
        <v>11.904761904761905</v>
      </c>
      <c r="N52" s="960"/>
    </row>
    <row r="53" spans="6:15" ht="19.5" thickBot="1" x14ac:dyDescent="0.4">
      <c r="F53" s="293" t="s">
        <v>60</v>
      </c>
      <c r="G53" s="214" t="s">
        <v>310</v>
      </c>
      <c r="H53" s="60">
        <v>58</v>
      </c>
      <c r="I53" s="469">
        <v>0.88</v>
      </c>
      <c r="J53" s="60">
        <v>10</v>
      </c>
      <c r="K53" s="166">
        <v>0</v>
      </c>
      <c r="L53" s="60">
        <f>J53</f>
        <v>10</v>
      </c>
      <c r="M53" s="482">
        <f t="shared" si="1"/>
        <v>11.363636363636363</v>
      </c>
      <c r="N53" s="960"/>
    </row>
    <row r="54" spans="6:15" ht="19.5" thickBot="1" x14ac:dyDescent="0.3">
      <c r="F54" s="477" t="s">
        <v>45</v>
      </c>
      <c r="G54" s="60" t="s">
        <v>175</v>
      </c>
      <c r="H54" s="60">
        <v>18</v>
      </c>
      <c r="I54" s="469">
        <v>1</v>
      </c>
      <c r="J54" s="60">
        <v>10</v>
      </c>
      <c r="K54" s="166">
        <v>0</v>
      </c>
      <c r="L54" s="60">
        <f>J54</f>
        <v>10</v>
      </c>
      <c r="M54" s="196">
        <f t="shared" si="1"/>
        <v>10</v>
      </c>
      <c r="N54" s="960"/>
    </row>
    <row r="55" spans="6:15" ht="19.5" thickBot="1" x14ac:dyDescent="0.3">
      <c r="F55" s="477" t="s">
        <v>323</v>
      </c>
      <c r="G55" s="59" t="s">
        <v>322</v>
      </c>
      <c r="H55" s="474">
        <v>88</v>
      </c>
      <c r="I55" s="225">
        <v>0.9</v>
      </c>
      <c r="J55" s="60">
        <v>10</v>
      </c>
      <c r="K55" s="166">
        <v>0</v>
      </c>
      <c r="L55" s="60">
        <f t="shared" ref="L55:L56" si="2">J55</f>
        <v>10</v>
      </c>
      <c r="M55" s="166">
        <f t="shared" si="1"/>
        <v>11.111111111111111</v>
      </c>
      <c r="N55" s="960"/>
    </row>
    <row r="56" spans="6:15" ht="19.5" thickBot="1" x14ac:dyDescent="0.3">
      <c r="F56" s="290" t="s">
        <v>321</v>
      </c>
      <c r="G56" s="191" t="s">
        <v>320</v>
      </c>
      <c r="H56" s="104">
        <v>74</v>
      </c>
      <c r="I56" s="501">
        <v>0.71</v>
      </c>
      <c r="J56" s="64">
        <v>10</v>
      </c>
      <c r="K56" s="162">
        <v>0</v>
      </c>
      <c r="L56" s="64">
        <f t="shared" si="2"/>
        <v>10</v>
      </c>
      <c r="M56" s="466">
        <f t="shared" si="1"/>
        <v>14.084507042253522</v>
      </c>
      <c r="N56" s="960"/>
    </row>
    <row r="57" spans="6:15" ht="16.5" thickBot="1" x14ac:dyDescent="0.3">
      <c r="F57" s="965" t="s">
        <v>53</v>
      </c>
      <c r="G57" s="966"/>
      <c r="H57" s="966"/>
      <c r="I57" s="967"/>
      <c r="J57" s="513">
        <f>SUM(J51:J56)</f>
        <v>60</v>
      </c>
      <c r="K57" s="161">
        <f>SUM(K51:K56)</f>
        <v>0</v>
      </c>
      <c r="L57" s="513">
        <f>SUM(L51:L56)</f>
        <v>60</v>
      </c>
      <c r="M57" s="455">
        <f>SUM(M51:M56)</f>
        <v>73.848631806378279</v>
      </c>
      <c r="N57" s="960"/>
    </row>
    <row r="58" spans="6:15" x14ac:dyDescent="0.25">
      <c r="F58" s="940"/>
      <c r="G58" s="940"/>
      <c r="H58" s="940"/>
      <c r="I58" s="940"/>
      <c r="J58" s="940"/>
      <c r="K58" s="940"/>
      <c r="L58" s="940"/>
      <c r="M58" s="940"/>
      <c r="N58" s="940"/>
    </row>
    <row r="59" spans="6:15" ht="16.5" thickBot="1" x14ac:dyDescent="0.3">
      <c r="F59" s="981" t="s">
        <v>614</v>
      </c>
      <c r="G59" s="981"/>
      <c r="H59" s="981"/>
      <c r="I59" s="981"/>
      <c r="J59" s="981"/>
      <c r="K59" s="981"/>
      <c r="L59" s="981"/>
      <c r="M59" s="981"/>
      <c r="N59" s="981"/>
    </row>
    <row r="60" spans="6:15" ht="16.5" thickBot="1" x14ac:dyDescent="0.3">
      <c r="F60" s="929" t="s">
        <v>412</v>
      </c>
      <c r="G60" s="930"/>
      <c r="H60" s="930"/>
      <c r="I60" s="930"/>
      <c r="J60" s="930"/>
      <c r="K60" s="930"/>
      <c r="L60" s="930"/>
      <c r="M60" s="930"/>
      <c r="N60" s="931"/>
    </row>
    <row r="61" spans="6:15" ht="48" thickBot="1" x14ac:dyDescent="0.3">
      <c r="F61" s="473" t="s">
        <v>0</v>
      </c>
      <c r="G61" s="29" t="s">
        <v>1</v>
      </c>
      <c r="H61" s="473" t="s">
        <v>2</v>
      </c>
      <c r="I61" s="473" t="s">
        <v>164</v>
      </c>
      <c r="J61" s="645" t="s">
        <v>618</v>
      </c>
      <c r="K61" s="612" t="s">
        <v>762</v>
      </c>
      <c r="L61" s="473" t="s">
        <v>375</v>
      </c>
      <c r="M61" s="499" t="s">
        <v>646</v>
      </c>
      <c r="N61" s="31" t="s">
        <v>3</v>
      </c>
    </row>
    <row r="62" spans="6:15" x14ac:dyDescent="0.25">
      <c r="F62" s="326" t="s">
        <v>380</v>
      </c>
      <c r="G62" s="337" t="s">
        <v>351</v>
      </c>
      <c r="H62" s="336" t="s">
        <v>361</v>
      </c>
      <c r="I62" s="81">
        <v>0.94</v>
      </c>
      <c r="J62" s="81">
        <v>100</v>
      </c>
      <c r="K62" s="471">
        <v>0</v>
      </c>
      <c r="L62" s="224">
        <f>J62</f>
        <v>100</v>
      </c>
      <c r="M62" s="493">
        <f>L62/I62</f>
        <v>106.38297872340426</v>
      </c>
      <c r="N62" s="934" t="s">
        <v>806</v>
      </c>
    </row>
    <row r="63" spans="6:15" ht="19.5" thickBot="1" x14ac:dyDescent="0.3">
      <c r="F63" s="486" t="s">
        <v>182</v>
      </c>
      <c r="G63" s="474" t="s">
        <v>175</v>
      </c>
      <c r="H63" s="485">
        <v>1</v>
      </c>
      <c r="I63" s="488">
        <v>1</v>
      </c>
      <c r="J63" s="485">
        <v>100</v>
      </c>
      <c r="K63" s="218">
        <v>0</v>
      </c>
      <c r="L63" s="485">
        <f>J63</f>
        <v>100</v>
      </c>
      <c r="M63" s="213">
        <f>L63/I63</f>
        <v>100</v>
      </c>
      <c r="N63" s="935"/>
    </row>
    <row r="64" spans="6:15" x14ac:dyDescent="0.25">
      <c r="F64" s="986" t="s">
        <v>53</v>
      </c>
      <c r="G64" s="987"/>
      <c r="H64" s="987"/>
      <c r="I64" s="987"/>
      <c r="J64" s="990">
        <f>SUM(J62:J63)</f>
        <v>200</v>
      </c>
      <c r="K64" s="990">
        <f>SUM(K62:K63)</f>
        <v>0</v>
      </c>
      <c r="L64" s="990">
        <f>SUM(L62:L63)</f>
        <v>200</v>
      </c>
      <c r="M64" s="992">
        <f>SUM(M62:M63)</f>
        <v>206.38297872340428</v>
      </c>
      <c r="N64" s="935"/>
    </row>
    <row r="65" spans="6:16" ht="16.5" thickBot="1" x14ac:dyDescent="0.3">
      <c r="F65" s="988"/>
      <c r="G65" s="989"/>
      <c r="H65" s="989"/>
      <c r="I65" s="989"/>
      <c r="J65" s="991"/>
      <c r="K65" s="991"/>
      <c r="L65" s="991"/>
      <c r="M65" s="993"/>
      <c r="N65" s="936"/>
    </row>
    <row r="67" spans="6:16" ht="17.25" customHeight="1" thickBot="1" x14ac:dyDescent="0.3">
      <c r="F67" s="939" t="s">
        <v>413</v>
      </c>
      <c r="G67" s="939"/>
      <c r="H67" s="939"/>
      <c r="I67" s="939"/>
      <c r="J67" s="939"/>
      <c r="K67" s="939"/>
      <c r="L67" s="939"/>
      <c r="M67" s="939"/>
      <c r="N67" s="939"/>
      <c r="O67" s="939"/>
    </row>
    <row r="68" spans="6:16" ht="18" thickBot="1" x14ac:dyDescent="0.3">
      <c r="F68" s="971" t="s">
        <v>319</v>
      </c>
      <c r="G68" s="972"/>
      <c r="H68" s="972"/>
      <c r="I68" s="972"/>
      <c r="J68" s="972"/>
      <c r="K68" s="972"/>
      <c r="L68" s="972"/>
      <c r="M68" s="972"/>
      <c r="N68" s="972"/>
      <c r="O68" s="973"/>
    </row>
    <row r="69" spans="6:16" ht="48" thickBot="1" x14ac:dyDescent="0.3">
      <c r="F69" s="473" t="s">
        <v>0</v>
      </c>
      <c r="G69" s="473" t="s">
        <v>1</v>
      </c>
      <c r="H69" s="473" t="s">
        <v>2</v>
      </c>
      <c r="I69" s="473" t="s">
        <v>164</v>
      </c>
      <c r="J69" s="645" t="s">
        <v>618</v>
      </c>
      <c r="K69" s="982" t="s">
        <v>760</v>
      </c>
      <c r="L69" s="983"/>
      <c r="M69" s="645" t="s">
        <v>617</v>
      </c>
      <c r="N69" s="644" t="s">
        <v>761</v>
      </c>
      <c r="O69" s="31" t="s">
        <v>3</v>
      </c>
    </row>
    <row r="70" spans="6:16" ht="16.5" thickBot="1" x14ac:dyDescent="0.3">
      <c r="F70" s="293" t="s">
        <v>318</v>
      </c>
      <c r="G70" s="58" t="s">
        <v>81</v>
      </c>
      <c r="H70" s="105">
        <v>58</v>
      </c>
      <c r="I70" s="105">
        <v>2.16</v>
      </c>
      <c r="J70" s="105">
        <v>5</v>
      </c>
      <c r="K70" s="984">
        <v>5</v>
      </c>
      <c r="L70" s="985"/>
      <c r="M70" s="105">
        <f>J70-K70</f>
        <v>0</v>
      </c>
      <c r="N70" s="179">
        <f>M70/I70</f>
        <v>0</v>
      </c>
      <c r="O70" s="976" t="s">
        <v>785</v>
      </c>
    </row>
    <row r="71" spans="6:16" ht="19.5" thickBot="1" x14ac:dyDescent="0.3">
      <c r="F71" s="289" t="s">
        <v>182</v>
      </c>
      <c r="G71" s="475" t="s">
        <v>175</v>
      </c>
      <c r="H71" s="60">
        <v>18</v>
      </c>
      <c r="I71" s="60">
        <v>1</v>
      </c>
      <c r="J71" s="60">
        <v>20</v>
      </c>
      <c r="K71" s="881">
        <f>(J70/H70)*(1/1)*(H71/1)</f>
        <v>1.5517241379310347</v>
      </c>
      <c r="L71" s="882"/>
      <c r="M71" s="60">
        <f>J71-K71</f>
        <v>18.448275862068964</v>
      </c>
      <c r="N71" s="60">
        <f>M71/I71</f>
        <v>18.448275862068964</v>
      </c>
      <c r="O71" s="959"/>
    </row>
    <row r="72" spans="6:16" ht="29.25" customHeight="1" thickBot="1" x14ac:dyDescent="0.3">
      <c r="F72" s="289" t="s">
        <v>83</v>
      </c>
      <c r="G72" s="59" t="s">
        <v>85</v>
      </c>
      <c r="H72" s="60">
        <v>40</v>
      </c>
      <c r="I72" s="60">
        <v>2.13</v>
      </c>
      <c r="J72" s="60">
        <v>0</v>
      </c>
      <c r="K72" s="490">
        <f>(J70/H70)*(1/1)*(H72/1)</f>
        <v>3.4482758620689657</v>
      </c>
      <c r="L72" s="491">
        <f>(J71/H71)*(1/1)*(H72/1)</f>
        <v>44.444444444444443</v>
      </c>
      <c r="M72" s="60">
        <f>K72</f>
        <v>3.4482758620689657</v>
      </c>
      <c r="N72" s="60">
        <f>M72/I72</f>
        <v>1.6189088554314395</v>
      </c>
      <c r="O72" s="959"/>
    </row>
    <row r="73" spans="6:16" ht="32.25" thickBot="1" x14ac:dyDescent="0.3">
      <c r="F73" s="290" t="s">
        <v>154</v>
      </c>
      <c r="G73" s="223" t="s">
        <v>272</v>
      </c>
      <c r="H73" s="64">
        <v>36</v>
      </c>
      <c r="I73" s="64">
        <v>0.11799999999999999</v>
      </c>
      <c r="J73" s="64">
        <v>0</v>
      </c>
      <c r="K73" s="515">
        <f>(J70/H70)*(1/1)*(H73/1)</f>
        <v>3.1034482758620694</v>
      </c>
      <c r="L73" s="222">
        <f>(J71/H71)*(1/1)*(H73/1)</f>
        <v>40</v>
      </c>
      <c r="M73" s="474">
        <f>K73</f>
        <v>3.1034482758620694</v>
      </c>
      <c r="N73" s="64">
        <f>M73/I73</f>
        <v>26.300409117475166</v>
      </c>
      <c r="O73" s="959"/>
    </row>
    <row r="74" spans="6:16" ht="16.5" thickBot="1" x14ac:dyDescent="0.3">
      <c r="F74" s="941" t="s">
        <v>53</v>
      </c>
      <c r="G74" s="942"/>
      <c r="H74" s="942"/>
      <c r="I74" s="942"/>
      <c r="J74" s="467">
        <f>SUM(J70:J73)</f>
        <v>25</v>
      </c>
      <c r="K74" s="467">
        <f>SUM(K70:L71)-SUM(K72:K73)</f>
        <v>0</v>
      </c>
      <c r="L74" s="455">
        <f>SUM(K70:L71)-SUM(L72:L73)</f>
        <v>-77.892720306513411</v>
      </c>
      <c r="M74" s="101">
        <f>SUM(M71:M73)</f>
        <v>25</v>
      </c>
      <c r="N74" s="509">
        <f>SUM(N70:N73)</f>
        <v>46.367593834975565</v>
      </c>
      <c r="O74" s="959"/>
    </row>
    <row r="75" spans="6:16" ht="15.75" customHeight="1" thickBot="1" x14ac:dyDescent="0.3">
      <c r="F75" s="997" t="s">
        <v>670</v>
      </c>
      <c r="G75" s="998"/>
      <c r="H75" s="998"/>
      <c r="I75" s="998"/>
      <c r="J75" s="998"/>
      <c r="K75" s="998"/>
      <c r="L75" s="998"/>
      <c r="M75" s="998"/>
      <c r="N75" s="998"/>
      <c r="O75" s="998"/>
      <c r="P75" s="539"/>
    </row>
    <row r="76" spans="6:16" ht="18" thickBot="1" x14ac:dyDescent="0.3">
      <c r="F76" s="971" t="s">
        <v>317</v>
      </c>
      <c r="G76" s="972"/>
      <c r="H76" s="972"/>
      <c r="I76" s="972"/>
      <c r="J76" s="972"/>
      <c r="K76" s="972"/>
      <c r="L76" s="972"/>
      <c r="M76" s="972"/>
      <c r="N76" s="972"/>
      <c r="O76" s="973"/>
    </row>
    <row r="77" spans="6:16" ht="48" thickBot="1" x14ac:dyDescent="0.3">
      <c r="F77" s="473" t="s">
        <v>0</v>
      </c>
      <c r="G77" s="473" t="s">
        <v>1</v>
      </c>
      <c r="H77" s="473" t="s">
        <v>2</v>
      </c>
      <c r="I77" s="473" t="s">
        <v>164</v>
      </c>
      <c r="J77" s="473" t="s">
        <v>647</v>
      </c>
      <c r="K77" s="982" t="s">
        <v>760</v>
      </c>
      <c r="L77" s="983"/>
      <c r="M77" s="473" t="s">
        <v>617</v>
      </c>
      <c r="N77" s="499" t="s">
        <v>761</v>
      </c>
      <c r="O77" s="31" t="s">
        <v>674</v>
      </c>
    </row>
    <row r="78" spans="6:16" ht="18.75" x14ac:dyDescent="0.35">
      <c r="F78" s="288" t="s">
        <v>268</v>
      </c>
      <c r="G78" s="221" t="s">
        <v>267</v>
      </c>
      <c r="H78" s="63">
        <v>342</v>
      </c>
      <c r="I78" s="63">
        <v>1.59</v>
      </c>
      <c r="J78" s="590">
        <v>5</v>
      </c>
      <c r="K78" s="877">
        <f>J78</f>
        <v>5</v>
      </c>
      <c r="L78" s="878"/>
      <c r="M78" s="579">
        <f>J78-K78</f>
        <v>0</v>
      </c>
      <c r="N78" s="75">
        <v>0</v>
      </c>
      <c r="O78" s="994" t="s">
        <v>720</v>
      </c>
    </row>
    <row r="79" spans="6:16" ht="18.75" x14ac:dyDescent="0.25">
      <c r="F79" s="289" t="s">
        <v>182</v>
      </c>
      <c r="G79" s="60" t="s">
        <v>175</v>
      </c>
      <c r="H79" s="60">
        <v>18</v>
      </c>
      <c r="I79" s="60">
        <v>1</v>
      </c>
      <c r="J79" s="571">
        <v>20</v>
      </c>
      <c r="K79" s="881">
        <f>(J78/H78)*(2/1)*(H79/1)</f>
        <v>0.52631578947368418</v>
      </c>
      <c r="L79" s="882"/>
      <c r="M79" s="572">
        <f>J79-K79</f>
        <v>19.473684210526315</v>
      </c>
      <c r="N79" s="517">
        <f>M79/I79</f>
        <v>19.473684210526315</v>
      </c>
      <c r="O79" s="995"/>
    </row>
    <row r="80" spans="6:16" ht="19.5" thickBot="1" x14ac:dyDescent="0.4">
      <c r="F80" s="479" t="s">
        <v>213</v>
      </c>
      <c r="G80" s="220" t="s">
        <v>212</v>
      </c>
      <c r="H80" s="64">
        <v>180</v>
      </c>
      <c r="I80" s="64">
        <v>1.56</v>
      </c>
      <c r="J80" s="576">
        <v>0</v>
      </c>
      <c r="K80" s="628">
        <f>(J78)*(1/H78)*(2/1)*(H80/1)</f>
        <v>5.2631578947368416</v>
      </c>
      <c r="L80" s="629">
        <f>(J79)*(1/H79)*(2/1)*(H80/1)</f>
        <v>400</v>
      </c>
      <c r="M80" s="577">
        <f>K80</f>
        <v>5.2631578947368416</v>
      </c>
      <c r="N80" s="474">
        <f>M80/I80</f>
        <v>3.3738191632928469</v>
      </c>
      <c r="O80" s="995"/>
    </row>
    <row r="81" spans="6:15" ht="16.5" thickBot="1" x14ac:dyDescent="0.3">
      <c r="F81" s="965" t="s">
        <v>53</v>
      </c>
      <c r="G81" s="966"/>
      <c r="H81" s="966"/>
      <c r="I81" s="967"/>
      <c r="J81" s="455">
        <f>SUM(J78:J80)</f>
        <v>25</v>
      </c>
      <c r="K81" s="630">
        <f>SUM(K78:L79)-SUM(K80)</f>
        <v>0.26315789473684248</v>
      </c>
      <c r="L81" s="631">
        <f>SUM(K78:L79)-SUM(L80)</f>
        <v>-394.4736842105263</v>
      </c>
      <c r="M81" s="627">
        <f>SUM(M78:M80)</f>
        <v>24.736842105263158</v>
      </c>
      <c r="N81" s="1">
        <f>SUM(N78:N80)</f>
        <v>22.847503373819162</v>
      </c>
      <c r="O81" s="996"/>
    </row>
    <row r="82" spans="6:15" ht="17.25" customHeight="1" thickBot="1" x14ac:dyDescent="0.3">
      <c r="F82" s="1002" t="s">
        <v>671</v>
      </c>
      <c r="G82" s="1003"/>
      <c r="H82" s="1003"/>
      <c r="I82" s="1003"/>
      <c r="J82" s="1003"/>
      <c r="K82" s="1004"/>
      <c r="L82" s="1004"/>
      <c r="M82" s="1003"/>
      <c r="N82" s="1005"/>
      <c r="O82" s="539"/>
    </row>
    <row r="83" spans="6:15" ht="18" thickBot="1" x14ac:dyDescent="0.3">
      <c r="F83" s="999" t="s">
        <v>625</v>
      </c>
      <c r="G83" s="1000"/>
      <c r="H83" s="1000"/>
      <c r="I83" s="1000"/>
      <c r="J83" s="1000"/>
      <c r="K83" s="1000"/>
      <c r="L83" s="1000"/>
      <c r="M83" s="1000"/>
      <c r="N83" s="1001"/>
    </row>
    <row r="84" spans="6:15" ht="48" thickBot="1" x14ac:dyDescent="0.3">
      <c r="F84" s="473" t="s">
        <v>0</v>
      </c>
      <c r="G84" s="29" t="s">
        <v>1</v>
      </c>
      <c r="H84" s="473" t="s">
        <v>2</v>
      </c>
      <c r="I84" s="473" t="s">
        <v>164</v>
      </c>
      <c r="J84" s="473" t="s">
        <v>648</v>
      </c>
      <c r="K84" s="29" t="s">
        <v>649</v>
      </c>
      <c r="L84" s="473" t="s">
        <v>375</v>
      </c>
      <c r="M84" s="499" t="s">
        <v>646</v>
      </c>
      <c r="N84" s="31" t="s">
        <v>674</v>
      </c>
    </row>
    <row r="85" spans="6:15" ht="18.75" x14ac:dyDescent="0.25">
      <c r="F85" s="293" t="s">
        <v>316</v>
      </c>
      <c r="G85" s="58" t="s">
        <v>315</v>
      </c>
      <c r="H85" s="105">
        <v>377</v>
      </c>
      <c r="I85" s="105">
        <v>2.8</v>
      </c>
      <c r="J85" s="105">
        <v>5</v>
      </c>
      <c r="K85" s="109">
        <v>0</v>
      </c>
      <c r="L85" s="105">
        <f>J85</f>
        <v>5</v>
      </c>
      <c r="M85" s="487">
        <f>L85/I85</f>
        <v>1.7857142857142858</v>
      </c>
      <c r="N85" s="1012" t="s">
        <v>721</v>
      </c>
    </row>
    <row r="86" spans="6:15" ht="19.5" thickBot="1" x14ac:dyDescent="0.3">
      <c r="F86" s="290" t="s">
        <v>182</v>
      </c>
      <c r="G86" s="64" t="s">
        <v>175</v>
      </c>
      <c r="H86" s="64">
        <v>18</v>
      </c>
      <c r="I86" s="64">
        <v>1</v>
      </c>
      <c r="J86" s="64">
        <v>20</v>
      </c>
      <c r="K86" s="64">
        <v>0</v>
      </c>
      <c r="L86" s="64">
        <f>J86</f>
        <v>20</v>
      </c>
      <c r="M86" s="218">
        <f>L86/I86</f>
        <v>20</v>
      </c>
      <c r="N86" s="1013"/>
    </row>
    <row r="87" spans="6:15" ht="16.5" thickBot="1" x14ac:dyDescent="0.3">
      <c r="F87" s="941" t="s">
        <v>53</v>
      </c>
      <c r="G87" s="942"/>
      <c r="H87" s="942"/>
      <c r="I87" s="942"/>
      <c r="J87" s="455">
        <f>SUM(J85:J86)</f>
        <v>25</v>
      </c>
      <c r="K87" s="467">
        <f>SUM(K85:K86)</f>
        <v>0</v>
      </c>
      <c r="L87" s="455">
        <f>SUM(L85:L86)</f>
        <v>25</v>
      </c>
      <c r="M87" s="101">
        <f>SUM(M85:M86)</f>
        <v>21.785714285714285</v>
      </c>
      <c r="N87" s="1014"/>
    </row>
    <row r="88" spans="6:15" ht="16.5" thickBot="1" x14ac:dyDescent="0.3">
      <c r="F88" s="1002" t="s">
        <v>672</v>
      </c>
      <c r="G88" s="1003"/>
      <c r="H88" s="1003"/>
      <c r="I88" s="1003"/>
      <c r="J88" s="1003"/>
      <c r="K88" s="1003"/>
      <c r="L88" s="1003"/>
      <c r="M88" s="1003"/>
      <c r="N88" s="1005"/>
    </row>
    <row r="89" spans="6:15" ht="18" thickBot="1" x14ac:dyDescent="0.3">
      <c r="F89" s="971" t="s">
        <v>314</v>
      </c>
      <c r="G89" s="972"/>
      <c r="H89" s="972"/>
      <c r="I89" s="972"/>
      <c r="J89" s="972"/>
      <c r="K89" s="972"/>
      <c r="L89" s="972"/>
      <c r="M89" s="972"/>
      <c r="N89" s="973"/>
    </row>
    <row r="90" spans="6:15" ht="48" thickBot="1" x14ac:dyDescent="0.3">
      <c r="F90" s="568" t="s">
        <v>0</v>
      </c>
      <c r="G90" s="508" t="s">
        <v>1</v>
      </c>
      <c r="H90" s="568" t="s">
        <v>2</v>
      </c>
      <c r="I90" s="568" t="s">
        <v>164</v>
      </c>
      <c r="J90" s="568" t="s">
        <v>648</v>
      </c>
      <c r="K90" s="879" t="s">
        <v>757</v>
      </c>
      <c r="L90" s="880"/>
      <c r="M90" s="568" t="s">
        <v>375</v>
      </c>
      <c r="N90" s="567" t="s">
        <v>758</v>
      </c>
      <c r="O90" s="53" t="s">
        <v>3</v>
      </c>
    </row>
    <row r="91" spans="6:15" ht="18.75" customHeight="1" x14ac:dyDescent="0.35">
      <c r="F91" s="285" t="s">
        <v>313</v>
      </c>
      <c r="G91" s="217" t="s">
        <v>312</v>
      </c>
      <c r="H91" s="105">
        <v>60</v>
      </c>
      <c r="I91" s="105">
        <v>1.6</v>
      </c>
      <c r="J91" s="105">
        <v>5</v>
      </c>
      <c r="K91" s="877">
        <f>J91</f>
        <v>5</v>
      </c>
      <c r="L91" s="878"/>
      <c r="M91" s="105">
        <f>J91-K91</f>
        <v>0</v>
      </c>
      <c r="N91" s="179">
        <f>M91/I91</f>
        <v>0</v>
      </c>
      <c r="O91" s="872" t="s">
        <v>810</v>
      </c>
    </row>
    <row r="92" spans="6:15" ht="18.75" x14ac:dyDescent="0.25">
      <c r="F92" s="286" t="s">
        <v>182</v>
      </c>
      <c r="G92" s="60" t="s">
        <v>175</v>
      </c>
      <c r="H92" s="60">
        <v>18</v>
      </c>
      <c r="I92" s="60">
        <v>1</v>
      </c>
      <c r="J92" s="60">
        <v>20</v>
      </c>
      <c r="K92" s="881">
        <f>(J91)*(1/H91)*(2/1)*(H92/1)</f>
        <v>3</v>
      </c>
      <c r="L92" s="882"/>
      <c r="M92" s="60">
        <f>J92-K92</f>
        <v>17</v>
      </c>
      <c r="N92" s="60">
        <f>M92/I92</f>
        <v>17</v>
      </c>
      <c r="O92" s="1019"/>
    </row>
    <row r="93" spans="6:15" ht="33" customHeight="1" thickBot="1" x14ac:dyDescent="0.3">
      <c r="F93" s="483" t="s">
        <v>809</v>
      </c>
      <c r="G93" s="216" t="s">
        <v>311</v>
      </c>
      <c r="H93" s="64">
        <v>96</v>
      </c>
      <c r="I93" s="64">
        <v>1.44</v>
      </c>
      <c r="J93" s="64">
        <v>0</v>
      </c>
      <c r="K93" s="64">
        <f>(J91)*(1/H91)*(1/1)*(H93/1)</f>
        <v>8</v>
      </c>
      <c r="L93" s="64">
        <f>(J92)*(1/H92)*(1/2)*(H93/1)</f>
        <v>53.333333333333336</v>
      </c>
      <c r="M93" s="64">
        <f>K93</f>
        <v>8</v>
      </c>
      <c r="N93" s="64">
        <f>M93/I93</f>
        <v>5.5555555555555554</v>
      </c>
      <c r="O93" s="1019"/>
    </row>
    <row r="94" spans="6:15" ht="16.5" thickBot="1" x14ac:dyDescent="0.3">
      <c r="F94" s="941" t="s">
        <v>53</v>
      </c>
      <c r="G94" s="942"/>
      <c r="H94" s="942"/>
      <c r="I94" s="942"/>
      <c r="J94" s="593">
        <f>SUM(J91:J92)</f>
        <v>25</v>
      </c>
      <c r="K94" s="583">
        <f>SUM(K91:L92)-SUM(K93)</f>
        <v>0</v>
      </c>
      <c r="L94" s="593">
        <f>SUM(K91:L92)-SUM(L93)</f>
        <v>-45.333333333333336</v>
      </c>
      <c r="M94" s="593">
        <f>SUM(M91:M93)</f>
        <v>25</v>
      </c>
      <c r="N94" s="215">
        <f>SUM(N91:N93)</f>
        <v>22.555555555555557</v>
      </c>
      <c r="O94" s="1020"/>
    </row>
    <row r="95" spans="6:15" ht="16.5" thickBot="1" x14ac:dyDescent="0.3">
      <c r="F95" s="1002" t="s">
        <v>673</v>
      </c>
      <c r="G95" s="1003"/>
      <c r="H95" s="1003"/>
      <c r="I95" s="1003"/>
      <c r="J95" s="1003"/>
      <c r="K95" s="1003"/>
      <c r="L95" s="1003"/>
      <c r="M95" s="1003"/>
      <c r="N95" s="1005"/>
    </row>
    <row r="96" spans="6:15" ht="16.5" thickBot="1" x14ac:dyDescent="0.3">
      <c r="F96" s="929" t="s">
        <v>624</v>
      </c>
      <c r="G96" s="930"/>
      <c r="H96" s="930"/>
      <c r="I96" s="930"/>
      <c r="J96" s="930"/>
      <c r="K96" s="930"/>
      <c r="L96" s="930"/>
      <c r="M96" s="930"/>
      <c r="N96" s="931"/>
    </row>
    <row r="97" spans="6:14" ht="48" thickBot="1" x14ac:dyDescent="0.3">
      <c r="F97" s="574" t="s">
        <v>0</v>
      </c>
      <c r="G97" s="595" t="s">
        <v>1</v>
      </c>
      <c r="H97" s="574" t="s">
        <v>2</v>
      </c>
      <c r="I97" s="574" t="s">
        <v>164</v>
      </c>
      <c r="J97" s="574" t="s">
        <v>648</v>
      </c>
      <c r="K97" s="595" t="s">
        <v>759</v>
      </c>
      <c r="L97" s="574" t="s">
        <v>375</v>
      </c>
      <c r="M97" s="570" t="s">
        <v>646</v>
      </c>
      <c r="N97" s="578" t="s">
        <v>3</v>
      </c>
    </row>
    <row r="98" spans="6:14" ht="30" customHeight="1" x14ac:dyDescent="0.25">
      <c r="F98" s="288" t="s">
        <v>286</v>
      </c>
      <c r="G98" s="75" t="s">
        <v>211</v>
      </c>
      <c r="H98" s="63">
        <v>40</v>
      </c>
      <c r="I98" s="63">
        <v>2.13</v>
      </c>
      <c r="J98" s="63">
        <v>20</v>
      </c>
      <c r="K98" s="179">
        <v>0</v>
      </c>
      <c r="L98" s="105">
        <f>J98</f>
        <v>20</v>
      </c>
      <c r="M98" s="575">
        <f>L98/I98</f>
        <v>9.3896713615023479</v>
      </c>
      <c r="N98" s="953" t="s">
        <v>786</v>
      </c>
    </row>
    <row r="99" spans="6:14" ht="18.75" x14ac:dyDescent="0.35">
      <c r="F99" s="289" t="s">
        <v>60</v>
      </c>
      <c r="G99" s="214" t="s">
        <v>310</v>
      </c>
      <c r="H99" s="60">
        <v>58.08</v>
      </c>
      <c r="I99" s="60">
        <v>0.88</v>
      </c>
      <c r="J99" s="60">
        <v>20</v>
      </c>
      <c r="K99" s="166">
        <v>0</v>
      </c>
      <c r="L99" s="60">
        <f>J99</f>
        <v>20</v>
      </c>
      <c r="M99" s="580">
        <f>L99/I99</f>
        <v>22.727272727272727</v>
      </c>
      <c r="N99" s="954"/>
    </row>
    <row r="100" spans="6:14" ht="18.75" x14ac:dyDescent="0.25">
      <c r="F100" s="289" t="s">
        <v>309</v>
      </c>
      <c r="G100" s="59" t="s">
        <v>90</v>
      </c>
      <c r="H100" s="60">
        <v>46</v>
      </c>
      <c r="I100" s="60">
        <v>0.84</v>
      </c>
      <c r="J100" s="60">
        <v>20</v>
      </c>
      <c r="K100" s="166">
        <v>0</v>
      </c>
      <c r="L100" s="60">
        <f>J100</f>
        <v>20</v>
      </c>
      <c r="M100" s="580">
        <f>L100/I100</f>
        <v>23.80952380952381</v>
      </c>
      <c r="N100" s="954"/>
    </row>
    <row r="101" spans="6:14" ht="18.75" x14ac:dyDescent="0.25">
      <c r="F101" s="289" t="s">
        <v>414</v>
      </c>
      <c r="G101" s="598" t="s">
        <v>175</v>
      </c>
      <c r="H101" s="60">
        <v>18</v>
      </c>
      <c r="I101" s="60">
        <v>1</v>
      </c>
      <c r="J101" s="60">
        <v>20</v>
      </c>
      <c r="K101" s="166">
        <v>0</v>
      </c>
      <c r="L101" s="60">
        <f>J101</f>
        <v>20</v>
      </c>
      <c r="M101" s="580">
        <f>L101/I101</f>
        <v>20</v>
      </c>
      <c r="N101" s="954"/>
    </row>
    <row r="102" spans="6:14" ht="16.5" thickBot="1" x14ac:dyDescent="0.3">
      <c r="F102" s="290" t="s">
        <v>126</v>
      </c>
      <c r="G102" s="193" t="s">
        <v>238</v>
      </c>
      <c r="H102" s="64">
        <v>36</v>
      </c>
      <c r="I102" s="64">
        <v>1.1200000000000001</v>
      </c>
      <c r="J102" s="64">
        <v>20</v>
      </c>
      <c r="K102" s="162">
        <v>0</v>
      </c>
      <c r="L102" s="64">
        <f>J102</f>
        <v>20</v>
      </c>
      <c r="M102" s="481">
        <f>L102/I102</f>
        <v>17.857142857142854</v>
      </c>
      <c r="N102" s="954"/>
    </row>
    <row r="103" spans="6:14" ht="16.5" thickBot="1" x14ac:dyDescent="0.3">
      <c r="F103" s="941" t="s">
        <v>53</v>
      </c>
      <c r="G103" s="942"/>
      <c r="H103" s="942"/>
      <c r="I103" s="942"/>
      <c r="J103" s="581">
        <f>SUM(J98:J102)</f>
        <v>100</v>
      </c>
      <c r="K103" s="161">
        <f>SUM(K98:K102)</f>
        <v>0</v>
      </c>
      <c r="L103" s="581">
        <f>SUM(L98:L102)</f>
        <v>100</v>
      </c>
      <c r="M103" s="101">
        <f>SUM(M98:M102)</f>
        <v>93.783610755441742</v>
      </c>
      <c r="N103" s="955"/>
    </row>
    <row r="104" spans="6:14" x14ac:dyDescent="0.25">
      <c r="F104" s="632"/>
      <c r="G104" s="632"/>
      <c r="H104" s="632"/>
      <c r="I104" s="632"/>
      <c r="J104" s="632"/>
      <c r="K104" s="632"/>
      <c r="L104" s="632"/>
      <c r="M104" s="632"/>
      <c r="N104" s="632"/>
    </row>
    <row r="105" spans="6:14" x14ac:dyDescent="0.25">
      <c r="F105" s="633"/>
      <c r="G105" s="633"/>
      <c r="H105" s="633"/>
      <c r="I105" s="633"/>
      <c r="J105" s="633"/>
      <c r="K105" s="633"/>
      <c r="L105" s="633"/>
      <c r="M105" s="633"/>
      <c r="N105" s="633"/>
    </row>
    <row r="106" spans="6:14" ht="16.5" thickBot="1" x14ac:dyDescent="0.3">
      <c r="F106" s="632"/>
      <c r="G106" s="632"/>
      <c r="H106" s="632"/>
      <c r="I106" s="632"/>
      <c r="J106" s="632"/>
      <c r="K106" s="632"/>
      <c r="L106" s="632"/>
      <c r="M106" s="632"/>
      <c r="N106" s="632"/>
    </row>
    <row r="107" spans="6:14" ht="16.5" thickBot="1" x14ac:dyDescent="0.3">
      <c r="F107" s="1009" t="s">
        <v>675</v>
      </c>
      <c r="G107" s="1010"/>
      <c r="H107" s="1010"/>
      <c r="I107" s="1010"/>
      <c r="J107" s="1010"/>
      <c r="K107" s="1010"/>
      <c r="L107" s="1010"/>
      <c r="M107" s="1010"/>
      <c r="N107" s="1011"/>
    </row>
    <row r="108" spans="6:14" ht="16.5" thickBot="1" x14ac:dyDescent="0.3">
      <c r="F108" s="929" t="s">
        <v>624</v>
      </c>
      <c r="G108" s="930"/>
      <c r="H108" s="930"/>
      <c r="I108" s="930"/>
      <c r="J108" s="930"/>
      <c r="K108" s="930"/>
      <c r="L108" s="930"/>
      <c r="M108" s="930"/>
      <c r="N108" s="931"/>
    </row>
    <row r="109" spans="6:14" ht="48" thickBot="1" x14ac:dyDescent="0.3">
      <c r="F109" s="574" t="s">
        <v>0</v>
      </c>
      <c r="G109" s="595" t="s">
        <v>1</v>
      </c>
      <c r="H109" s="574" t="s">
        <v>2</v>
      </c>
      <c r="I109" s="574" t="s">
        <v>650</v>
      </c>
      <c r="J109" s="574" t="s">
        <v>648</v>
      </c>
      <c r="K109" s="595" t="s">
        <v>651</v>
      </c>
      <c r="L109" s="574" t="s">
        <v>375</v>
      </c>
      <c r="M109" s="570" t="s">
        <v>646</v>
      </c>
      <c r="N109" s="292" t="s">
        <v>691</v>
      </c>
    </row>
    <row r="110" spans="6:14" ht="19.5" customHeight="1" thickBot="1" x14ac:dyDescent="0.3">
      <c r="F110" s="293" t="s">
        <v>182</v>
      </c>
      <c r="G110" s="598" t="s">
        <v>175</v>
      </c>
      <c r="H110" s="105">
        <v>18</v>
      </c>
      <c r="I110" s="591">
        <v>1</v>
      </c>
      <c r="J110" s="105">
        <v>1</v>
      </c>
      <c r="K110" s="109">
        <v>0</v>
      </c>
      <c r="L110" s="105">
        <f>J110</f>
        <v>1</v>
      </c>
      <c r="M110" s="179">
        <f>L110/I110</f>
        <v>1</v>
      </c>
      <c r="N110" s="1006" t="s">
        <v>721</v>
      </c>
    </row>
    <row r="111" spans="6:14" ht="16.5" thickBot="1" x14ac:dyDescent="0.3">
      <c r="F111" s="290" t="s">
        <v>308</v>
      </c>
      <c r="G111" s="104" t="s">
        <v>307</v>
      </c>
      <c r="H111" s="64">
        <v>101</v>
      </c>
      <c r="I111" s="572">
        <v>1.8</v>
      </c>
      <c r="J111" s="60">
        <v>1</v>
      </c>
      <c r="K111" s="166">
        <v>0</v>
      </c>
      <c r="L111" s="60">
        <f>J111</f>
        <v>1</v>
      </c>
      <c r="M111" s="179">
        <f>L111/I111</f>
        <v>0.55555555555555558</v>
      </c>
      <c r="N111" s="1007"/>
    </row>
    <row r="112" spans="6:14" ht="16.5" thickBot="1" x14ac:dyDescent="0.3">
      <c r="F112" s="941" t="s">
        <v>53</v>
      </c>
      <c r="G112" s="942"/>
      <c r="H112" s="942"/>
      <c r="I112" s="942"/>
      <c r="J112" s="581">
        <f>SUM(J110:J111)</f>
        <v>2</v>
      </c>
      <c r="K112" s="161">
        <f>SUM(K110:K111)</f>
        <v>0</v>
      </c>
      <c r="L112" s="581">
        <f>SUM(L110:L111)</f>
        <v>2</v>
      </c>
      <c r="M112" s="101">
        <f>SUM(M110:M111)</f>
        <v>1.5555555555555556</v>
      </c>
      <c r="N112" s="1008"/>
    </row>
    <row r="113" spans="6:16" ht="16.5" thickBot="1" x14ac:dyDescent="0.3">
      <c r="F113" s="1015" t="s">
        <v>676</v>
      </c>
      <c r="G113" s="1015"/>
      <c r="H113" s="1015"/>
      <c r="I113" s="1015"/>
      <c r="J113" s="1015"/>
      <c r="K113" s="1015"/>
      <c r="L113" s="1015"/>
      <c r="M113" s="1015"/>
      <c r="N113" s="1015"/>
      <c r="O113" s="1015"/>
    </row>
    <row r="114" spans="6:16" ht="18" thickBot="1" x14ac:dyDescent="0.3">
      <c r="F114" s="1018" t="s">
        <v>306</v>
      </c>
      <c r="G114" s="951"/>
      <c r="H114" s="951"/>
      <c r="I114" s="951"/>
      <c r="J114" s="951"/>
      <c r="K114" s="951"/>
      <c r="L114" s="951"/>
      <c r="M114" s="951"/>
      <c r="N114" s="951"/>
      <c r="O114" s="952"/>
    </row>
    <row r="115" spans="6:16" ht="48" thickBot="1" x14ac:dyDescent="0.3">
      <c r="F115" s="457" t="s">
        <v>0</v>
      </c>
      <c r="G115" s="457" t="s">
        <v>1</v>
      </c>
      <c r="H115" s="457" t="s">
        <v>2</v>
      </c>
      <c r="I115" s="457" t="s">
        <v>650</v>
      </c>
      <c r="J115" s="473" t="s">
        <v>648</v>
      </c>
      <c r="K115" s="879" t="s">
        <v>757</v>
      </c>
      <c r="L115" s="880"/>
      <c r="M115" s="573" t="s">
        <v>375</v>
      </c>
      <c r="N115" s="559" t="s">
        <v>768</v>
      </c>
      <c r="O115" s="292" t="s">
        <v>691</v>
      </c>
    </row>
    <row r="116" spans="6:16" ht="18.75" x14ac:dyDescent="0.25">
      <c r="F116" s="286" t="s">
        <v>305</v>
      </c>
      <c r="G116" s="63" t="s">
        <v>304</v>
      </c>
      <c r="H116" s="572">
        <v>86</v>
      </c>
      <c r="I116" s="60">
        <v>0.65</v>
      </c>
      <c r="J116" s="60">
        <v>1</v>
      </c>
      <c r="K116" s="877">
        <v>1</v>
      </c>
      <c r="L116" s="1027"/>
      <c r="M116" s="200">
        <f>J116-K116</f>
        <v>0</v>
      </c>
      <c r="N116" s="65">
        <f>M116/I116</f>
        <v>0</v>
      </c>
      <c r="O116" s="1029" t="s">
        <v>787</v>
      </c>
    </row>
    <row r="117" spans="6:16" ht="18.75" x14ac:dyDescent="0.25">
      <c r="F117" s="285" t="s">
        <v>182</v>
      </c>
      <c r="G117" s="598" t="s">
        <v>175</v>
      </c>
      <c r="H117" s="591">
        <v>18</v>
      </c>
      <c r="I117" s="105">
        <v>1</v>
      </c>
      <c r="J117" s="105">
        <v>1</v>
      </c>
      <c r="K117" s="1016">
        <f>(J117)*(1/H117)*(6/6)*(H117/1)</f>
        <v>1</v>
      </c>
      <c r="L117" s="1028"/>
      <c r="M117" s="599">
        <f>J117-K117</f>
        <v>0</v>
      </c>
      <c r="N117" s="65">
        <f>M117/I117</f>
        <v>0</v>
      </c>
      <c r="O117" s="1030"/>
    </row>
    <row r="118" spans="6:16" ht="31.5" x14ac:dyDescent="0.25">
      <c r="F118" s="286" t="s">
        <v>382</v>
      </c>
      <c r="G118" s="634" t="s">
        <v>303</v>
      </c>
      <c r="H118" s="572">
        <v>28</v>
      </c>
      <c r="I118" s="60">
        <v>0.97</v>
      </c>
      <c r="J118" s="60">
        <v>0</v>
      </c>
      <c r="K118" s="211">
        <f>(J116/H116)*(6/1)*(H118/1)</f>
        <v>1.9534883720930232</v>
      </c>
      <c r="L118" s="635">
        <f>(J117)*(1/H117)*(6/6)*(H118/1)</f>
        <v>1.5555555555555554</v>
      </c>
      <c r="M118" s="60">
        <f>L118</f>
        <v>1.5555555555555554</v>
      </c>
      <c r="N118" s="65">
        <f>M118/I118</f>
        <v>1.6036655211912942</v>
      </c>
      <c r="O118" s="1030"/>
    </row>
    <row r="119" spans="6:16" ht="19.5" thickBot="1" x14ac:dyDescent="0.4">
      <c r="F119" s="296" t="s">
        <v>381</v>
      </c>
      <c r="G119" s="583" t="s">
        <v>241</v>
      </c>
      <c r="H119" s="577">
        <v>2</v>
      </c>
      <c r="I119" s="64">
        <v>0.9</v>
      </c>
      <c r="J119" s="64">
        <v>0</v>
      </c>
      <c r="K119" s="210">
        <f>(J116/H116)*(13/1)*(H119/1)</f>
        <v>0.30232558139534882</v>
      </c>
      <c r="L119" s="636">
        <f>(J117)*(1/H117)*(13/6)*(H119/1)</f>
        <v>0.2407407407407407</v>
      </c>
      <c r="M119" s="64">
        <f>L119</f>
        <v>0.2407407407407407</v>
      </c>
      <c r="N119" s="489">
        <f>M119/I119</f>
        <v>0.26748971193415633</v>
      </c>
      <c r="O119" s="1030"/>
    </row>
    <row r="120" spans="6:16" ht="16.5" thickBot="1" x14ac:dyDescent="0.3">
      <c r="F120" s="941" t="s">
        <v>53</v>
      </c>
      <c r="G120" s="942"/>
      <c r="H120" s="942"/>
      <c r="I120" s="942"/>
      <c r="J120" s="467">
        <f>SUM(J116:J119)</f>
        <v>2</v>
      </c>
      <c r="K120" s="161">
        <f>SUM(K116:L117)-SUM(K118:K119)</f>
        <v>-0.2558139534883721</v>
      </c>
      <c r="L120" s="467">
        <f>SUM(K116:L117)-SUM(L118:L119)</f>
        <v>0.20370370370370394</v>
      </c>
      <c r="M120" s="101">
        <f>SUM(M116:M119)</f>
        <v>1.7962962962962961</v>
      </c>
      <c r="N120" s="1">
        <f>SUM(N116:N119)</f>
        <v>1.8711552331254506</v>
      </c>
      <c r="O120" s="1031"/>
    </row>
    <row r="121" spans="6:16" s="3" customFormat="1" ht="16.5" thickBot="1" x14ac:dyDescent="0.3">
      <c r="F121" s="1026" t="s">
        <v>677</v>
      </c>
      <c r="G121" s="1026"/>
      <c r="H121" s="1026"/>
      <c r="I121" s="1026"/>
      <c r="J121" s="1026"/>
      <c r="K121" s="1026"/>
      <c r="L121" s="1026"/>
      <c r="M121" s="1026"/>
      <c r="N121" s="1026"/>
      <c r="O121" s="1026"/>
    </row>
    <row r="122" spans="6:16" ht="18" thickBot="1" x14ac:dyDescent="0.3">
      <c r="F122" s="1018" t="s">
        <v>263</v>
      </c>
      <c r="G122" s="951"/>
      <c r="H122" s="951"/>
      <c r="I122" s="951"/>
      <c r="J122" s="951"/>
      <c r="K122" s="951"/>
      <c r="L122" s="951"/>
      <c r="M122" s="951"/>
      <c r="N122" s="951"/>
      <c r="O122" s="952"/>
    </row>
    <row r="123" spans="6:16" ht="48" thickBot="1" x14ac:dyDescent="0.3">
      <c r="F123" s="457" t="s">
        <v>0</v>
      </c>
      <c r="G123" s="457" t="s">
        <v>1</v>
      </c>
      <c r="H123" s="457" t="s">
        <v>2</v>
      </c>
      <c r="I123" s="457" t="s">
        <v>650</v>
      </c>
      <c r="J123" s="473" t="s">
        <v>648</v>
      </c>
      <c r="K123" s="879" t="s">
        <v>652</v>
      </c>
      <c r="L123" s="880"/>
      <c r="M123" s="473" t="s">
        <v>375</v>
      </c>
      <c r="N123" s="644" t="s">
        <v>768</v>
      </c>
      <c r="O123" s="292" t="s">
        <v>177</v>
      </c>
    </row>
    <row r="124" spans="6:16" ht="18.75" x14ac:dyDescent="0.35">
      <c r="F124" s="293" t="s">
        <v>383</v>
      </c>
      <c r="G124" s="180" t="s">
        <v>223</v>
      </c>
      <c r="H124" s="105">
        <v>63</v>
      </c>
      <c r="I124" s="105">
        <v>1.51</v>
      </c>
      <c r="J124" s="105">
        <v>1</v>
      </c>
      <c r="K124" s="1016">
        <f>J124</f>
        <v>1</v>
      </c>
      <c r="L124" s="1017"/>
      <c r="M124" s="105">
        <f>J124-K124</f>
        <v>0</v>
      </c>
      <c r="N124" s="179">
        <f>M124/I124</f>
        <v>0</v>
      </c>
      <c r="O124" s="1023" t="s">
        <v>812</v>
      </c>
    </row>
    <row r="125" spans="6:16" ht="18.75" x14ac:dyDescent="0.25">
      <c r="F125" s="293" t="s">
        <v>182</v>
      </c>
      <c r="G125" s="60" t="s">
        <v>175</v>
      </c>
      <c r="H125" s="105">
        <v>18</v>
      </c>
      <c r="I125" s="60">
        <v>1</v>
      </c>
      <c r="J125" s="60">
        <v>1</v>
      </c>
      <c r="K125" s="1021">
        <f>(J124/H124)*(1/1)*(H125/1)</f>
        <v>0.2857142857142857</v>
      </c>
      <c r="L125" s="1022"/>
      <c r="M125" s="60">
        <f>J125-K125</f>
        <v>0.7142857142857143</v>
      </c>
      <c r="N125" s="166">
        <f>M125/I125</f>
        <v>0.7142857142857143</v>
      </c>
      <c r="O125" s="1024"/>
    </row>
    <row r="126" spans="6:16" ht="18.75" x14ac:dyDescent="0.35">
      <c r="F126" s="289" t="s">
        <v>262</v>
      </c>
      <c r="G126" s="107" t="s">
        <v>261</v>
      </c>
      <c r="H126" s="60">
        <v>62</v>
      </c>
      <c r="I126" s="60">
        <v>2.2599999999999998</v>
      </c>
      <c r="J126" s="60">
        <v>0</v>
      </c>
      <c r="K126" s="168">
        <f>(J124/H124)*(1/1)*(H126/1)</f>
        <v>0.98412698412698407</v>
      </c>
      <c r="L126" s="167">
        <f>(J125/H125)*(1/1)*(H126/1)</f>
        <v>3.4444444444444442</v>
      </c>
      <c r="M126" s="60">
        <v>0.98412698412698407</v>
      </c>
      <c r="N126" s="166">
        <f>M126/I126</f>
        <v>0.43545441775530275</v>
      </c>
      <c r="O126" s="1024"/>
      <c r="P126" s="539"/>
    </row>
    <row r="127" spans="6:16" ht="19.5" thickBot="1" x14ac:dyDescent="0.4">
      <c r="F127" s="290" t="s">
        <v>384</v>
      </c>
      <c r="G127" s="104" t="s">
        <v>260</v>
      </c>
      <c r="H127" s="64">
        <v>19</v>
      </c>
      <c r="I127" s="64">
        <v>0.84</v>
      </c>
      <c r="J127" s="64">
        <v>0</v>
      </c>
      <c r="K127" s="164">
        <f>(J124/H124)*(1/1)*(H127/1)</f>
        <v>0.30158730158730157</v>
      </c>
      <c r="L127" s="163">
        <f>(J125/H125)*(1/1)*(H127/1)</f>
        <v>1.0555555555555556</v>
      </c>
      <c r="M127" s="64">
        <v>0.30158730158730157</v>
      </c>
      <c r="N127" s="162">
        <f>M127/I127</f>
        <v>0.35903250188964475</v>
      </c>
      <c r="O127" s="1024"/>
    </row>
    <row r="128" spans="6:16" ht="16.5" thickBot="1" x14ac:dyDescent="0.3">
      <c r="F128" s="941" t="s">
        <v>53</v>
      </c>
      <c r="G128" s="942"/>
      <c r="H128" s="942"/>
      <c r="I128" s="942"/>
      <c r="J128" s="467">
        <f>SUM(J124:J127)</f>
        <v>2</v>
      </c>
      <c r="K128" s="161">
        <f>SUM(K124:L125)-SUM(K126:K127)</f>
        <v>0</v>
      </c>
      <c r="L128" s="467">
        <f>SUM(K124:L125)-SUM(L126:L127)</f>
        <v>-3.2142857142857144</v>
      </c>
      <c r="M128" s="101">
        <f>SUM(M124:M127)</f>
        <v>2</v>
      </c>
      <c r="N128" s="101">
        <f>SUM(N124:N127)</f>
        <v>1.5087726339306617</v>
      </c>
      <c r="O128" s="1025"/>
    </row>
    <row r="129" spans="3:19" s="3" customFormat="1" ht="16.5" thickBot="1" x14ac:dyDescent="0.3">
      <c r="F129" s="1015" t="s">
        <v>678</v>
      </c>
      <c r="G129" s="1015"/>
      <c r="H129" s="1015"/>
      <c r="I129" s="1015"/>
      <c r="J129" s="1015"/>
      <c r="K129" s="1015"/>
      <c r="L129" s="1015"/>
      <c r="M129" s="1015"/>
      <c r="N129" s="1015"/>
      <c r="O129" s="1015"/>
    </row>
    <row r="130" spans="3:19" ht="18" thickBot="1" x14ac:dyDescent="0.3">
      <c r="F130" s="1035" t="s">
        <v>302</v>
      </c>
      <c r="G130" s="1036"/>
      <c r="H130" s="1036"/>
      <c r="I130" s="1036"/>
      <c r="J130" s="1036"/>
      <c r="K130" s="1036"/>
      <c r="L130" s="1036"/>
      <c r="M130" s="1036"/>
      <c r="N130" s="1036"/>
      <c r="O130" s="1037"/>
    </row>
    <row r="131" spans="3:19" ht="48" thickBot="1" x14ac:dyDescent="0.3">
      <c r="F131" s="457" t="s">
        <v>0</v>
      </c>
      <c r="G131" s="457" t="s">
        <v>1</v>
      </c>
      <c r="H131" s="457" t="s">
        <v>2</v>
      </c>
      <c r="I131" s="457" t="s">
        <v>650</v>
      </c>
      <c r="J131" s="473" t="s">
        <v>648</v>
      </c>
      <c r="K131" s="879" t="s">
        <v>652</v>
      </c>
      <c r="L131" s="880"/>
      <c r="M131" s="473" t="s">
        <v>375</v>
      </c>
      <c r="N131" s="644" t="s">
        <v>768</v>
      </c>
      <c r="O131" s="292" t="s">
        <v>177</v>
      </c>
    </row>
    <row r="132" spans="3:19" s="8" customFormat="1" ht="38.25" customHeight="1" x14ac:dyDescent="0.25">
      <c r="C132" s="6"/>
      <c r="F132" s="289" t="s">
        <v>385</v>
      </c>
      <c r="G132" s="150" t="s">
        <v>301</v>
      </c>
      <c r="H132" s="60">
        <v>60</v>
      </c>
      <c r="I132" s="60">
        <v>0.78</v>
      </c>
      <c r="J132" s="60">
        <v>1</v>
      </c>
      <c r="K132" s="877">
        <f>J132</f>
        <v>1</v>
      </c>
      <c r="L132" s="878"/>
      <c r="M132" s="105">
        <f>J132-K132</f>
        <v>0</v>
      </c>
      <c r="N132" s="105">
        <f>M132/I132</f>
        <v>0</v>
      </c>
      <c r="O132" s="1039" t="s">
        <v>883</v>
      </c>
      <c r="P132" s="6"/>
      <c r="Q132" s="6"/>
      <c r="R132" s="6"/>
      <c r="S132" s="6"/>
    </row>
    <row r="133" spans="3:19" ht="33" customHeight="1" x14ac:dyDescent="0.35">
      <c r="C133" s="539"/>
      <c r="F133" s="293" t="s">
        <v>182</v>
      </c>
      <c r="G133" s="209" t="s">
        <v>296</v>
      </c>
      <c r="H133" s="105">
        <v>18</v>
      </c>
      <c r="I133" s="105">
        <v>1</v>
      </c>
      <c r="J133" s="105">
        <v>1</v>
      </c>
      <c r="K133" s="1021">
        <f>(J132)*(1/H132)*(1/1)*(H133/1)</f>
        <v>0.3</v>
      </c>
      <c r="L133" s="1022"/>
      <c r="M133" s="60">
        <f>J133-K133</f>
        <v>0.7</v>
      </c>
      <c r="N133" s="482">
        <f>M133/I133</f>
        <v>0.7</v>
      </c>
      <c r="O133" s="1039"/>
      <c r="P133" s="539"/>
    </row>
    <row r="134" spans="3:19" ht="32.25" customHeight="1" x14ac:dyDescent="0.35">
      <c r="F134" s="289" t="s">
        <v>623</v>
      </c>
      <c r="G134" s="132" t="s">
        <v>300</v>
      </c>
      <c r="H134" s="105">
        <v>74</v>
      </c>
      <c r="I134" s="60">
        <v>1</v>
      </c>
      <c r="J134" s="60">
        <v>0</v>
      </c>
      <c r="K134" s="168">
        <f>(J132/H132)*(1/1)*(H134/1)</f>
        <v>1.2333333333333334</v>
      </c>
      <c r="L134" s="167">
        <f>(J133)*(1/H133)*(1/1)*(H134/1)</f>
        <v>4.1111111111111107</v>
      </c>
      <c r="M134" s="60">
        <f>K134</f>
        <v>1.2333333333333334</v>
      </c>
      <c r="N134" s="196">
        <f>M134/I134</f>
        <v>1.2333333333333334</v>
      </c>
      <c r="O134" s="1039"/>
    </row>
    <row r="135" spans="3:19" ht="16.5" thickBot="1" x14ac:dyDescent="0.3">
      <c r="F135" s="290" t="s">
        <v>386</v>
      </c>
      <c r="G135" s="127" t="s">
        <v>299</v>
      </c>
      <c r="H135" s="64">
        <v>1</v>
      </c>
      <c r="I135" s="64">
        <v>1</v>
      </c>
      <c r="J135" s="64">
        <v>0</v>
      </c>
      <c r="K135" s="164">
        <f>(J132)*(1/H132)*(4/1)*(H135/1)</f>
        <v>6.6666666666666666E-2</v>
      </c>
      <c r="L135" s="163">
        <f>(J133)*(1/H133)*(4/1)*(H135/1)</f>
        <v>0.22222222222222221</v>
      </c>
      <c r="M135" s="64">
        <f>K135</f>
        <v>6.6666666666666666E-2</v>
      </c>
      <c r="N135" s="162">
        <f>M135/I135</f>
        <v>6.6666666666666666E-2</v>
      </c>
      <c r="O135" s="1039"/>
    </row>
    <row r="136" spans="3:19" ht="16.5" thickBot="1" x14ac:dyDescent="0.3">
      <c r="F136" s="1038" t="s">
        <v>180</v>
      </c>
      <c r="G136" s="1038"/>
      <c r="H136" s="1038"/>
      <c r="I136" s="1038"/>
      <c r="J136" s="467">
        <v>2</v>
      </c>
      <c r="K136" s="161">
        <f>SUM(K132:L133)-SUM(K134:K135)</f>
        <v>0</v>
      </c>
      <c r="L136" s="467">
        <f>SUM(K132:L133)-SUM(L134:L135)</f>
        <v>-3.0333333333333332</v>
      </c>
      <c r="M136" s="101">
        <f>SUM(M132:M135)</f>
        <v>2</v>
      </c>
      <c r="N136" s="101">
        <f>SUM(N132:N135)</f>
        <v>2</v>
      </c>
      <c r="O136" s="884"/>
    </row>
    <row r="137" spans="3:19" s="3" customFormat="1" ht="16.5" thickBot="1" x14ac:dyDescent="0.3">
      <c r="F137" s="1015" t="s">
        <v>679</v>
      </c>
      <c r="G137" s="1015"/>
      <c r="H137" s="1015"/>
      <c r="I137" s="1015"/>
      <c r="J137" s="1015"/>
      <c r="K137" s="1015"/>
      <c r="L137" s="1015"/>
      <c r="M137" s="1015"/>
      <c r="N137" s="1015"/>
      <c r="O137" s="1015"/>
    </row>
    <row r="138" spans="3:19" ht="18" thickBot="1" x14ac:dyDescent="0.3">
      <c r="F138" s="1035" t="s">
        <v>298</v>
      </c>
      <c r="G138" s="1036"/>
      <c r="H138" s="1036"/>
      <c r="I138" s="1036"/>
      <c r="J138" s="1036"/>
      <c r="K138" s="1036"/>
      <c r="L138" s="1036"/>
      <c r="M138" s="1036"/>
      <c r="N138" s="1036"/>
      <c r="O138" s="1037"/>
    </row>
    <row r="139" spans="3:19" ht="48" customHeight="1" thickBot="1" x14ac:dyDescent="0.3">
      <c r="F139" s="457" t="s">
        <v>0</v>
      </c>
      <c r="G139" s="457" t="s">
        <v>1</v>
      </c>
      <c r="H139" s="457" t="s">
        <v>2</v>
      </c>
      <c r="I139" s="457" t="s">
        <v>653</v>
      </c>
      <c r="J139" s="473" t="s">
        <v>648</v>
      </c>
      <c r="K139" s="879" t="s">
        <v>692</v>
      </c>
      <c r="L139" s="880"/>
      <c r="M139" s="473" t="s">
        <v>375</v>
      </c>
      <c r="N139" s="644" t="s">
        <v>768</v>
      </c>
      <c r="O139" s="292" t="s">
        <v>691</v>
      </c>
    </row>
    <row r="140" spans="3:19" ht="18.75" x14ac:dyDescent="0.35">
      <c r="F140" s="294" t="s">
        <v>387</v>
      </c>
      <c r="G140" s="132" t="s">
        <v>297</v>
      </c>
      <c r="H140" s="105">
        <v>138</v>
      </c>
      <c r="I140" s="105">
        <v>1.44</v>
      </c>
      <c r="J140" s="105">
        <v>1</v>
      </c>
      <c r="K140" s="1016">
        <f>J140</f>
        <v>1</v>
      </c>
      <c r="L140" s="1017"/>
      <c r="M140" s="105">
        <f>J140-K140</f>
        <v>0</v>
      </c>
      <c r="N140" s="493">
        <f>M140/I140</f>
        <v>0</v>
      </c>
      <c r="O140" s="1032" t="s">
        <v>574</v>
      </c>
    </row>
    <row r="141" spans="3:19" ht="18.75" x14ac:dyDescent="0.35">
      <c r="F141" s="289" t="s">
        <v>182</v>
      </c>
      <c r="G141" s="132" t="s">
        <v>296</v>
      </c>
      <c r="H141" s="60">
        <v>18</v>
      </c>
      <c r="I141" s="60">
        <v>1</v>
      </c>
      <c r="J141" s="60">
        <v>1</v>
      </c>
      <c r="K141" s="1021">
        <f>(J141)*(1/H141)*(11/11)*(H141/1)</f>
        <v>1</v>
      </c>
      <c r="L141" s="1022"/>
      <c r="M141" s="60">
        <f>J141-K141</f>
        <v>0</v>
      </c>
      <c r="N141" s="494">
        <f>M141/I141</f>
        <v>0</v>
      </c>
      <c r="O141" s="1033"/>
    </row>
    <row r="142" spans="3:19" ht="31.5" x14ac:dyDescent="0.35">
      <c r="F142" s="289" t="s">
        <v>388</v>
      </c>
      <c r="G142" s="132" t="s">
        <v>295</v>
      </c>
      <c r="H142" s="60">
        <v>44</v>
      </c>
      <c r="I142" s="60">
        <v>0.9</v>
      </c>
      <c r="J142" s="60">
        <v>0</v>
      </c>
      <c r="K142" s="168">
        <f>(J140/H140)*(7/1)*(H142/1)</f>
        <v>2.2318840579710146</v>
      </c>
      <c r="L142" s="167">
        <f>(J141/H141)*(7/11)*(H142/1)</f>
        <v>1.5555555555555556</v>
      </c>
      <c r="M142" s="60">
        <f>L142</f>
        <v>1.5555555555555556</v>
      </c>
      <c r="N142" s="494">
        <f>M142/I142</f>
        <v>1.728395061728395</v>
      </c>
      <c r="O142" s="1033"/>
    </row>
    <row r="143" spans="3:19" ht="19.5" thickBot="1" x14ac:dyDescent="0.4">
      <c r="F143" s="290" t="s">
        <v>381</v>
      </c>
      <c r="G143" s="127" t="s">
        <v>294</v>
      </c>
      <c r="H143" s="64">
        <v>2</v>
      </c>
      <c r="I143" s="64">
        <v>1</v>
      </c>
      <c r="J143" s="64">
        <v>0</v>
      </c>
      <c r="K143" s="164">
        <f>(J140/H140)*(14/1)*(H143/1)</f>
        <v>0.20289855072463769</v>
      </c>
      <c r="L143" s="163">
        <f>(J141/H141)*(14/11)*(H143/1)</f>
        <v>0.14141414141414141</v>
      </c>
      <c r="M143" s="64">
        <f>L143</f>
        <v>0.14141414141414141</v>
      </c>
      <c r="N143" s="208">
        <f>M143/I143</f>
        <v>0.14141414141414141</v>
      </c>
      <c r="O143" s="1033"/>
    </row>
    <row r="144" spans="3:19" ht="16.5" thickBot="1" x14ac:dyDescent="0.3">
      <c r="F144" s="941" t="s">
        <v>53</v>
      </c>
      <c r="G144" s="942"/>
      <c r="H144" s="942"/>
      <c r="I144" s="942"/>
      <c r="J144" s="467">
        <v>2</v>
      </c>
      <c r="K144" s="161">
        <f>SUM(K140:L141)-SUM(K142:K143)</f>
        <v>-0.43478260869565233</v>
      </c>
      <c r="L144" s="467">
        <f>SUM(K140:L141)-SUM(L142:L143)</f>
        <v>0.30303030303030298</v>
      </c>
      <c r="M144" s="467">
        <f>SUM(M140:M143)</f>
        <v>1.696969696969697</v>
      </c>
      <c r="N144" s="509">
        <f>SUM(N140:N143)</f>
        <v>1.8698092031425364</v>
      </c>
      <c r="O144" s="1034"/>
    </row>
    <row r="145" spans="6:15" s="3" customFormat="1" ht="16.5" thickBot="1" x14ac:dyDescent="0.3">
      <c r="F145" s="1015" t="s">
        <v>680</v>
      </c>
      <c r="G145" s="1015"/>
      <c r="H145" s="1015"/>
      <c r="I145" s="1015"/>
      <c r="J145" s="1015"/>
      <c r="K145" s="1015"/>
      <c r="L145" s="1015"/>
      <c r="M145" s="1015"/>
      <c r="N145" s="1015"/>
      <c r="O145" s="1015"/>
    </row>
    <row r="146" spans="6:15" ht="19.5" thickBot="1" x14ac:dyDescent="0.3">
      <c r="F146" s="1018" t="s">
        <v>293</v>
      </c>
      <c r="G146" s="951"/>
      <c r="H146" s="951"/>
      <c r="I146" s="951"/>
      <c r="J146" s="951"/>
      <c r="K146" s="951"/>
      <c r="L146" s="951"/>
      <c r="M146" s="951"/>
      <c r="N146" s="951"/>
      <c r="O146" s="952"/>
    </row>
    <row r="147" spans="6:15" ht="48" thickBot="1" x14ac:dyDescent="0.3">
      <c r="F147" s="457" t="s">
        <v>0</v>
      </c>
      <c r="G147" s="457" t="s">
        <v>1</v>
      </c>
      <c r="H147" s="457" t="s">
        <v>2</v>
      </c>
      <c r="I147" s="457" t="s">
        <v>650</v>
      </c>
      <c r="J147" s="473" t="s">
        <v>648</v>
      </c>
      <c r="K147" s="879" t="s">
        <v>692</v>
      </c>
      <c r="L147" s="880"/>
      <c r="M147" s="473" t="s">
        <v>375</v>
      </c>
      <c r="N147" s="644" t="s">
        <v>768</v>
      </c>
      <c r="O147" s="292" t="s">
        <v>177</v>
      </c>
    </row>
    <row r="148" spans="6:15" ht="31.5" x14ac:dyDescent="0.35">
      <c r="F148" s="295" t="s">
        <v>389</v>
      </c>
      <c r="G148" s="200" t="s">
        <v>292</v>
      </c>
      <c r="H148" s="63">
        <v>84</v>
      </c>
      <c r="I148" s="63">
        <v>2.2000000000000002</v>
      </c>
      <c r="J148" s="63">
        <v>1</v>
      </c>
      <c r="K148" s="877">
        <v>1</v>
      </c>
      <c r="L148" s="878"/>
      <c r="M148" s="63">
        <f>J148-K148</f>
        <v>0</v>
      </c>
      <c r="N148" s="179">
        <f>M148/I148</f>
        <v>0</v>
      </c>
      <c r="O148" s="953" t="s">
        <v>814</v>
      </c>
    </row>
    <row r="149" spans="6:15" ht="18.75" x14ac:dyDescent="0.35">
      <c r="F149" s="286" t="s">
        <v>182</v>
      </c>
      <c r="G149" s="107" t="s">
        <v>175</v>
      </c>
      <c r="H149" s="60">
        <v>18</v>
      </c>
      <c r="I149" s="60">
        <v>1</v>
      </c>
      <c r="J149" s="60">
        <v>1</v>
      </c>
      <c r="K149" s="1021">
        <f>(J148/H148)*(1/1)*(H149/1)</f>
        <v>0.21428571428571427</v>
      </c>
      <c r="L149" s="1022"/>
      <c r="M149" s="60">
        <f>J149-K149</f>
        <v>0.7857142857142857</v>
      </c>
      <c r="N149" s="166">
        <f>M149/I149</f>
        <v>0.7857142857142857</v>
      </c>
      <c r="O149" s="954"/>
    </row>
    <row r="150" spans="6:15" x14ac:dyDescent="0.25">
      <c r="F150" s="286" t="s">
        <v>390</v>
      </c>
      <c r="G150" s="107" t="s">
        <v>85</v>
      </c>
      <c r="H150" s="60">
        <v>40</v>
      </c>
      <c r="I150" s="60">
        <v>2.13</v>
      </c>
      <c r="J150" s="60">
        <v>0</v>
      </c>
      <c r="K150" s="168">
        <f>(J148/H148)*(1/1)*(H150/1)</f>
        <v>0.47619047619047616</v>
      </c>
      <c r="L150" s="167">
        <f>(J149/H149)*(1/1)*(H150/1)</f>
        <v>2.2222222222222223</v>
      </c>
      <c r="M150" s="60">
        <f>K150</f>
        <v>0.47619047619047616</v>
      </c>
      <c r="N150" s="166">
        <f>M150/I150</f>
        <v>0.22356360384529397</v>
      </c>
      <c r="O150" s="954"/>
    </row>
    <row r="151" spans="6:15" ht="19.5" thickBot="1" x14ac:dyDescent="0.4">
      <c r="F151" s="296" t="s">
        <v>291</v>
      </c>
      <c r="G151" s="104" t="s">
        <v>290</v>
      </c>
      <c r="H151" s="64">
        <v>62</v>
      </c>
      <c r="I151" s="64">
        <v>1.67</v>
      </c>
      <c r="J151" s="64">
        <v>0</v>
      </c>
      <c r="K151" s="164">
        <f>(J148/H148)*(1/1)*(H151/1)</f>
        <v>0.73809523809523803</v>
      </c>
      <c r="L151" s="163">
        <f>(J149/H149)*(1/1)*(H151/1)</f>
        <v>3.4444444444444442</v>
      </c>
      <c r="M151" s="64">
        <f>K151</f>
        <v>0.73809523809523803</v>
      </c>
      <c r="N151" s="162">
        <f>M151/I151</f>
        <v>0.4419731964642144</v>
      </c>
      <c r="O151" s="954"/>
    </row>
    <row r="152" spans="6:15" ht="16.5" thickBot="1" x14ac:dyDescent="0.3">
      <c r="F152" s="1038" t="s">
        <v>180</v>
      </c>
      <c r="G152" s="1054"/>
      <c r="H152" s="1038"/>
      <c r="I152" s="1038"/>
      <c r="J152" s="467">
        <v>2</v>
      </c>
      <c r="K152" s="161">
        <f>SUM(K148:L149)-SUM(K150:K151)</f>
        <v>0</v>
      </c>
      <c r="L152" s="467">
        <f>SUM(K148:L149)-SUM(L150:L151)</f>
        <v>-4.4523809523809517</v>
      </c>
      <c r="M152" s="467">
        <f>SUM(M148:M151)</f>
        <v>2</v>
      </c>
      <c r="N152" s="518">
        <f>SUM(N148:N151)</f>
        <v>1.4512510860237942</v>
      </c>
      <c r="O152" s="955"/>
    </row>
    <row r="153" spans="6:15" ht="16.5" thickBot="1" x14ac:dyDescent="0.3"/>
    <row r="154" spans="6:15" s="3" customFormat="1" ht="16.5" thickBot="1" x14ac:dyDescent="0.3">
      <c r="F154" s="1051" t="s">
        <v>681</v>
      </c>
      <c r="G154" s="1052"/>
      <c r="H154" s="1052"/>
      <c r="I154" s="1052"/>
      <c r="J154" s="1052"/>
      <c r="K154" s="1052"/>
      <c r="L154" s="1052"/>
      <c r="M154" s="1052"/>
      <c r="N154" s="1052"/>
      <c r="O154" s="1053"/>
    </row>
    <row r="155" spans="6:15" ht="16.5" thickBot="1" x14ac:dyDescent="0.3">
      <c r="F155" s="1048" t="s">
        <v>624</v>
      </c>
      <c r="G155" s="1049"/>
      <c r="H155" s="1049"/>
      <c r="I155" s="1049"/>
      <c r="J155" s="1049"/>
      <c r="K155" s="1049"/>
      <c r="L155" s="1049"/>
      <c r="M155" s="1049"/>
      <c r="N155" s="1049"/>
      <c r="O155" s="1050"/>
    </row>
    <row r="156" spans="6:15" ht="48" thickBot="1" x14ac:dyDescent="0.3">
      <c r="F156" s="566" t="s">
        <v>0</v>
      </c>
      <c r="G156" s="568" t="s">
        <v>1</v>
      </c>
      <c r="H156" s="567" t="s">
        <v>2</v>
      </c>
      <c r="I156" s="568" t="s">
        <v>650</v>
      </c>
      <c r="J156" s="574" t="s">
        <v>648</v>
      </c>
      <c r="K156" s="879" t="s">
        <v>692</v>
      </c>
      <c r="L156" s="880"/>
      <c r="M156" s="574" t="s">
        <v>375</v>
      </c>
      <c r="N156" s="644" t="s">
        <v>768</v>
      </c>
      <c r="O156" s="292" t="s">
        <v>691</v>
      </c>
    </row>
    <row r="157" spans="6:15" ht="33" customHeight="1" x14ac:dyDescent="0.35">
      <c r="F157" s="285" t="s">
        <v>626</v>
      </c>
      <c r="G157" s="186" t="s">
        <v>289</v>
      </c>
      <c r="H157" s="591">
        <v>158</v>
      </c>
      <c r="I157" s="65">
        <v>1.67</v>
      </c>
      <c r="J157" s="63">
        <v>0.5</v>
      </c>
      <c r="K157" s="1028">
        <v>0</v>
      </c>
      <c r="L157" s="1028"/>
      <c r="M157" s="63">
        <f>J157</f>
        <v>0.5</v>
      </c>
      <c r="N157" s="195">
        <f>M157/I157</f>
        <v>0.29940119760479045</v>
      </c>
      <c r="O157" s="1045" t="s">
        <v>575</v>
      </c>
    </row>
    <row r="158" spans="6:15" ht="33" customHeight="1" x14ac:dyDescent="0.25">
      <c r="F158" s="286" t="s">
        <v>849</v>
      </c>
      <c r="G158" s="338" t="s">
        <v>41</v>
      </c>
      <c r="H158" s="572">
        <v>74</v>
      </c>
      <c r="I158" s="594">
        <v>1.98</v>
      </c>
      <c r="J158" s="60">
        <v>0.5</v>
      </c>
      <c r="K158" s="1040">
        <v>0</v>
      </c>
      <c r="L158" s="1040"/>
      <c r="M158" s="60">
        <f>J158</f>
        <v>0.5</v>
      </c>
      <c r="N158" s="196">
        <f>M158/I158</f>
        <v>0.25252525252525254</v>
      </c>
      <c r="O158" s="1046"/>
    </row>
    <row r="159" spans="6:15" ht="16.5" thickBot="1" x14ac:dyDescent="0.3">
      <c r="F159" s="286" t="s">
        <v>288</v>
      </c>
      <c r="G159" s="339" t="s">
        <v>340</v>
      </c>
      <c r="H159" s="340" t="s">
        <v>351</v>
      </c>
      <c r="I159" s="594">
        <v>0.27</v>
      </c>
      <c r="J159" s="60">
        <v>0.5</v>
      </c>
      <c r="K159" s="1041">
        <v>0</v>
      </c>
      <c r="L159" s="1042"/>
      <c r="M159" s="60">
        <f>J159</f>
        <v>0.5</v>
      </c>
      <c r="N159" s="196">
        <f>M159/I159</f>
        <v>1.8518518518518516</v>
      </c>
      <c r="O159" s="1046"/>
    </row>
    <row r="160" spans="6:15" ht="28.5" customHeight="1" thickBot="1" x14ac:dyDescent="0.3">
      <c r="F160" s="1038" t="s">
        <v>180</v>
      </c>
      <c r="G160" s="1038"/>
      <c r="H160" s="1038"/>
      <c r="I160" s="1038"/>
      <c r="J160" s="581">
        <f>SUM(J157:J159)</f>
        <v>1.5</v>
      </c>
      <c r="K160" s="1043">
        <f>SUM(K157:L159)</f>
        <v>0</v>
      </c>
      <c r="L160" s="1044"/>
      <c r="M160" s="581">
        <f>SUM(M157:M159)</f>
        <v>1.5</v>
      </c>
      <c r="N160" s="1">
        <f>SUM(N157:N159)</f>
        <v>2.4037783019818946</v>
      </c>
      <c r="O160" s="1047"/>
    </row>
    <row r="161" spans="3:19" ht="16.5" thickBot="1" x14ac:dyDescent="0.3"/>
    <row r="162" spans="3:19" ht="15" customHeight="1" thickBot="1" x14ac:dyDescent="0.3">
      <c r="F162" s="1055" t="s">
        <v>415</v>
      </c>
      <c r="G162" s="1056"/>
      <c r="H162" s="1056"/>
      <c r="I162" s="1056"/>
      <c r="J162" s="1056"/>
      <c r="K162" s="1056"/>
      <c r="L162" s="1056"/>
      <c r="M162" s="1056"/>
      <c r="N162" s="1056"/>
      <c r="O162" s="1057"/>
    </row>
    <row r="163" spans="3:19" ht="18" thickBot="1" x14ac:dyDescent="0.3">
      <c r="F163" s="1061" t="s">
        <v>287</v>
      </c>
      <c r="G163" s="1062"/>
      <c r="H163" s="1062"/>
      <c r="I163" s="1062"/>
      <c r="J163" s="1062"/>
      <c r="K163" s="1062"/>
      <c r="L163" s="1062"/>
      <c r="M163" s="1062"/>
      <c r="N163" s="1062"/>
      <c r="O163" s="1063"/>
    </row>
    <row r="164" spans="3:19" ht="48" thickBot="1" x14ac:dyDescent="0.3">
      <c r="F164" s="457" t="s">
        <v>0</v>
      </c>
      <c r="G164" s="457" t="s">
        <v>1</v>
      </c>
      <c r="H164" s="457" t="s">
        <v>2</v>
      </c>
      <c r="I164" s="457" t="s">
        <v>650</v>
      </c>
      <c r="J164" s="473" t="s">
        <v>648</v>
      </c>
      <c r="K164" s="879" t="s">
        <v>692</v>
      </c>
      <c r="L164" s="880"/>
      <c r="M164" s="473" t="s">
        <v>375</v>
      </c>
      <c r="N164" s="644" t="s">
        <v>768</v>
      </c>
      <c r="O164" s="292" t="s">
        <v>177</v>
      </c>
    </row>
    <row r="165" spans="3:19" x14ac:dyDescent="0.25">
      <c r="F165" s="293" t="s">
        <v>208</v>
      </c>
      <c r="G165" s="180" t="s">
        <v>89</v>
      </c>
      <c r="H165" s="105">
        <v>22</v>
      </c>
      <c r="I165" s="105">
        <v>0.97</v>
      </c>
      <c r="J165" s="105">
        <v>5</v>
      </c>
      <c r="K165" s="1016">
        <v>5</v>
      </c>
      <c r="L165" s="1017"/>
      <c r="M165" s="105">
        <f>J165-K165</f>
        <v>0</v>
      </c>
      <c r="N165" s="179">
        <f>M165/I165</f>
        <v>0</v>
      </c>
      <c r="O165" s="1064" t="s">
        <v>815</v>
      </c>
    </row>
    <row r="166" spans="3:19" ht="18.75" x14ac:dyDescent="0.35">
      <c r="F166" s="289" t="s">
        <v>182</v>
      </c>
      <c r="G166" s="107" t="s">
        <v>175</v>
      </c>
      <c r="H166" s="60">
        <v>18</v>
      </c>
      <c r="I166" s="60">
        <v>1</v>
      </c>
      <c r="J166" s="60">
        <v>20</v>
      </c>
      <c r="K166" s="1021">
        <f>(J165/H165)*(2/2)*(H166/1)</f>
        <v>4.0909090909090908</v>
      </c>
      <c r="L166" s="1022"/>
      <c r="M166" s="60">
        <f>J166-K166</f>
        <v>15.90909090909091</v>
      </c>
      <c r="N166" s="482">
        <f>M166/I166</f>
        <v>15.90909090909091</v>
      </c>
      <c r="O166" s="1065"/>
    </row>
    <row r="167" spans="3:19" ht="31.5" customHeight="1" x14ac:dyDescent="0.25">
      <c r="F167" s="289" t="s">
        <v>286</v>
      </c>
      <c r="G167" s="107" t="s">
        <v>85</v>
      </c>
      <c r="H167" s="60">
        <v>40</v>
      </c>
      <c r="I167" s="60">
        <v>2.13</v>
      </c>
      <c r="J167" s="60">
        <v>0</v>
      </c>
      <c r="K167" s="168">
        <f>(J165/H165)*(2/2)*(H167/1)</f>
        <v>9.0909090909090899</v>
      </c>
      <c r="L167" s="167">
        <f>(J166/H166)*(2/2)*(H167/1)</f>
        <v>44.444444444444443</v>
      </c>
      <c r="M167" s="60">
        <f>K167</f>
        <v>9.0909090909090899</v>
      </c>
      <c r="N167" s="196">
        <f>M167/I167</f>
        <v>4.2680324370465215</v>
      </c>
      <c r="O167" s="1065"/>
    </row>
    <row r="168" spans="3:19" ht="19.5" thickBot="1" x14ac:dyDescent="0.3">
      <c r="F168" s="290" t="s">
        <v>84</v>
      </c>
      <c r="G168" s="64" t="s">
        <v>241</v>
      </c>
      <c r="H168" s="64">
        <v>2</v>
      </c>
      <c r="I168" s="64">
        <v>1</v>
      </c>
      <c r="J168" s="64">
        <v>0</v>
      </c>
      <c r="K168" s="164">
        <f>(J165/H165)*(1/2)*(H168/1)</f>
        <v>0.22727272727272727</v>
      </c>
      <c r="L168" s="163">
        <f>(J166/H166)*(1/2)*(H168/1)</f>
        <v>1.1111111111111112</v>
      </c>
      <c r="M168" s="64">
        <f>K168</f>
        <v>0.22727272727272727</v>
      </c>
      <c r="N168" s="162">
        <f>M168/I168</f>
        <v>0.22727272727272727</v>
      </c>
      <c r="O168" s="1065"/>
    </row>
    <row r="169" spans="3:19" ht="16.5" thickBot="1" x14ac:dyDescent="0.3">
      <c r="F169" s="941" t="s">
        <v>53</v>
      </c>
      <c r="G169" s="942"/>
      <c r="H169" s="942"/>
      <c r="I169" s="942"/>
      <c r="J169" s="467">
        <f>SUM(J165:J168)</f>
        <v>25</v>
      </c>
      <c r="K169" s="161">
        <f>SUM(K165:L166)-SUM(K167:K168)</f>
        <v>-0.22727272727272663</v>
      </c>
      <c r="L169" s="467">
        <f>SUM(K165:L166)-SUM(L167:L168)</f>
        <v>-36.464646464646464</v>
      </c>
      <c r="M169" s="467">
        <f>SUM(M165:M168)</f>
        <v>25.227272727272727</v>
      </c>
      <c r="N169" s="467">
        <f>SUM(N165:N168)</f>
        <v>20.404396073410158</v>
      </c>
      <c r="O169" s="1066"/>
    </row>
    <row r="170" spans="3:19" s="3" customFormat="1" ht="16.5" thickBot="1" x14ac:dyDescent="0.3">
      <c r="F170" s="1015" t="s">
        <v>683</v>
      </c>
      <c r="G170" s="1015"/>
      <c r="H170" s="1015"/>
      <c r="I170" s="1015"/>
      <c r="J170" s="1015"/>
      <c r="K170" s="1015"/>
      <c r="L170" s="1015"/>
      <c r="M170" s="1015"/>
      <c r="N170" s="1015"/>
      <c r="O170" s="1015"/>
    </row>
    <row r="171" spans="3:19" ht="18" thickBot="1" x14ac:dyDescent="0.3">
      <c r="F171" s="1061" t="s">
        <v>285</v>
      </c>
      <c r="G171" s="1062"/>
      <c r="H171" s="1062"/>
      <c r="I171" s="1062"/>
      <c r="J171" s="1062"/>
      <c r="K171" s="1062"/>
      <c r="L171" s="1062"/>
      <c r="M171" s="1062"/>
      <c r="N171" s="1062"/>
      <c r="O171" s="1063"/>
    </row>
    <row r="172" spans="3:19" ht="48" thickBot="1" x14ac:dyDescent="0.3">
      <c r="F172" s="457" t="s">
        <v>0</v>
      </c>
      <c r="G172" s="457" t="s">
        <v>1</v>
      </c>
      <c r="H172" s="457" t="s">
        <v>2</v>
      </c>
      <c r="I172" s="457" t="s">
        <v>653</v>
      </c>
      <c r="J172" s="473" t="s">
        <v>648</v>
      </c>
      <c r="K172" s="879" t="s">
        <v>692</v>
      </c>
      <c r="L172" s="880"/>
      <c r="M172" s="473" t="s">
        <v>375</v>
      </c>
      <c r="N172" s="644" t="s">
        <v>768</v>
      </c>
      <c r="O172" s="292" t="s">
        <v>177</v>
      </c>
    </row>
    <row r="173" spans="3:19" s="8" customFormat="1" ht="27.75" customHeight="1" x14ac:dyDescent="0.25">
      <c r="C173" s="539"/>
      <c r="F173" s="293" t="s">
        <v>83</v>
      </c>
      <c r="G173" s="105" t="s">
        <v>85</v>
      </c>
      <c r="H173" s="105">
        <v>40</v>
      </c>
      <c r="I173" s="105">
        <v>0.97</v>
      </c>
      <c r="J173" s="105">
        <v>2</v>
      </c>
      <c r="K173" s="1016">
        <f>J173</f>
        <v>2</v>
      </c>
      <c r="L173" s="1017"/>
      <c r="M173" s="105">
        <f>J173-K173</f>
        <v>0</v>
      </c>
      <c r="N173" s="179">
        <f>M173/I173</f>
        <v>0</v>
      </c>
      <c r="O173" s="1058" t="s">
        <v>884</v>
      </c>
      <c r="P173" s="6"/>
      <c r="Q173" s="6"/>
      <c r="R173" s="6"/>
      <c r="S173" s="6"/>
    </row>
    <row r="174" spans="3:19" x14ac:dyDescent="0.25">
      <c r="F174" s="289" t="s">
        <v>391</v>
      </c>
      <c r="G174" s="107" t="s">
        <v>248</v>
      </c>
      <c r="H174" s="60">
        <v>318</v>
      </c>
      <c r="I174" s="60">
        <v>1.28</v>
      </c>
      <c r="J174" s="60">
        <v>3</v>
      </c>
      <c r="K174" s="1021">
        <f>(J173)*(1/H173)*(1/46)*(H174/1)</f>
        <v>0.34565217391304348</v>
      </c>
      <c r="L174" s="1022"/>
      <c r="M174" s="60">
        <f>J174-K174</f>
        <v>2.6543478260869566</v>
      </c>
      <c r="N174" s="482">
        <f>M174/I174</f>
        <v>2.073709239130435</v>
      </c>
      <c r="O174" s="1059"/>
    </row>
    <row r="175" spans="3:19" x14ac:dyDescent="0.25">
      <c r="F175" s="289" t="s">
        <v>208</v>
      </c>
      <c r="G175" s="107" t="s">
        <v>89</v>
      </c>
      <c r="H175" s="60">
        <v>22</v>
      </c>
      <c r="I175" s="60">
        <v>0.97</v>
      </c>
      <c r="J175" s="60">
        <v>0</v>
      </c>
      <c r="K175" s="168">
        <f>(J173/H173)*(46/46)*(H175/1)</f>
        <v>1.1000000000000001</v>
      </c>
      <c r="L175" s="167">
        <f>(J174/H174)*(46/1)*(H175/1)</f>
        <v>9.547169811320753</v>
      </c>
      <c r="M175" s="60">
        <f>K175</f>
        <v>1.1000000000000001</v>
      </c>
      <c r="N175" s="166">
        <f>M175/I175</f>
        <v>1.1340206185567012</v>
      </c>
      <c r="O175" s="1059"/>
    </row>
    <row r="176" spans="3:19" ht="18.75" x14ac:dyDescent="0.35">
      <c r="F176" s="289" t="s">
        <v>392</v>
      </c>
      <c r="G176" s="432" t="s">
        <v>284</v>
      </c>
      <c r="H176" s="60">
        <v>46</v>
      </c>
      <c r="I176" s="60">
        <v>1.22</v>
      </c>
      <c r="J176" s="60">
        <v>0</v>
      </c>
      <c r="K176" s="168">
        <f>(J173/H173)*(20/46)*(H176/1)</f>
        <v>1</v>
      </c>
      <c r="L176" s="167">
        <f>(J174/H174)*(20/1)*(H176/1)</f>
        <v>8.6792452830188669</v>
      </c>
      <c r="M176" s="60">
        <f>K176</f>
        <v>1</v>
      </c>
      <c r="N176" s="166">
        <f>M176/I176</f>
        <v>0.81967213114754101</v>
      </c>
      <c r="O176" s="1059"/>
    </row>
    <row r="177" spans="3:19" ht="19.5" thickBot="1" x14ac:dyDescent="0.3">
      <c r="F177" s="290" t="s">
        <v>182</v>
      </c>
      <c r="G177" s="64" t="s">
        <v>241</v>
      </c>
      <c r="H177" s="64">
        <v>2</v>
      </c>
      <c r="I177" s="64">
        <v>1</v>
      </c>
      <c r="J177" s="64">
        <v>0</v>
      </c>
      <c r="K177" s="164">
        <f>(J173/H173)*(10/46)*(H177/1)</f>
        <v>2.1739130434782608E-2</v>
      </c>
      <c r="L177" s="163">
        <f>(J174/H174)*(10/1)*(H177/1)</f>
        <v>0.18867924528301885</v>
      </c>
      <c r="M177" s="474">
        <f>K177</f>
        <v>2.1739130434782608E-2</v>
      </c>
      <c r="N177" s="482">
        <f>M177/I177</f>
        <v>2.1739130434782608E-2</v>
      </c>
      <c r="O177" s="1059"/>
    </row>
    <row r="178" spans="3:19" ht="16.5" thickBot="1" x14ac:dyDescent="0.3">
      <c r="F178" s="941" t="s">
        <v>53</v>
      </c>
      <c r="G178" s="942"/>
      <c r="H178" s="942"/>
      <c r="I178" s="942"/>
      <c r="J178" s="467">
        <v>5</v>
      </c>
      <c r="K178" s="161">
        <f>SUM(K173:L174)-SUM(K175:K177)</f>
        <v>0.22391304347826058</v>
      </c>
      <c r="L178" s="455">
        <f>SUM(K173:L174)-SUM(L175:L177)</f>
        <v>-16.069442165709596</v>
      </c>
      <c r="M178" s="506">
        <f>SUM(M173:M177)</f>
        <v>4.7760869565217385</v>
      </c>
      <c r="N178" s="206">
        <f>SUM(N173:N177)</f>
        <v>4.0491411192694597</v>
      </c>
      <c r="O178" s="1060"/>
    </row>
    <row r="179" spans="3:19" ht="16.5" thickBot="1" x14ac:dyDescent="0.3">
      <c r="F179" s="1015" t="s">
        <v>682</v>
      </c>
      <c r="G179" s="1015"/>
      <c r="H179" s="1015"/>
      <c r="I179" s="1015"/>
      <c r="J179" s="1015"/>
      <c r="K179" s="1015"/>
      <c r="L179" s="1015"/>
      <c r="M179" s="1015"/>
      <c r="N179" s="1015"/>
      <c r="O179" s="1015"/>
    </row>
    <row r="180" spans="3:19" ht="18" thickBot="1" x14ac:dyDescent="0.3">
      <c r="F180" s="1035" t="s">
        <v>283</v>
      </c>
      <c r="G180" s="1036"/>
      <c r="H180" s="1036"/>
      <c r="I180" s="1036"/>
      <c r="J180" s="1036"/>
      <c r="K180" s="1036"/>
      <c r="L180" s="1036"/>
      <c r="M180" s="1036"/>
      <c r="N180" s="1036"/>
      <c r="O180" s="1037"/>
    </row>
    <row r="181" spans="3:19" ht="48" thickBot="1" x14ac:dyDescent="0.3">
      <c r="F181" s="457" t="s">
        <v>0</v>
      </c>
      <c r="G181" s="457" t="s">
        <v>1</v>
      </c>
      <c r="H181" s="457" t="s">
        <v>2</v>
      </c>
      <c r="I181" s="457" t="s">
        <v>653</v>
      </c>
      <c r="J181" s="473" t="s">
        <v>648</v>
      </c>
      <c r="K181" s="879" t="s">
        <v>692</v>
      </c>
      <c r="L181" s="880"/>
      <c r="M181" s="473" t="s">
        <v>375</v>
      </c>
      <c r="N181" s="644" t="s">
        <v>768</v>
      </c>
      <c r="O181" s="292" t="s">
        <v>177</v>
      </c>
    </row>
    <row r="182" spans="3:19" s="8" customFormat="1" ht="33" customHeight="1" x14ac:dyDescent="0.25">
      <c r="C182" s="6"/>
      <c r="F182" s="288" t="s">
        <v>83</v>
      </c>
      <c r="G182" s="63" t="s">
        <v>85</v>
      </c>
      <c r="H182" s="63">
        <v>22</v>
      </c>
      <c r="I182" s="63">
        <v>0.97</v>
      </c>
      <c r="J182" s="63">
        <v>2</v>
      </c>
      <c r="K182" s="877">
        <f>J182</f>
        <v>2</v>
      </c>
      <c r="L182" s="878"/>
      <c r="M182" s="63">
        <f>J182-K182</f>
        <v>0</v>
      </c>
      <c r="N182" s="205">
        <f>M182/I182</f>
        <v>0</v>
      </c>
      <c r="O182" s="1058" t="s">
        <v>788</v>
      </c>
      <c r="P182" s="6"/>
      <c r="Q182" s="6"/>
      <c r="R182" s="6"/>
      <c r="S182" s="6"/>
    </row>
    <row r="183" spans="3:19" ht="18.75" x14ac:dyDescent="0.25">
      <c r="C183" s="539"/>
      <c r="F183" s="289" t="s">
        <v>282</v>
      </c>
      <c r="G183" s="59" t="s">
        <v>281</v>
      </c>
      <c r="H183" s="60">
        <v>327</v>
      </c>
      <c r="I183" s="60">
        <v>1.28</v>
      </c>
      <c r="J183" s="60">
        <v>3</v>
      </c>
      <c r="K183" s="1021">
        <f>(J183)*(1/H183)*(1/1)*(H183/1)</f>
        <v>3</v>
      </c>
      <c r="L183" s="1022"/>
      <c r="M183" s="60">
        <f>J183-K183</f>
        <v>0</v>
      </c>
      <c r="N183" s="480">
        <f>M183/I183</f>
        <v>0</v>
      </c>
      <c r="O183" s="1082"/>
    </row>
    <row r="184" spans="3:19" ht="18.75" x14ac:dyDescent="0.35">
      <c r="F184" s="834"/>
      <c r="G184" s="204" t="s">
        <v>280</v>
      </c>
      <c r="H184" s="60">
        <v>182</v>
      </c>
      <c r="I184" s="60">
        <v>0.98</v>
      </c>
      <c r="J184" s="60">
        <v>0</v>
      </c>
      <c r="K184" s="168">
        <f>(J182/H182)*(1/1)*(H184/1)</f>
        <v>16.545454545454547</v>
      </c>
      <c r="L184" s="167">
        <f>(J183/H183)*(1/1)*(H184/1)</f>
        <v>1.669724770642202</v>
      </c>
      <c r="M184" s="60">
        <f>L184</f>
        <v>1.669724770642202</v>
      </c>
      <c r="N184" s="464">
        <f>M184/I184</f>
        <v>1.7038007863695939</v>
      </c>
      <c r="O184" s="1082"/>
    </row>
    <row r="185" spans="3:19" ht="32.25" thickBot="1" x14ac:dyDescent="0.3">
      <c r="F185" s="290" t="s">
        <v>279</v>
      </c>
      <c r="G185" s="203" t="s">
        <v>278</v>
      </c>
      <c r="H185" s="64">
        <v>185</v>
      </c>
      <c r="I185" s="64">
        <v>0.64</v>
      </c>
      <c r="J185" s="64">
        <v>0</v>
      </c>
      <c r="K185" s="164">
        <f>(J182/H182)*(1/1)*(H185/1)</f>
        <v>16.81818181818182</v>
      </c>
      <c r="L185" s="163">
        <f>(J183/H183)*(1/1)*(H185/1)</f>
        <v>1.6972477064220184</v>
      </c>
      <c r="M185" s="64">
        <f>L185</f>
        <v>1.6972477064220184</v>
      </c>
      <c r="N185" s="493">
        <f>M185/I185</f>
        <v>2.6519495412844036</v>
      </c>
      <c r="O185" s="1082"/>
    </row>
    <row r="186" spans="3:19" ht="16.5" thickBot="1" x14ac:dyDescent="0.3">
      <c r="F186" s="941" t="s">
        <v>53</v>
      </c>
      <c r="G186" s="942"/>
      <c r="H186" s="942"/>
      <c r="I186" s="942"/>
      <c r="J186" s="467">
        <f>SUM(J182:J185)</f>
        <v>5</v>
      </c>
      <c r="K186" s="161">
        <f>SUM(K182:L183)-SUM(K184:K185)</f>
        <v>-28.363636363636367</v>
      </c>
      <c r="L186" s="467">
        <f>SUM(K182:L183)-SUM(L184:L185)</f>
        <v>1.6330275229357794</v>
      </c>
      <c r="M186" s="467">
        <f>SUM(M182:M185)</f>
        <v>3.3669724770642206</v>
      </c>
      <c r="N186" s="455">
        <f>SUM(N182:N185)</f>
        <v>4.3557503276539977</v>
      </c>
      <c r="O186" s="1083"/>
    </row>
    <row r="187" spans="3:19" ht="16.5" thickBot="1" x14ac:dyDescent="0.3">
      <c r="F187" s="1015" t="s">
        <v>684</v>
      </c>
      <c r="G187" s="1015"/>
      <c r="H187" s="1015"/>
      <c r="I187" s="1015"/>
      <c r="J187" s="1015"/>
      <c r="K187" s="1015"/>
      <c r="L187" s="1015"/>
      <c r="M187" s="1015"/>
      <c r="N187" s="1015"/>
      <c r="O187" s="1015"/>
    </row>
    <row r="188" spans="3:19" ht="16.5" thickBot="1" x14ac:dyDescent="0.3">
      <c r="F188" s="1018" t="s">
        <v>416</v>
      </c>
      <c r="G188" s="951"/>
      <c r="H188" s="951"/>
      <c r="I188" s="951"/>
      <c r="J188" s="951"/>
      <c r="K188" s="951"/>
      <c r="L188" s="951"/>
      <c r="M188" s="951"/>
      <c r="N188" s="951"/>
      <c r="O188" s="952"/>
    </row>
    <row r="189" spans="3:19" ht="48" thickBot="1" x14ac:dyDescent="0.3">
      <c r="F189" s="457" t="s">
        <v>0</v>
      </c>
      <c r="G189" s="457" t="s">
        <v>1</v>
      </c>
      <c r="H189" s="457" t="s">
        <v>2</v>
      </c>
      <c r="I189" s="457" t="s">
        <v>654</v>
      </c>
      <c r="J189" s="473" t="s">
        <v>648</v>
      </c>
      <c r="K189" s="879" t="s">
        <v>692</v>
      </c>
      <c r="L189" s="880"/>
      <c r="M189" s="473" t="s">
        <v>375</v>
      </c>
      <c r="N189" s="644" t="s">
        <v>768</v>
      </c>
      <c r="O189" s="292" t="s">
        <v>691</v>
      </c>
    </row>
    <row r="190" spans="3:19" ht="18.75" x14ac:dyDescent="0.25">
      <c r="F190" s="288" t="s">
        <v>182</v>
      </c>
      <c r="G190" s="63" t="s">
        <v>241</v>
      </c>
      <c r="H190" s="63">
        <v>20</v>
      </c>
      <c r="I190" s="63">
        <v>1</v>
      </c>
      <c r="J190" s="63">
        <v>2</v>
      </c>
      <c r="K190" s="877">
        <v>0</v>
      </c>
      <c r="L190" s="878"/>
      <c r="M190" s="63">
        <f>J190</f>
        <v>2</v>
      </c>
      <c r="N190" s="195">
        <f>M190/I190</f>
        <v>2</v>
      </c>
      <c r="O190" s="1084" t="s">
        <v>573</v>
      </c>
    </row>
    <row r="191" spans="3:19" x14ac:dyDescent="0.25">
      <c r="F191" s="1067" t="s">
        <v>271</v>
      </c>
      <c r="G191" s="1070" t="s">
        <v>270</v>
      </c>
      <c r="H191" s="1073">
        <v>58</v>
      </c>
      <c r="I191" s="1073">
        <v>1.25</v>
      </c>
      <c r="J191" s="1073">
        <v>1</v>
      </c>
      <c r="K191" s="1076">
        <v>0</v>
      </c>
      <c r="L191" s="1077"/>
      <c r="M191" s="1073">
        <f>J191</f>
        <v>1</v>
      </c>
      <c r="N191" s="1087">
        <f>M191/I191</f>
        <v>0.8</v>
      </c>
      <c r="O191" s="1085"/>
      <c r="P191" s="539"/>
    </row>
    <row r="192" spans="3:19" x14ac:dyDescent="0.25">
      <c r="F192" s="1068"/>
      <c r="G192" s="1071"/>
      <c r="H192" s="1074"/>
      <c r="I192" s="1074"/>
      <c r="J192" s="1074"/>
      <c r="K192" s="1078"/>
      <c r="L192" s="1079"/>
      <c r="M192" s="1074"/>
      <c r="N192" s="1088"/>
      <c r="O192" s="1085"/>
    </row>
    <row r="193" spans="6:16" ht="16.5" thickBot="1" x14ac:dyDescent="0.3">
      <c r="F193" s="1069"/>
      <c r="G193" s="1072"/>
      <c r="H193" s="1075"/>
      <c r="I193" s="1075"/>
      <c r="J193" s="1075"/>
      <c r="K193" s="1080"/>
      <c r="L193" s="1081"/>
      <c r="M193" s="1075"/>
      <c r="N193" s="1089"/>
      <c r="O193" s="1085"/>
    </row>
    <row r="194" spans="6:16" ht="16.5" thickBot="1" x14ac:dyDescent="0.3">
      <c r="F194" s="1090" t="s">
        <v>53</v>
      </c>
      <c r="G194" s="1091"/>
      <c r="H194" s="1091"/>
      <c r="I194" s="1091"/>
      <c r="J194" s="514">
        <f>SUM(J190:J193)</f>
        <v>3</v>
      </c>
      <c r="K194" s="1092">
        <f>SUM(K190:L193)</f>
        <v>0</v>
      </c>
      <c r="L194" s="1093"/>
      <c r="M194" s="514">
        <f>SUM(M190:M193)</f>
        <v>3</v>
      </c>
      <c r="N194" s="514">
        <f>SUM(N190:N193)</f>
        <v>2.8</v>
      </c>
      <c r="O194" s="1086"/>
    </row>
    <row r="196" spans="6:16" ht="16.5" thickBot="1" x14ac:dyDescent="0.3">
      <c r="F196" s="1094"/>
      <c r="G196" s="1094"/>
      <c r="H196" s="1094"/>
      <c r="I196" s="1094"/>
      <c r="J196" s="1094"/>
      <c r="K196" s="1094"/>
      <c r="L196" s="1094"/>
      <c r="M196" s="1094"/>
      <c r="N196" s="1094"/>
      <c r="O196" s="1094"/>
    </row>
    <row r="197" spans="6:16" ht="16.5" thickBot="1" x14ac:dyDescent="0.3">
      <c r="F197" s="1018" t="s">
        <v>417</v>
      </c>
      <c r="G197" s="951"/>
      <c r="H197" s="951"/>
      <c r="I197" s="951"/>
      <c r="J197" s="951"/>
      <c r="K197" s="951"/>
      <c r="L197" s="951"/>
      <c r="M197" s="951"/>
      <c r="N197" s="951"/>
      <c r="O197" s="952"/>
      <c r="P197" s="539"/>
    </row>
    <row r="198" spans="6:16" ht="48" thickBot="1" x14ac:dyDescent="0.3">
      <c r="F198" s="457" t="s">
        <v>0</v>
      </c>
      <c r="G198" s="457" t="s">
        <v>1</v>
      </c>
      <c r="H198" s="457" t="s">
        <v>2</v>
      </c>
      <c r="I198" s="457" t="s">
        <v>654</v>
      </c>
      <c r="J198" s="473" t="s">
        <v>648</v>
      </c>
      <c r="K198" s="879" t="s">
        <v>692</v>
      </c>
      <c r="L198" s="880"/>
      <c r="M198" s="473" t="s">
        <v>375</v>
      </c>
      <c r="N198" s="644" t="s">
        <v>768</v>
      </c>
      <c r="O198" s="292" t="s">
        <v>177</v>
      </c>
    </row>
    <row r="199" spans="6:16" ht="29.25" customHeight="1" thickBot="1" x14ac:dyDescent="0.3">
      <c r="F199" s="288" t="s">
        <v>83</v>
      </c>
      <c r="G199" s="200" t="s">
        <v>85</v>
      </c>
      <c r="H199" s="63">
        <v>22</v>
      </c>
      <c r="I199" s="63">
        <v>0.97</v>
      </c>
      <c r="J199" s="63">
        <v>2</v>
      </c>
      <c r="K199" s="877">
        <v>0</v>
      </c>
      <c r="L199" s="878"/>
      <c r="M199" s="65">
        <f>J199</f>
        <v>2</v>
      </c>
      <c r="N199" s="179">
        <f>M199/I199</f>
        <v>2.061855670103093</v>
      </c>
      <c r="O199" s="1058" t="s">
        <v>789</v>
      </c>
    </row>
    <row r="200" spans="6:16" x14ac:dyDescent="0.25">
      <c r="F200" s="1067" t="s">
        <v>271</v>
      </c>
      <c r="G200" s="1070" t="s">
        <v>270</v>
      </c>
      <c r="H200" s="1073">
        <v>58</v>
      </c>
      <c r="I200" s="1073">
        <v>1.25</v>
      </c>
      <c r="J200" s="1073">
        <v>3</v>
      </c>
      <c r="K200" s="1076">
        <v>0</v>
      </c>
      <c r="L200" s="1077"/>
      <c r="M200" s="1098">
        <f>J200</f>
        <v>3</v>
      </c>
      <c r="N200" s="1100">
        <f>M200/I200</f>
        <v>2.4</v>
      </c>
      <c r="O200" s="1082"/>
    </row>
    <row r="201" spans="6:16" x14ac:dyDescent="0.25">
      <c r="F201" s="1068"/>
      <c r="G201" s="1071"/>
      <c r="H201" s="1074"/>
      <c r="I201" s="1074"/>
      <c r="J201" s="1074"/>
      <c r="K201" s="1078"/>
      <c r="L201" s="1079"/>
      <c r="M201" s="1099"/>
      <c r="N201" s="1088"/>
      <c r="O201" s="1082"/>
    </row>
    <row r="202" spans="6:16" ht="16.5" thickBot="1" x14ac:dyDescent="0.3">
      <c r="F202" s="1069"/>
      <c r="G202" s="1072"/>
      <c r="H202" s="1075"/>
      <c r="I202" s="1075"/>
      <c r="J202" s="1075"/>
      <c r="K202" s="1080"/>
      <c r="L202" s="1081"/>
      <c r="M202" s="894"/>
      <c r="N202" s="1089"/>
      <c r="O202" s="1082"/>
    </row>
    <row r="203" spans="6:16" ht="16.5" thickBot="1" x14ac:dyDescent="0.3">
      <c r="F203" s="1090" t="s">
        <v>53</v>
      </c>
      <c r="G203" s="1091"/>
      <c r="H203" s="1091"/>
      <c r="I203" s="1091"/>
      <c r="J203" s="514">
        <f>SUM(J199:J202)</f>
        <v>5</v>
      </c>
      <c r="K203" s="1092">
        <f>SUM(K199:L202)</f>
        <v>0</v>
      </c>
      <c r="L203" s="1093"/>
      <c r="M203" s="514">
        <f>SUM(M199:M202)</f>
        <v>5</v>
      </c>
      <c r="N203" s="514">
        <f>SUM(N199:N202)</f>
        <v>4.4618556701030929</v>
      </c>
      <c r="O203" s="1083"/>
      <c r="P203" s="539"/>
    </row>
    <row r="205" spans="6:16" ht="16.5" thickBot="1" x14ac:dyDescent="0.3">
      <c r="F205" s="1015" t="s">
        <v>685</v>
      </c>
      <c r="G205" s="1015"/>
      <c r="H205" s="1015"/>
      <c r="I205" s="1015"/>
      <c r="J205" s="1015"/>
      <c r="K205" s="1015"/>
      <c r="L205" s="1015"/>
      <c r="M205" s="1015"/>
      <c r="N205" s="1015"/>
      <c r="O205" s="1015"/>
    </row>
    <row r="206" spans="6:16" ht="18" thickBot="1" x14ac:dyDescent="0.3">
      <c r="F206" s="1061" t="s">
        <v>277</v>
      </c>
      <c r="G206" s="1062"/>
      <c r="H206" s="1062"/>
      <c r="I206" s="1062"/>
      <c r="J206" s="1062"/>
      <c r="K206" s="1062"/>
      <c r="L206" s="1062"/>
      <c r="M206" s="1062"/>
      <c r="N206" s="1062"/>
      <c r="O206" s="1063"/>
    </row>
    <row r="207" spans="6:16" ht="48" thickBot="1" x14ac:dyDescent="0.3">
      <c r="F207" s="457" t="s">
        <v>0</v>
      </c>
      <c r="G207" s="457" t="s">
        <v>1</v>
      </c>
      <c r="H207" s="457" t="s">
        <v>2</v>
      </c>
      <c r="I207" s="457" t="s">
        <v>654</v>
      </c>
      <c r="J207" s="473" t="s">
        <v>648</v>
      </c>
      <c r="K207" s="879" t="s">
        <v>692</v>
      </c>
      <c r="L207" s="880"/>
      <c r="M207" s="473" t="s">
        <v>375</v>
      </c>
      <c r="N207" s="644" t="s">
        <v>768</v>
      </c>
      <c r="O207" s="292" t="s">
        <v>177</v>
      </c>
    </row>
    <row r="208" spans="6:16" x14ac:dyDescent="0.25">
      <c r="F208" s="293" t="s">
        <v>276</v>
      </c>
      <c r="G208" s="180" t="s">
        <v>275</v>
      </c>
      <c r="H208" s="105">
        <v>32</v>
      </c>
      <c r="I208" s="105">
        <v>2.0699999999999998</v>
      </c>
      <c r="J208" s="202">
        <v>0.2</v>
      </c>
      <c r="K208" s="877">
        <f>J208</f>
        <v>0.2</v>
      </c>
      <c r="L208" s="878"/>
      <c r="M208" s="63">
        <f>J208-K208</f>
        <v>0</v>
      </c>
      <c r="N208" s="195">
        <f>M208/I208</f>
        <v>0</v>
      </c>
      <c r="O208" s="1095" t="s">
        <v>719</v>
      </c>
    </row>
    <row r="209" spans="3:19" ht="18.75" x14ac:dyDescent="0.25">
      <c r="F209" s="289" t="s">
        <v>182</v>
      </c>
      <c r="G209" s="60" t="s">
        <v>241</v>
      </c>
      <c r="H209" s="60">
        <v>18</v>
      </c>
      <c r="I209" s="60">
        <v>1</v>
      </c>
      <c r="J209" s="201">
        <v>20</v>
      </c>
      <c r="K209" s="1021">
        <f>(J208/H208)*(2/2)*(H209/1)</f>
        <v>0.1125</v>
      </c>
      <c r="L209" s="1022"/>
      <c r="M209" s="60">
        <f>J209-K209</f>
        <v>19.887499999999999</v>
      </c>
      <c r="N209" s="196">
        <f>M209/I209</f>
        <v>19.887499999999999</v>
      </c>
      <c r="O209" s="1096"/>
    </row>
    <row r="210" spans="3:19" ht="18.75" x14ac:dyDescent="0.35">
      <c r="F210" s="289" t="s">
        <v>216</v>
      </c>
      <c r="G210" s="432" t="s">
        <v>274</v>
      </c>
      <c r="H210" s="60">
        <v>34</v>
      </c>
      <c r="I210" s="60">
        <v>1.83</v>
      </c>
      <c r="J210" s="201">
        <v>0</v>
      </c>
      <c r="K210" s="168">
        <f>(J208/H208)*(2/3)*(H210/1)</f>
        <v>0.14166666666666666</v>
      </c>
      <c r="L210" s="167">
        <f>(J209/H209)*(2/2)*(H210/1)</f>
        <v>37.777777777777779</v>
      </c>
      <c r="M210" s="60">
        <f>K210</f>
        <v>0.14166666666666666</v>
      </c>
      <c r="N210" s="166">
        <f>M210/I210</f>
        <v>7.7413479052823309E-2</v>
      </c>
      <c r="O210" s="1096"/>
    </row>
    <row r="211" spans="3:19" s="8" customFormat="1" ht="32.25" thickBot="1" x14ac:dyDescent="0.3">
      <c r="C211" s="640"/>
      <c r="F211" s="290" t="s">
        <v>715</v>
      </c>
      <c r="G211" s="64" t="s">
        <v>250</v>
      </c>
      <c r="H211" s="64">
        <v>64</v>
      </c>
      <c r="I211" s="64">
        <v>2.5999999999999999E-2</v>
      </c>
      <c r="J211" s="592">
        <v>0</v>
      </c>
      <c r="K211" s="164">
        <f>(J208/H208)*(1/3)*(H211/1)</f>
        <v>0.13333333333333333</v>
      </c>
      <c r="L211" s="163">
        <f>(J209/H209)*(1/2)*(H211/1)</f>
        <v>35.555555555555557</v>
      </c>
      <c r="M211" s="64">
        <f>K211</f>
        <v>0.13333333333333333</v>
      </c>
      <c r="N211" s="579">
        <f>M211/I211</f>
        <v>5.1282051282051286</v>
      </c>
      <c r="O211" s="1096"/>
      <c r="P211" s="6"/>
      <c r="Q211" s="6"/>
      <c r="R211" s="6"/>
      <c r="S211" s="6"/>
    </row>
    <row r="212" spans="3:19" ht="16.5" thickBot="1" x14ac:dyDescent="0.3">
      <c r="F212" s="941" t="s">
        <v>53</v>
      </c>
      <c r="G212" s="942"/>
      <c r="H212" s="942"/>
      <c r="I212" s="942"/>
      <c r="J212" s="467">
        <f>SUM(J208:J211)</f>
        <v>20.2</v>
      </c>
      <c r="K212" s="161">
        <f>SUM(K208:L209)-SUM(K210:K211)</f>
        <v>3.7499999999999978E-2</v>
      </c>
      <c r="L212" s="467">
        <f>SUM(K208:L209)-SUM(L210:L211)</f>
        <v>-73.020833333333343</v>
      </c>
      <c r="M212" s="467">
        <f>SUM(M208:M211)</f>
        <v>20.162499999999998</v>
      </c>
      <c r="N212" s="467">
        <f>SUM(N208:N211)</f>
        <v>25.093118607257949</v>
      </c>
      <c r="O212" s="1097"/>
    </row>
    <row r="214" spans="3:19" ht="16.5" thickBot="1" x14ac:dyDescent="0.3">
      <c r="F214" s="1015" t="s">
        <v>687</v>
      </c>
      <c r="G214" s="1015"/>
      <c r="H214" s="1015"/>
      <c r="I214" s="1015"/>
      <c r="J214" s="1015"/>
      <c r="K214" s="1015"/>
      <c r="L214" s="1015"/>
      <c r="M214" s="1015"/>
      <c r="N214" s="1015"/>
      <c r="O214" s="1015"/>
    </row>
    <row r="215" spans="3:19" ht="19.5" thickBot="1" x14ac:dyDescent="0.3">
      <c r="F215" s="1018" t="s">
        <v>273</v>
      </c>
      <c r="G215" s="951"/>
      <c r="H215" s="951"/>
      <c r="I215" s="951"/>
      <c r="J215" s="951"/>
      <c r="K215" s="951"/>
      <c r="L215" s="951"/>
      <c r="M215" s="951"/>
      <c r="N215" s="951"/>
      <c r="O215" s="952"/>
    </row>
    <row r="216" spans="3:19" ht="48" thickBot="1" x14ac:dyDescent="0.3">
      <c r="F216" s="457" t="s">
        <v>0</v>
      </c>
      <c r="G216" s="457" t="s">
        <v>1</v>
      </c>
      <c r="H216" s="457" t="s">
        <v>2</v>
      </c>
      <c r="I216" s="457" t="s">
        <v>654</v>
      </c>
      <c r="J216" s="473" t="s">
        <v>648</v>
      </c>
      <c r="K216" s="879" t="s">
        <v>692</v>
      </c>
      <c r="L216" s="880"/>
      <c r="M216" s="473" t="s">
        <v>375</v>
      </c>
      <c r="N216" s="644" t="s">
        <v>768</v>
      </c>
      <c r="O216" s="292" t="s">
        <v>177</v>
      </c>
    </row>
    <row r="217" spans="3:19" s="8" customFormat="1" ht="31.5" x14ac:dyDescent="0.25">
      <c r="C217" s="640"/>
      <c r="F217" s="288" t="s">
        <v>686</v>
      </c>
      <c r="G217" s="63" t="s">
        <v>85</v>
      </c>
      <c r="H217" s="63">
        <v>22</v>
      </c>
      <c r="I217" s="63">
        <v>0.97</v>
      </c>
      <c r="J217" s="63">
        <v>5</v>
      </c>
      <c r="K217" s="877">
        <f>J217</f>
        <v>5</v>
      </c>
      <c r="L217" s="878"/>
      <c r="M217" s="63">
        <f>J217-K217</f>
        <v>0</v>
      </c>
      <c r="N217" s="195">
        <f>M217/I217</f>
        <v>0</v>
      </c>
      <c r="O217" s="974" t="s">
        <v>790</v>
      </c>
      <c r="P217" s="6"/>
      <c r="Q217" s="6"/>
      <c r="R217" s="6"/>
      <c r="S217" s="6"/>
    </row>
    <row r="218" spans="3:19" ht="31.5" x14ac:dyDescent="0.25">
      <c r="F218" s="289" t="s">
        <v>154</v>
      </c>
      <c r="G218" s="197" t="s">
        <v>272</v>
      </c>
      <c r="H218" s="60">
        <v>36</v>
      </c>
      <c r="I218" s="60">
        <v>1.1200000000000001</v>
      </c>
      <c r="J218" s="60">
        <v>5</v>
      </c>
      <c r="K218" s="1021">
        <f>(J218)*(1/H218)*(1/1)*(H218/1)</f>
        <v>5</v>
      </c>
      <c r="L218" s="1022"/>
      <c r="M218" s="60">
        <f>J218-K218</f>
        <v>0</v>
      </c>
      <c r="N218" s="481">
        <f>M218/I218</f>
        <v>0</v>
      </c>
      <c r="O218" s="975"/>
    </row>
    <row r="219" spans="3:19" ht="18.75" x14ac:dyDescent="0.25">
      <c r="F219" s="289" t="s">
        <v>182</v>
      </c>
      <c r="G219" s="60" t="s">
        <v>241</v>
      </c>
      <c r="H219" s="60">
        <v>18</v>
      </c>
      <c r="I219" s="60">
        <v>1</v>
      </c>
      <c r="J219" s="60">
        <v>0</v>
      </c>
      <c r="K219" s="168">
        <f>(J217/H217)*(1/1)*(H219/1)</f>
        <v>4.0909090909090908</v>
      </c>
      <c r="L219" s="167">
        <f>(J218/H218)*(1/1)*(H219/1)</f>
        <v>2.5</v>
      </c>
      <c r="M219" s="60">
        <f>L219</f>
        <v>2.5</v>
      </c>
      <c r="N219" s="481">
        <f>M219/I219</f>
        <v>2.5</v>
      </c>
      <c r="O219" s="975"/>
    </row>
    <row r="220" spans="3:19" ht="16.5" thickBot="1" x14ac:dyDescent="0.3">
      <c r="F220" s="290" t="s">
        <v>80</v>
      </c>
      <c r="G220" s="104" t="s">
        <v>81</v>
      </c>
      <c r="H220" s="64">
        <v>58</v>
      </c>
      <c r="I220" s="64">
        <v>2.16</v>
      </c>
      <c r="J220" s="64">
        <v>0</v>
      </c>
      <c r="K220" s="164">
        <f>(J217/H217)*(1/1)*(H220/1)</f>
        <v>13.181818181818182</v>
      </c>
      <c r="L220" s="163">
        <f>(J218/H218)*(1/1)*(H220/1)</f>
        <v>8.0555555555555554</v>
      </c>
      <c r="M220" s="64">
        <f>L220</f>
        <v>8.0555555555555554</v>
      </c>
      <c r="N220" s="492">
        <f>M220/I220</f>
        <v>3.729423868312757</v>
      </c>
      <c r="O220" s="975"/>
      <c r="P220" s="539"/>
    </row>
    <row r="221" spans="3:19" ht="16.5" thickBot="1" x14ac:dyDescent="0.3">
      <c r="F221" s="941" t="s">
        <v>53</v>
      </c>
      <c r="G221" s="942"/>
      <c r="H221" s="942"/>
      <c r="I221" s="942"/>
      <c r="J221" s="467">
        <f>SUM(J217:J220)</f>
        <v>10</v>
      </c>
      <c r="K221" s="161">
        <f>SUM(K217:L218)-SUM(K219:K220)</f>
        <v>-7.2727272727272734</v>
      </c>
      <c r="L221" s="467">
        <f>SUM(K217:L218)-SUM(L219:L220)</f>
        <v>-0.55555555555555536</v>
      </c>
      <c r="M221" s="467">
        <f>SUM(M217:M220)</f>
        <v>10.555555555555555</v>
      </c>
      <c r="N221" s="467">
        <f>SUM(N217:N220)</f>
        <v>6.2294238683127574</v>
      </c>
      <c r="O221" s="976"/>
    </row>
    <row r="223" spans="3:19" ht="16.5" thickBot="1" x14ac:dyDescent="0.3">
      <c r="F223" s="1015" t="s">
        <v>688</v>
      </c>
      <c r="G223" s="1015"/>
      <c r="H223" s="1015"/>
      <c r="I223" s="1015"/>
      <c r="J223" s="1015"/>
      <c r="K223" s="1015"/>
      <c r="L223" s="1015"/>
      <c r="M223" s="1015"/>
      <c r="N223" s="1015"/>
      <c r="O223" s="1015"/>
    </row>
    <row r="224" spans="3:19" ht="16.5" thickBot="1" x14ac:dyDescent="0.3">
      <c r="F224" s="1018" t="s">
        <v>769</v>
      </c>
      <c r="G224" s="951"/>
      <c r="H224" s="951"/>
      <c r="I224" s="951"/>
      <c r="J224" s="951"/>
      <c r="K224" s="951"/>
      <c r="L224" s="951"/>
      <c r="M224" s="951"/>
      <c r="N224" s="951"/>
      <c r="O224" s="952"/>
    </row>
    <row r="225" spans="3:15" ht="48" thickBot="1" x14ac:dyDescent="0.3">
      <c r="F225" s="457" t="s">
        <v>0</v>
      </c>
      <c r="G225" s="457" t="s">
        <v>1</v>
      </c>
      <c r="H225" s="457" t="s">
        <v>2</v>
      </c>
      <c r="I225" s="457" t="s">
        <v>654</v>
      </c>
      <c r="J225" s="473" t="s">
        <v>648</v>
      </c>
      <c r="K225" s="879" t="s">
        <v>692</v>
      </c>
      <c r="L225" s="880"/>
      <c r="M225" s="473" t="s">
        <v>375</v>
      </c>
      <c r="N225" s="644" t="s">
        <v>768</v>
      </c>
      <c r="O225" s="292" t="s">
        <v>177</v>
      </c>
    </row>
    <row r="226" spans="3:15" ht="32.25" thickBot="1" x14ac:dyDescent="0.3">
      <c r="C226" s="539"/>
      <c r="F226" s="286" t="s">
        <v>154</v>
      </c>
      <c r="G226" s="637" t="s">
        <v>272</v>
      </c>
      <c r="H226" s="594">
        <v>36</v>
      </c>
      <c r="I226" s="63">
        <v>1.1200000000000001</v>
      </c>
      <c r="J226" s="65">
        <v>5</v>
      </c>
      <c r="K226" s="877">
        <v>0</v>
      </c>
      <c r="L226" s="878"/>
      <c r="M226" s="65">
        <f>J226</f>
        <v>5</v>
      </c>
      <c r="N226" s="179">
        <f>M226/I226</f>
        <v>4.4642857142857135</v>
      </c>
      <c r="O226" s="974" t="s">
        <v>791</v>
      </c>
    </row>
    <row r="227" spans="3:15" x14ac:dyDescent="0.25">
      <c r="F227" s="1101" t="s">
        <v>271</v>
      </c>
      <c r="G227" s="1070" t="s">
        <v>726</v>
      </c>
      <c r="H227" s="1098">
        <v>58</v>
      </c>
      <c r="I227" s="1073">
        <v>1.25</v>
      </c>
      <c r="J227" s="1098">
        <v>3</v>
      </c>
      <c r="K227" s="1076">
        <v>0</v>
      </c>
      <c r="L227" s="1077"/>
      <c r="M227" s="1098">
        <f>J227</f>
        <v>3</v>
      </c>
      <c r="N227" s="1100">
        <f>M227/I227</f>
        <v>2.4</v>
      </c>
      <c r="O227" s="975"/>
    </row>
    <row r="228" spans="3:15" x14ac:dyDescent="0.25">
      <c r="F228" s="1102"/>
      <c r="G228" s="1071"/>
      <c r="H228" s="1099"/>
      <c r="I228" s="1074"/>
      <c r="J228" s="1099"/>
      <c r="K228" s="1078"/>
      <c r="L228" s="1079"/>
      <c r="M228" s="1099"/>
      <c r="N228" s="1088"/>
      <c r="O228" s="975"/>
    </row>
    <row r="229" spans="3:15" x14ac:dyDescent="0.25">
      <c r="F229" s="1102"/>
      <c r="G229" s="1071"/>
      <c r="H229" s="1099"/>
      <c r="I229" s="1074"/>
      <c r="J229" s="1099"/>
      <c r="K229" s="1078"/>
      <c r="L229" s="1079"/>
      <c r="M229" s="1099"/>
      <c r="N229" s="1088"/>
      <c r="O229" s="975"/>
    </row>
    <row r="230" spans="3:15" x14ac:dyDescent="0.25">
      <c r="F230" s="1102"/>
      <c r="G230" s="1071"/>
      <c r="H230" s="1099"/>
      <c r="I230" s="1074"/>
      <c r="J230" s="1099"/>
      <c r="K230" s="1078"/>
      <c r="L230" s="1079"/>
      <c r="M230" s="1099"/>
      <c r="N230" s="1088"/>
      <c r="O230" s="975"/>
    </row>
    <row r="231" spans="3:15" x14ac:dyDescent="0.25">
      <c r="F231" s="1102"/>
      <c r="G231" s="1071"/>
      <c r="H231" s="1099"/>
      <c r="I231" s="1074"/>
      <c r="J231" s="1099"/>
      <c r="K231" s="1078"/>
      <c r="L231" s="1079"/>
      <c r="M231" s="1099"/>
      <c r="N231" s="1088"/>
      <c r="O231" s="975"/>
    </row>
    <row r="232" spans="3:15" ht="16.5" thickBot="1" x14ac:dyDescent="0.3">
      <c r="F232" s="1102"/>
      <c r="G232" s="1072"/>
      <c r="H232" s="1099"/>
      <c r="I232" s="1075"/>
      <c r="J232" s="894"/>
      <c r="K232" s="1080"/>
      <c r="L232" s="1081"/>
      <c r="M232" s="894"/>
      <c r="N232" s="1089"/>
      <c r="O232" s="975"/>
    </row>
    <row r="233" spans="3:15" ht="16.5" thickBot="1" x14ac:dyDescent="0.3">
      <c r="F233" s="1090" t="s">
        <v>53</v>
      </c>
      <c r="G233" s="1091"/>
      <c r="H233" s="1091"/>
      <c r="I233" s="1091"/>
      <c r="J233" s="514">
        <f>SUM(J226:J232)</f>
        <v>8</v>
      </c>
      <c r="K233" s="1092">
        <f>SUM(K226:L232)</f>
        <v>0</v>
      </c>
      <c r="L233" s="1093"/>
      <c r="M233" s="514">
        <f>SUM(M226:M232)</f>
        <v>8</v>
      </c>
      <c r="N233" s="514">
        <f>SUM(N226:N232)</f>
        <v>6.8642857142857139</v>
      </c>
      <c r="O233" s="976"/>
    </row>
    <row r="234" spans="3:15" ht="16.5" thickBot="1" x14ac:dyDescent="0.3">
      <c r="F234" s="1103" t="s">
        <v>75</v>
      </c>
      <c r="G234" s="1104"/>
      <c r="H234" s="1104"/>
      <c r="I234" s="1104"/>
      <c r="J234" s="1104"/>
      <c r="K234" s="1104"/>
      <c r="L234" s="1104"/>
      <c r="M234" s="1104"/>
      <c r="N234" s="1104"/>
      <c r="O234" s="1105"/>
    </row>
    <row r="235" spans="3:15" ht="16.5" thickBot="1" x14ac:dyDescent="0.3">
      <c r="F235" s="1018" t="s">
        <v>769</v>
      </c>
      <c r="G235" s="951"/>
      <c r="H235" s="951"/>
      <c r="I235" s="951"/>
      <c r="J235" s="951"/>
      <c r="K235" s="951"/>
      <c r="L235" s="951"/>
      <c r="M235" s="951"/>
      <c r="N235" s="951"/>
      <c r="O235" s="952"/>
    </row>
    <row r="236" spans="3:15" ht="48" thickBot="1" x14ac:dyDescent="0.3">
      <c r="C236" s="539"/>
      <c r="F236" s="457" t="s">
        <v>0</v>
      </c>
      <c r="G236" s="457" t="s">
        <v>1</v>
      </c>
      <c r="H236" s="457" t="s">
        <v>2</v>
      </c>
      <c r="I236" s="457" t="s">
        <v>654</v>
      </c>
      <c r="J236" s="473" t="s">
        <v>648</v>
      </c>
      <c r="K236" s="879" t="s">
        <v>692</v>
      </c>
      <c r="L236" s="880"/>
      <c r="M236" s="473" t="s">
        <v>375</v>
      </c>
      <c r="N236" s="644" t="s">
        <v>768</v>
      </c>
      <c r="O236" s="292" t="s">
        <v>177</v>
      </c>
    </row>
    <row r="237" spans="3:15" ht="18.75" x14ac:dyDescent="0.25">
      <c r="F237" s="478" t="s">
        <v>45</v>
      </c>
      <c r="G237" s="105" t="s">
        <v>241</v>
      </c>
      <c r="H237" s="517">
        <v>18</v>
      </c>
      <c r="I237" s="517">
        <v>1</v>
      </c>
      <c r="J237" s="75">
        <v>3</v>
      </c>
      <c r="K237" s="1106">
        <v>0</v>
      </c>
      <c r="L237" s="1107"/>
      <c r="M237" s="75">
        <f>J237</f>
        <v>3</v>
      </c>
      <c r="N237" s="195">
        <f>M237/I237</f>
        <v>3</v>
      </c>
      <c r="O237" s="974" t="s">
        <v>792</v>
      </c>
    </row>
    <row r="238" spans="3:15" ht="31.5" x14ac:dyDescent="0.25">
      <c r="F238" s="289" t="s">
        <v>154</v>
      </c>
      <c r="G238" s="197" t="s">
        <v>272</v>
      </c>
      <c r="H238" s="60">
        <v>36</v>
      </c>
      <c r="I238" s="60">
        <v>1.1200000000000001</v>
      </c>
      <c r="J238" s="105">
        <v>20</v>
      </c>
      <c r="K238" s="1021">
        <v>0</v>
      </c>
      <c r="L238" s="1022"/>
      <c r="M238" s="105">
        <f>J238</f>
        <v>20</v>
      </c>
      <c r="N238" s="196">
        <f>M238/I238</f>
        <v>17.857142857142854</v>
      </c>
      <c r="O238" s="975"/>
    </row>
    <row r="239" spans="3:15" x14ac:dyDescent="0.25">
      <c r="F239" s="1067" t="s">
        <v>271</v>
      </c>
      <c r="G239" s="1070" t="s">
        <v>270</v>
      </c>
      <c r="H239" s="1073">
        <v>58</v>
      </c>
      <c r="I239" s="1073">
        <v>1.25</v>
      </c>
      <c r="J239" s="1073">
        <v>3</v>
      </c>
      <c r="K239" s="1076">
        <v>0</v>
      </c>
      <c r="L239" s="1077"/>
      <c r="M239" s="1073">
        <f>J239</f>
        <v>3</v>
      </c>
      <c r="N239" s="1087">
        <f>M239/I239</f>
        <v>2.4</v>
      </c>
      <c r="O239" s="975"/>
    </row>
    <row r="240" spans="3:15" x14ac:dyDescent="0.25">
      <c r="F240" s="1068"/>
      <c r="G240" s="1071"/>
      <c r="H240" s="1074"/>
      <c r="I240" s="1074"/>
      <c r="J240" s="1074"/>
      <c r="K240" s="1078"/>
      <c r="L240" s="1079"/>
      <c r="M240" s="1074"/>
      <c r="N240" s="1088"/>
      <c r="O240" s="975"/>
    </row>
    <row r="241" spans="3:15" x14ac:dyDescent="0.25">
      <c r="F241" s="1068"/>
      <c r="G241" s="1071"/>
      <c r="H241" s="1074"/>
      <c r="I241" s="1074"/>
      <c r="J241" s="1074"/>
      <c r="K241" s="1078"/>
      <c r="L241" s="1079"/>
      <c r="M241" s="1074"/>
      <c r="N241" s="1088"/>
      <c r="O241" s="975"/>
    </row>
    <row r="242" spans="3:15" x14ac:dyDescent="0.25">
      <c r="F242" s="1068"/>
      <c r="G242" s="1071"/>
      <c r="H242" s="1074"/>
      <c r="I242" s="1074"/>
      <c r="J242" s="1074"/>
      <c r="K242" s="1078"/>
      <c r="L242" s="1079"/>
      <c r="M242" s="1074"/>
      <c r="N242" s="1088"/>
      <c r="O242" s="975"/>
    </row>
    <row r="243" spans="3:15" ht="16.5" thickBot="1" x14ac:dyDescent="0.3">
      <c r="F243" s="1069"/>
      <c r="G243" s="1072"/>
      <c r="H243" s="1075"/>
      <c r="I243" s="1075"/>
      <c r="J243" s="1075"/>
      <c r="K243" s="1080"/>
      <c r="L243" s="1081"/>
      <c r="M243" s="1075"/>
      <c r="N243" s="1089"/>
      <c r="O243" s="975"/>
    </row>
    <row r="244" spans="3:15" ht="16.5" thickBot="1" x14ac:dyDescent="0.3">
      <c r="F244" s="1090" t="s">
        <v>53</v>
      </c>
      <c r="G244" s="1091"/>
      <c r="H244" s="1091"/>
      <c r="I244" s="1091"/>
      <c r="J244" s="514">
        <f>SUM(J237:J243)</f>
        <v>26</v>
      </c>
      <c r="K244" s="1092">
        <f>SUM(K237:L243)</f>
        <v>0</v>
      </c>
      <c r="L244" s="1093"/>
      <c r="M244" s="514">
        <f>SUM(M237:M243)</f>
        <v>26</v>
      </c>
      <c r="N244" s="514">
        <f>SUM(N237:N243)</f>
        <v>23.257142857142853</v>
      </c>
      <c r="O244" s="976"/>
    </row>
    <row r="245" spans="3:15" ht="16.5" thickBot="1" x14ac:dyDescent="0.3">
      <c r="F245" s="1103" t="s">
        <v>76</v>
      </c>
      <c r="G245" s="1104"/>
      <c r="H245" s="1104"/>
      <c r="I245" s="1104"/>
      <c r="J245" s="1104"/>
      <c r="K245" s="1104"/>
      <c r="L245" s="1104"/>
      <c r="M245" s="1104"/>
      <c r="N245" s="1104"/>
      <c r="O245" s="1105"/>
    </row>
    <row r="246" spans="3:15" ht="16.5" thickBot="1" x14ac:dyDescent="0.3">
      <c r="F246" s="1018" t="s">
        <v>769</v>
      </c>
      <c r="G246" s="951"/>
      <c r="H246" s="951"/>
      <c r="I246" s="951"/>
      <c r="J246" s="951"/>
      <c r="K246" s="951"/>
      <c r="L246" s="951"/>
      <c r="M246" s="951"/>
      <c r="N246" s="951"/>
      <c r="O246" s="952"/>
    </row>
    <row r="247" spans="3:15" ht="48" thickBot="1" x14ac:dyDescent="0.3">
      <c r="F247" s="457" t="s">
        <v>0</v>
      </c>
      <c r="G247" s="457" t="s">
        <v>1</v>
      </c>
      <c r="H247" s="457" t="s">
        <v>2</v>
      </c>
      <c r="I247" s="457" t="s">
        <v>654</v>
      </c>
      <c r="J247" s="473" t="s">
        <v>648</v>
      </c>
      <c r="K247" s="879" t="s">
        <v>692</v>
      </c>
      <c r="L247" s="880"/>
      <c r="M247" s="473" t="s">
        <v>375</v>
      </c>
      <c r="N247" s="644" t="s">
        <v>768</v>
      </c>
      <c r="O247" s="292" t="s">
        <v>177</v>
      </c>
    </row>
    <row r="248" spans="3:15" ht="18.75" x14ac:dyDescent="0.25">
      <c r="F248" s="478" t="s">
        <v>45</v>
      </c>
      <c r="G248" s="105" t="s">
        <v>241</v>
      </c>
      <c r="H248" s="517">
        <v>18</v>
      </c>
      <c r="I248" s="75">
        <v>1</v>
      </c>
      <c r="J248" s="172">
        <v>4.5</v>
      </c>
      <c r="K248" s="1106">
        <v>0</v>
      </c>
      <c r="L248" s="1107"/>
      <c r="M248" s="76">
        <f>J248</f>
        <v>4.5</v>
      </c>
      <c r="N248" s="198">
        <f>M248/I248</f>
        <v>4.5</v>
      </c>
      <c r="O248" s="974" t="s">
        <v>793</v>
      </c>
    </row>
    <row r="249" spans="3:15" ht="31.5" x14ac:dyDescent="0.25">
      <c r="C249" s="539"/>
      <c r="F249" s="289" t="s">
        <v>154</v>
      </c>
      <c r="G249" s="197" t="s">
        <v>272</v>
      </c>
      <c r="H249" s="60">
        <v>36</v>
      </c>
      <c r="I249" s="60">
        <v>1.1200000000000001</v>
      </c>
      <c r="J249" s="105">
        <v>0.5</v>
      </c>
      <c r="K249" s="1016">
        <v>0</v>
      </c>
      <c r="L249" s="1017"/>
      <c r="M249" s="105">
        <f>J249</f>
        <v>0.5</v>
      </c>
      <c r="N249" s="196">
        <f>M249/I249</f>
        <v>0.4464285714285714</v>
      </c>
      <c r="O249" s="975"/>
    </row>
    <row r="250" spans="3:15" x14ac:dyDescent="0.25">
      <c r="F250" s="1067" t="s">
        <v>271</v>
      </c>
      <c r="G250" s="1070" t="s">
        <v>270</v>
      </c>
      <c r="H250" s="1073">
        <v>58</v>
      </c>
      <c r="I250" s="1073">
        <v>1.25</v>
      </c>
      <c r="J250" s="1073">
        <v>3</v>
      </c>
      <c r="K250" s="1076">
        <v>0</v>
      </c>
      <c r="L250" s="1077"/>
      <c r="M250" s="1073">
        <f>J250</f>
        <v>3</v>
      </c>
      <c r="N250" s="1087">
        <f>M250/I250</f>
        <v>2.4</v>
      </c>
      <c r="O250" s="975"/>
    </row>
    <row r="251" spans="3:15" x14ac:dyDescent="0.25">
      <c r="F251" s="1068"/>
      <c r="G251" s="1071"/>
      <c r="H251" s="1074"/>
      <c r="I251" s="1074"/>
      <c r="J251" s="1074"/>
      <c r="K251" s="1078"/>
      <c r="L251" s="1079"/>
      <c r="M251" s="1074"/>
      <c r="N251" s="1088"/>
      <c r="O251" s="975"/>
    </row>
    <row r="252" spans="3:15" x14ac:dyDescent="0.25">
      <c r="F252" s="1068"/>
      <c r="G252" s="1071"/>
      <c r="H252" s="1074"/>
      <c r="I252" s="1074"/>
      <c r="J252" s="1074"/>
      <c r="K252" s="1078"/>
      <c r="L252" s="1079"/>
      <c r="M252" s="1074"/>
      <c r="N252" s="1088"/>
      <c r="O252" s="975"/>
    </row>
    <row r="253" spans="3:15" x14ac:dyDescent="0.25">
      <c r="F253" s="1068"/>
      <c r="G253" s="1071"/>
      <c r="H253" s="1074"/>
      <c r="I253" s="1074"/>
      <c r="J253" s="1074"/>
      <c r="K253" s="1078"/>
      <c r="L253" s="1079"/>
      <c r="M253" s="1074"/>
      <c r="N253" s="1088"/>
      <c r="O253" s="975"/>
    </row>
    <row r="254" spans="3:15" ht="16.5" thickBot="1" x14ac:dyDescent="0.3">
      <c r="F254" s="1069"/>
      <c r="G254" s="1072"/>
      <c r="H254" s="1075"/>
      <c r="I254" s="1075"/>
      <c r="J254" s="1075"/>
      <c r="K254" s="1080"/>
      <c r="L254" s="1081"/>
      <c r="M254" s="1075"/>
      <c r="N254" s="1089"/>
      <c r="O254" s="975"/>
    </row>
    <row r="255" spans="3:15" ht="16.5" thickBot="1" x14ac:dyDescent="0.3">
      <c r="F255" s="1090" t="s">
        <v>53</v>
      </c>
      <c r="G255" s="1091"/>
      <c r="H255" s="1091"/>
      <c r="I255" s="1091"/>
      <c r="J255" s="514">
        <f>SUM(J248:J254)</f>
        <v>8</v>
      </c>
      <c r="K255" s="1092">
        <f>SUM(K248:L254)</f>
        <v>0</v>
      </c>
      <c r="L255" s="1093"/>
      <c r="M255" s="514">
        <f>SUM(M248:M254)</f>
        <v>8</v>
      </c>
      <c r="N255" s="514">
        <f>SUM(N248:N254)</f>
        <v>7.3464285714285715</v>
      </c>
      <c r="O255" s="976"/>
    </row>
    <row r="256" spans="3:15" ht="16.5" thickBot="1" x14ac:dyDescent="0.3">
      <c r="F256" s="1103" t="s">
        <v>77</v>
      </c>
      <c r="G256" s="1104"/>
      <c r="H256" s="1104"/>
      <c r="I256" s="1104"/>
      <c r="J256" s="1104"/>
      <c r="K256" s="1104"/>
      <c r="L256" s="1104"/>
      <c r="M256" s="1104"/>
      <c r="N256" s="1104"/>
      <c r="O256" s="1105"/>
    </row>
    <row r="257" spans="3:19" ht="16.5" thickBot="1" x14ac:dyDescent="0.3">
      <c r="F257" s="1018" t="s">
        <v>769</v>
      </c>
      <c r="G257" s="951"/>
      <c r="H257" s="951"/>
      <c r="I257" s="951"/>
      <c r="J257" s="951"/>
      <c r="K257" s="951"/>
      <c r="L257" s="951"/>
      <c r="M257" s="951"/>
      <c r="N257" s="951"/>
      <c r="O257" s="952"/>
    </row>
    <row r="258" spans="3:19" ht="48" thickBot="1" x14ac:dyDescent="0.3">
      <c r="C258" s="539"/>
      <c r="F258" s="457" t="s">
        <v>0</v>
      </c>
      <c r="G258" s="457" t="s">
        <v>1</v>
      </c>
      <c r="H258" s="457" t="s">
        <v>2</v>
      </c>
      <c r="I258" s="457" t="s">
        <v>654</v>
      </c>
      <c r="J258" s="473" t="s">
        <v>648</v>
      </c>
      <c r="K258" s="879" t="s">
        <v>692</v>
      </c>
      <c r="L258" s="880"/>
      <c r="M258" s="473" t="s">
        <v>375</v>
      </c>
      <c r="N258" s="644" t="s">
        <v>768</v>
      </c>
      <c r="O258" s="292" t="s">
        <v>691</v>
      </c>
    </row>
    <row r="259" spans="3:19" ht="19.5" thickBot="1" x14ac:dyDescent="0.3">
      <c r="F259" s="478" t="s">
        <v>45</v>
      </c>
      <c r="G259" s="105" t="s">
        <v>241</v>
      </c>
      <c r="H259" s="517">
        <v>18</v>
      </c>
      <c r="I259" s="517">
        <v>1</v>
      </c>
      <c r="J259" s="172">
        <v>5</v>
      </c>
      <c r="K259" s="1110">
        <v>0</v>
      </c>
      <c r="L259" s="1111"/>
      <c r="M259" s="76">
        <f>J259</f>
        <v>5</v>
      </c>
      <c r="N259" s="463">
        <f>M259/I259</f>
        <v>5</v>
      </c>
      <c r="O259" s="1084" t="s">
        <v>721</v>
      </c>
    </row>
    <row r="260" spans="3:19" x14ac:dyDescent="0.25">
      <c r="F260" s="1067" t="s">
        <v>271</v>
      </c>
      <c r="G260" s="1070" t="s">
        <v>270</v>
      </c>
      <c r="H260" s="1073">
        <v>58</v>
      </c>
      <c r="I260" s="1073">
        <v>1.25</v>
      </c>
      <c r="J260" s="1073">
        <v>3</v>
      </c>
      <c r="K260" s="1076">
        <v>0</v>
      </c>
      <c r="L260" s="1077"/>
      <c r="M260" s="1073">
        <f>J260</f>
        <v>3</v>
      </c>
      <c r="N260" s="1100">
        <f>M260/I260</f>
        <v>2.4</v>
      </c>
      <c r="O260" s="1085"/>
    </row>
    <row r="261" spans="3:19" x14ac:dyDescent="0.25">
      <c r="F261" s="1068"/>
      <c r="G261" s="1071"/>
      <c r="H261" s="1074"/>
      <c r="I261" s="1074"/>
      <c r="J261" s="1074"/>
      <c r="K261" s="1078"/>
      <c r="L261" s="1079"/>
      <c r="M261" s="1074"/>
      <c r="N261" s="1088"/>
      <c r="O261" s="1085"/>
    </row>
    <row r="262" spans="3:19" x14ac:dyDescent="0.25">
      <c r="F262" s="1068"/>
      <c r="G262" s="1071"/>
      <c r="H262" s="1074"/>
      <c r="I262" s="1074"/>
      <c r="J262" s="1074"/>
      <c r="K262" s="1078"/>
      <c r="L262" s="1079"/>
      <c r="M262" s="1074"/>
      <c r="N262" s="1088"/>
      <c r="O262" s="1085"/>
    </row>
    <row r="263" spans="3:19" x14ac:dyDescent="0.25">
      <c r="F263" s="1068"/>
      <c r="G263" s="1071"/>
      <c r="H263" s="1074"/>
      <c r="I263" s="1074"/>
      <c r="J263" s="1074"/>
      <c r="K263" s="1078"/>
      <c r="L263" s="1079"/>
      <c r="M263" s="1074"/>
      <c r="N263" s="1088"/>
      <c r="O263" s="1085"/>
    </row>
    <row r="264" spans="3:19" ht="16.5" thickBot="1" x14ac:dyDescent="0.3">
      <c r="F264" s="1069"/>
      <c r="G264" s="1072"/>
      <c r="H264" s="1075"/>
      <c r="I264" s="1075"/>
      <c r="J264" s="1075"/>
      <c r="K264" s="1080"/>
      <c r="L264" s="1081"/>
      <c r="M264" s="1075"/>
      <c r="N264" s="1089"/>
      <c r="O264" s="1085"/>
    </row>
    <row r="265" spans="3:19" ht="16.5" thickBot="1" x14ac:dyDescent="0.3">
      <c r="F265" s="1108" t="s">
        <v>180</v>
      </c>
      <c r="G265" s="1108"/>
      <c r="H265" s="1108"/>
      <c r="I265" s="1108"/>
      <c r="J265" s="514">
        <f>SUM(J259:J264)</f>
        <v>8</v>
      </c>
      <c r="K265" s="1092">
        <f>SUM(K259:L264)</f>
        <v>0</v>
      </c>
      <c r="L265" s="1109"/>
      <c r="M265" s="514">
        <f>SUM(M259:M264)</f>
        <v>8</v>
      </c>
      <c r="N265" s="519">
        <f>SUM(N259:N264)</f>
        <v>7.4</v>
      </c>
      <c r="O265" s="1086"/>
    </row>
    <row r="266" spans="3:19" ht="16.5" thickBot="1" x14ac:dyDescent="0.3">
      <c r="F266" s="1103" t="s">
        <v>78</v>
      </c>
      <c r="G266" s="1104"/>
      <c r="H266" s="1104"/>
      <c r="I266" s="1104"/>
      <c r="J266" s="1104"/>
      <c r="K266" s="1104"/>
      <c r="L266" s="1104"/>
      <c r="M266" s="1104"/>
      <c r="N266" s="1104"/>
      <c r="O266" s="1105"/>
    </row>
    <row r="267" spans="3:19" ht="16.5" thickBot="1" x14ac:dyDescent="0.3">
      <c r="F267" s="1018" t="s">
        <v>769</v>
      </c>
      <c r="G267" s="951"/>
      <c r="H267" s="951"/>
      <c r="I267" s="951"/>
      <c r="J267" s="951"/>
      <c r="K267" s="951"/>
      <c r="L267" s="951"/>
      <c r="M267" s="951"/>
      <c r="N267" s="951"/>
      <c r="O267" s="952"/>
    </row>
    <row r="268" spans="3:19" ht="48" thickBot="1" x14ac:dyDescent="0.3">
      <c r="C268" s="539"/>
      <c r="F268" s="457" t="s">
        <v>0</v>
      </c>
      <c r="G268" s="457" t="s">
        <v>1</v>
      </c>
      <c r="H268" s="457" t="s">
        <v>2</v>
      </c>
      <c r="I268" s="457" t="s">
        <v>654</v>
      </c>
      <c r="J268" s="473" t="s">
        <v>648</v>
      </c>
      <c r="K268" s="879" t="s">
        <v>692</v>
      </c>
      <c r="L268" s="880"/>
      <c r="M268" s="473" t="s">
        <v>375</v>
      </c>
      <c r="N268" s="644" t="s">
        <v>768</v>
      </c>
      <c r="O268" s="292" t="s">
        <v>177</v>
      </c>
    </row>
    <row r="269" spans="3:19" ht="18.75" x14ac:dyDescent="0.25">
      <c r="F269" s="484" t="s">
        <v>45</v>
      </c>
      <c r="G269" s="105" t="s">
        <v>241</v>
      </c>
      <c r="H269" s="517">
        <v>18</v>
      </c>
      <c r="I269" s="75">
        <v>1</v>
      </c>
      <c r="J269" s="172">
        <v>4.5</v>
      </c>
      <c r="K269" s="1106">
        <v>0</v>
      </c>
      <c r="L269" s="1107"/>
      <c r="M269" s="76">
        <f>J269</f>
        <v>4.5</v>
      </c>
      <c r="N269" s="195">
        <f>M269/I269</f>
        <v>4.5</v>
      </c>
      <c r="O269" s="1058" t="s">
        <v>794</v>
      </c>
    </row>
    <row r="270" spans="3:19" s="8" customFormat="1" ht="33.75" customHeight="1" x14ac:dyDescent="0.25">
      <c r="C270" s="6"/>
      <c r="F270" s="289" t="s">
        <v>83</v>
      </c>
      <c r="G270" s="60" t="s">
        <v>85</v>
      </c>
      <c r="H270" s="60">
        <v>22</v>
      </c>
      <c r="I270" s="105">
        <v>0.97</v>
      </c>
      <c r="J270" s="105">
        <v>0.5</v>
      </c>
      <c r="K270" s="1016">
        <v>0</v>
      </c>
      <c r="L270" s="1017"/>
      <c r="M270" s="105">
        <f>J270</f>
        <v>0.5</v>
      </c>
      <c r="N270" s="196">
        <f>M270/I270</f>
        <v>0.51546391752577325</v>
      </c>
      <c r="O270" s="1082"/>
      <c r="P270" s="6"/>
      <c r="Q270" s="6"/>
      <c r="R270" s="6"/>
      <c r="S270" s="6"/>
    </row>
    <row r="271" spans="3:19" x14ac:dyDescent="0.25">
      <c r="F271" s="1101" t="s">
        <v>271</v>
      </c>
      <c r="G271" s="1070" t="s">
        <v>270</v>
      </c>
      <c r="H271" s="1073">
        <v>58</v>
      </c>
      <c r="I271" s="1073">
        <v>1.25</v>
      </c>
      <c r="J271" s="1073">
        <v>3</v>
      </c>
      <c r="K271" s="1076">
        <v>0</v>
      </c>
      <c r="L271" s="1077"/>
      <c r="M271" s="1073">
        <f>J271</f>
        <v>3</v>
      </c>
      <c r="N271" s="1087">
        <f>M271/I271</f>
        <v>2.4</v>
      </c>
      <c r="O271" s="1082"/>
    </row>
    <row r="272" spans="3:19" x14ac:dyDescent="0.25">
      <c r="F272" s="1102"/>
      <c r="G272" s="1071"/>
      <c r="H272" s="1074"/>
      <c r="I272" s="1074"/>
      <c r="J272" s="1074"/>
      <c r="K272" s="1078"/>
      <c r="L272" s="1079"/>
      <c r="M272" s="1074"/>
      <c r="N272" s="1088"/>
      <c r="O272" s="1082"/>
    </row>
    <row r="273" spans="3:15" x14ac:dyDescent="0.25">
      <c r="F273" s="1102"/>
      <c r="G273" s="1071"/>
      <c r="H273" s="1074"/>
      <c r="I273" s="1074"/>
      <c r="J273" s="1074"/>
      <c r="K273" s="1078"/>
      <c r="L273" s="1079"/>
      <c r="M273" s="1074"/>
      <c r="N273" s="1088"/>
      <c r="O273" s="1082"/>
    </row>
    <row r="274" spans="3:15" x14ac:dyDescent="0.25">
      <c r="F274" s="1102"/>
      <c r="G274" s="1071"/>
      <c r="H274" s="1074"/>
      <c r="I274" s="1074"/>
      <c r="J274" s="1074"/>
      <c r="K274" s="1078"/>
      <c r="L274" s="1079"/>
      <c r="M274" s="1074"/>
      <c r="N274" s="1088"/>
      <c r="O274" s="1082"/>
    </row>
    <row r="275" spans="3:15" ht="16.5" thickBot="1" x14ac:dyDescent="0.3">
      <c r="F275" s="1102"/>
      <c r="G275" s="1072"/>
      <c r="H275" s="1075"/>
      <c r="I275" s="1075"/>
      <c r="J275" s="1075"/>
      <c r="K275" s="1080"/>
      <c r="L275" s="1081"/>
      <c r="M275" s="1075"/>
      <c r="N275" s="1089"/>
      <c r="O275" s="1082"/>
    </row>
    <row r="276" spans="3:15" ht="16.5" thickBot="1" x14ac:dyDescent="0.3">
      <c r="F276" s="1090" t="s">
        <v>53</v>
      </c>
      <c r="G276" s="1091"/>
      <c r="H276" s="1091"/>
      <c r="I276" s="1091"/>
      <c r="J276" s="514">
        <f>SUM(J269:J275)</f>
        <v>8</v>
      </c>
      <c r="K276" s="1092">
        <f>SUM(K269:L275)</f>
        <v>0</v>
      </c>
      <c r="L276" s="1093"/>
      <c r="M276" s="514">
        <f>SUM(M269:M275)</f>
        <v>8</v>
      </c>
      <c r="N276" s="514">
        <f>SUM(N270+N269+N271)</f>
        <v>7.4154639175257735</v>
      </c>
      <c r="O276" s="1083"/>
    </row>
    <row r="277" spans="3:15" ht="16.5" thickBot="1" x14ac:dyDescent="0.3">
      <c r="F277" s="1103" t="s">
        <v>689</v>
      </c>
      <c r="G277" s="1104"/>
      <c r="H277" s="1104"/>
      <c r="I277" s="1104"/>
      <c r="J277" s="1104"/>
      <c r="K277" s="1104"/>
      <c r="L277" s="1104"/>
      <c r="M277" s="1104"/>
      <c r="N277" s="1104"/>
      <c r="O277" s="1105"/>
    </row>
    <row r="278" spans="3:15" ht="16.5" thickBot="1" x14ac:dyDescent="0.3">
      <c r="F278" s="1018" t="s">
        <v>769</v>
      </c>
      <c r="G278" s="951"/>
      <c r="H278" s="951"/>
      <c r="I278" s="951"/>
      <c r="J278" s="951"/>
      <c r="K278" s="951"/>
      <c r="L278" s="951"/>
      <c r="M278" s="951"/>
      <c r="N278" s="951"/>
      <c r="O278" s="952"/>
    </row>
    <row r="279" spans="3:15" ht="48" thickBot="1" x14ac:dyDescent="0.3">
      <c r="C279" s="539"/>
      <c r="F279" s="457" t="s">
        <v>0</v>
      </c>
      <c r="G279" s="457" t="s">
        <v>1</v>
      </c>
      <c r="H279" s="457" t="s">
        <v>2</v>
      </c>
      <c r="I279" s="457" t="s">
        <v>654</v>
      </c>
      <c r="J279" s="473" t="s">
        <v>648</v>
      </c>
      <c r="K279" s="879" t="s">
        <v>692</v>
      </c>
      <c r="L279" s="880"/>
      <c r="M279" s="473" t="s">
        <v>375</v>
      </c>
      <c r="N279" s="644" t="s">
        <v>768</v>
      </c>
      <c r="O279" s="292" t="s">
        <v>177</v>
      </c>
    </row>
    <row r="280" spans="3:15" ht="18.75" x14ac:dyDescent="0.25">
      <c r="F280" s="478" t="s">
        <v>45</v>
      </c>
      <c r="G280" s="105" t="s">
        <v>241</v>
      </c>
      <c r="H280" s="517">
        <v>18</v>
      </c>
      <c r="I280" s="517">
        <v>1</v>
      </c>
      <c r="J280" s="172">
        <v>2</v>
      </c>
      <c r="K280" s="1106">
        <v>0</v>
      </c>
      <c r="L280" s="1107"/>
      <c r="M280" s="76">
        <f>J280</f>
        <v>2</v>
      </c>
      <c r="N280" s="179">
        <f>M280/I280</f>
        <v>2</v>
      </c>
      <c r="O280" s="1058" t="s">
        <v>795</v>
      </c>
    </row>
    <row r="281" spans="3:15" ht="30" customHeight="1" x14ac:dyDescent="0.25">
      <c r="F281" s="289" t="s">
        <v>83</v>
      </c>
      <c r="G281" s="107" t="s">
        <v>85</v>
      </c>
      <c r="H281" s="60">
        <v>22</v>
      </c>
      <c r="I281" s="60">
        <v>0.97</v>
      </c>
      <c r="J281" s="105">
        <v>3</v>
      </c>
      <c r="K281" s="1016">
        <v>0</v>
      </c>
      <c r="L281" s="1017"/>
      <c r="M281" s="105">
        <f>J281</f>
        <v>3</v>
      </c>
      <c r="N281" s="166">
        <f>M281/I281</f>
        <v>3.0927835051546393</v>
      </c>
      <c r="O281" s="1082"/>
    </row>
    <row r="282" spans="3:15" x14ac:dyDescent="0.25">
      <c r="F282" s="1067" t="s">
        <v>271</v>
      </c>
      <c r="G282" s="1070" t="s">
        <v>270</v>
      </c>
      <c r="H282" s="1073">
        <v>58</v>
      </c>
      <c r="I282" s="1073">
        <v>1.25</v>
      </c>
      <c r="J282" s="1073">
        <v>3</v>
      </c>
      <c r="K282" s="1076">
        <v>0</v>
      </c>
      <c r="L282" s="1077"/>
      <c r="M282" s="1073">
        <f>J282</f>
        <v>3</v>
      </c>
      <c r="N282" s="1087">
        <f>M282/I282</f>
        <v>2.4</v>
      </c>
      <c r="O282" s="1082"/>
    </row>
    <row r="283" spans="3:15" x14ac:dyDescent="0.25">
      <c r="F283" s="1068"/>
      <c r="G283" s="1071"/>
      <c r="H283" s="1074"/>
      <c r="I283" s="1074"/>
      <c r="J283" s="1074"/>
      <c r="K283" s="1078"/>
      <c r="L283" s="1079"/>
      <c r="M283" s="1074"/>
      <c r="N283" s="1088"/>
      <c r="O283" s="1082"/>
    </row>
    <row r="284" spans="3:15" x14ac:dyDescent="0.25">
      <c r="F284" s="1068"/>
      <c r="G284" s="1071"/>
      <c r="H284" s="1074"/>
      <c r="I284" s="1074"/>
      <c r="J284" s="1074"/>
      <c r="K284" s="1078"/>
      <c r="L284" s="1079"/>
      <c r="M284" s="1074"/>
      <c r="N284" s="1088"/>
      <c r="O284" s="1082"/>
    </row>
    <row r="285" spans="3:15" x14ac:dyDescent="0.25">
      <c r="F285" s="1068"/>
      <c r="G285" s="1071"/>
      <c r="H285" s="1074"/>
      <c r="I285" s="1074"/>
      <c r="J285" s="1074"/>
      <c r="K285" s="1078"/>
      <c r="L285" s="1079"/>
      <c r="M285" s="1074"/>
      <c r="N285" s="1088"/>
      <c r="O285" s="1082"/>
    </row>
    <row r="286" spans="3:15" ht="16.5" thickBot="1" x14ac:dyDescent="0.3">
      <c r="F286" s="1069"/>
      <c r="G286" s="1072"/>
      <c r="H286" s="1075"/>
      <c r="I286" s="1075"/>
      <c r="J286" s="1075"/>
      <c r="K286" s="1080"/>
      <c r="L286" s="1081"/>
      <c r="M286" s="1075"/>
      <c r="N286" s="1089"/>
      <c r="O286" s="1082"/>
    </row>
    <row r="287" spans="3:15" ht="16.5" thickBot="1" x14ac:dyDescent="0.3">
      <c r="F287" s="1090" t="s">
        <v>53</v>
      </c>
      <c r="G287" s="1091"/>
      <c r="H287" s="1091"/>
      <c r="I287" s="1091"/>
      <c r="J287" s="514">
        <f>SUM(J280:J286)</f>
        <v>8</v>
      </c>
      <c r="K287" s="1092">
        <f>SUM(K280:L286)</f>
        <v>0</v>
      </c>
      <c r="L287" s="1093"/>
      <c r="M287" s="514">
        <f>SUM(M280:M286)</f>
        <v>8</v>
      </c>
      <c r="N287" s="514">
        <f>SUM(N280:N286)</f>
        <v>7.4927835051546392</v>
      </c>
      <c r="O287" s="1083"/>
    </row>
    <row r="288" spans="3:15" ht="16.5" thickBot="1" x14ac:dyDescent="0.3">
      <c r="F288" s="1103" t="s">
        <v>690</v>
      </c>
      <c r="G288" s="1104"/>
      <c r="H288" s="1104"/>
      <c r="I288" s="1104"/>
      <c r="J288" s="1104"/>
      <c r="K288" s="1104"/>
      <c r="L288" s="1104"/>
      <c r="M288" s="1104"/>
      <c r="N288" s="1104"/>
      <c r="O288" s="1105"/>
    </row>
    <row r="289" spans="3:15" ht="16.5" thickBot="1" x14ac:dyDescent="0.3">
      <c r="F289" s="1018" t="s">
        <v>769</v>
      </c>
      <c r="G289" s="951"/>
      <c r="H289" s="951"/>
      <c r="I289" s="951"/>
      <c r="J289" s="951"/>
      <c r="K289" s="951"/>
      <c r="L289" s="951"/>
      <c r="M289" s="951"/>
      <c r="N289" s="951"/>
      <c r="O289" s="952"/>
    </row>
    <row r="290" spans="3:15" ht="48" thickBot="1" x14ac:dyDescent="0.3">
      <c r="C290" s="539"/>
      <c r="F290" s="457" t="s">
        <v>0</v>
      </c>
      <c r="G290" s="457" t="s">
        <v>1</v>
      </c>
      <c r="H290" s="457" t="s">
        <v>2</v>
      </c>
      <c r="I290" s="457" t="s">
        <v>654</v>
      </c>
      <c r="J290" s="473" t="s">
        <v>648</v>
      </c>
      <c r="K290" s="879" t="s">
        <v>692</v>
      </c>
      <c r="L290" s="880"/>
      <c r="M290" s="473" t="s">
        <v>375</v>
      </c>
      <c r="N290" s="644" t="s">
        <v>768</v>
      </c>
      <c r="O290" s="292" t="s">
        <v>177</v>
      </c>
    </row>
    <row r="291" spans="3:15" ht="29.25" customHeight="1" x14ac:dyDescent="0.25">
      <c r="F291" s="289" t="s">
        <v>83</v>
      </c>
      <c r="G291" s="180" t="s">
        <v>85</v>
      </c>
      <c r="H291" s="105">
        <v>22</v>
      </c>
      <c r="I291" s="105">
        <v>0.97</v>
      </c>
      <c r="J291" s="172">
        <v>5</v>
      </c>
      <c r="K291" s="1110">
        <v>0</v>
      </c>
      <c r="L291" s="1111"/>
      <c r="M291" s="76">
        <f>J291</f>
        <v>5</v>
      </c>
      <c r="N291" s="195">
        <f>M291/I291</f>
        <v>5.1546391752577323</v>
      </c>
      <c r="O291" s="1058" t="s">
        <v>608</v>
      </c>
    </row>
    <row r="292" spans="3:15" x14ac:dyDescent="0.25">
      <c r="F292" s="1067" t="s">
        <v>271</v>
      </c>
      <c r="G292" s="1070" t="s">
        <v>270</v>
      </c>
      <c r="H292" s="1073">
        <v>58</v>
      </c>
      <c r="I292" s="1073">
        <v>1.25</v>
      </c>
      <c r="J292" s="1073">
        <v>3</v>
      </c>
      <c r="K292" s="1076">
        <v>0</v>
      </c>
      <c r="L292" s="1077"/>
      <c r="M292" s="1073">
        <f>J292</f>
        <v>3</v>
      </c>
      <c r="N292" s="1087">
        <f>M292/I292</f>
        <v>2.4</v>
      </c>
      <c r="O292" s="1082"/>
    </row>
    <row r="293" spans="3:15" x14ac:dyDescent="0.25">
      <c r="F293" s="1068"/>
      <c r="G293" s="1071"/>
      <c r="H293" s="1074"/>
      <c r="I293" s="1074"/>
      <c r="J293" s="1074"/>
      <c r="K293" s="1078"/>
      <c r="L293" s="1079"/>
      <c r="M293" s="1074"/>
      <c r="N293" s="1088"/>
      <c r="O293" s="1082"/>
    </row>
    <row r="294" spans="3:15" x14ac:dyDescent="0.25">
      <c r="F294" s="1068"/>
      <c r="G294" s="1071"/>
      <c r="H294" s="1074"/>
      <c r="I294" s="1074"/>
      <c r="J294" s="1074"/>
      <c r="K294" s="1078"/>
      <c r="L294" s="1079"/>
      <c r="M294" s="1074"/>
      <c r="N294" s="1088"/>
      <c r="O294" s="1082"/>
    </row>
    <row r="295" spans="3:15" x14ac:dyDescent="0.25">
      <c r="F295" s="1068"/>
      <c r="G295" s="1071"/>
      <c r="H295" s="1074"/>
      <c r="I295" s="1074"/>
      <c r="J295" s="1074"/>
      <c r="K295" s="1078"/>
      <c r="L295" s="1079"/>
      <c r="M295" s="1074"/>
      <c r="N295" s="1088"/>
      <c r="O295" s="1082"/>
    </row>
    <row r="296" spans="3:15" ht="16.5" thickBot="1" x14ac:dyDescent="0.3">
      <c r="F296" s="1069"/>
      <c r="G296" s="1072"/>
      <c r="H296" s="1075"/>
      <c r="I296" s="1075"/>
      <c r="J296" s="1075"/>
      <c r="K296" s="1080"/>
      <c r="L296" s="1081"/>
      <c r="M296" s="1075"/>
      <c r="N296" s="1089"/>
      <c r="O296" s="1082"/>
    </row>
    <row r="297" spans="3:15" ht="16.5" thickBot="1" x14ac:dyDescent="0.3">
      <c r="F297" s="1090" t="s">
        <v>53</v>
      </c>
      <c r="G297" s="1091"/>
      <c r="H297" s="1091"/>
      <c r="I297" s="1091"/>
      <c r="J297" s="514">
        <f>SUM(J291:J296)</f>
        <v>8</v>
      </c>
      <c r="K297" s="1092">
        <f>SUM(K291:L296)</f>
        <v>0</v>
      </c>
      <c r="L297" s="1093"/>
      <c r="M297" s="514">
        <f>SUM(M291:M296)</f>
        <v>8</v>
      </c>
      <c r="N297" s="514">
        <f>SUM(N291:N296)</f>
        <v>7.5546391752577318</v>
      </c>
      <c r="O297" s="1083"/>
    </row>
    <row r="298" spans="3:15" x14ac:dyDescent="0.25">
      <c r="F298" s="3"/>
      <c r="G298" s="3"/>
      <c r="H298" s="3"/>
      <c r="I298" s="3"/>
      <c r="J298" s="3"/>
      <c r="K298" s="3"/>
      <c r="L298" s="3"/>
      <c r="M298" s="3"/>
      <c r="N298" s="3"/>
      <c r="O298" s="194"/>
    </row>
    <row r="299" spans="3:15" ht="16.5" thickBot="1" x14ac:dyDescent="0.3">
      <c r="F299" s="3"/>
      <c r="G299" s="3"/>
      <c r="H299" s="3"/>
      <c r="I299" s="3"/>
      <c r="J299" s="3"/>
      <c r="K299" s="3"/>
      <c r="L299" s="3"/>
      <c r="M299" s="3"/>
      <c r="N299" s="3"/>
    </row>
    <row r="300" spans="3:15" ht="16.5" thickBot="1" x14ac:dyDescent="0.3">
      <c r="F300" s="866" t="s">
        <v>418</v>
      </c>
      <c r="G300" s="867"/>
      <c r="H300" s="867"/>
      <c r="I300" s="867"/>
      <c r="J300" s="867"/>
      <c r="K300" s="867"/>
      <c r="L300" s="867"/>
      <c r="M300" s="867"/>
      <c r="N300" s="867"/>
      <c r="O300" s="868"/>
    </row>
    <row r="301" spans="3:15" ht="18" thickBot="1" x14ac:dyDescent="0.3">
      <c r="F301" s="971" t="s">
        <v>269</v>
      </c>
      <c r="G301" s="972"/>
      <c r="H301" s="972"/>
      <c r="I301" s="972"/>
      <c r="J301" s="972"/>
      <c r="K301" s="972"/>
      <c r="L301" s="972"/>
      <c r="M301" s="972"/>
      <c r="N301" s="972"/>
      <c r="O301" s="973"/>
    </row>
    <row r="302" spans="3:15" ht="48" thickBot="1" x14ac:dyDescent="0.3">
      <c r="F302" s="457" t="s">
        <v>0</v>
      </c>
      <c r="G302" s="457" t="s">
        <v>1</v>
      </c>
      <c r="H302" s="457" t="s">
        <v>2</v>
      </c>
      <c r="I302" s="457" t="s">
        <v>654</v>
      </c>
      <c r="J302" s="473" t="s">
        <v>648</v>
      </c>
      <c r="K302" s="879" t="s">
        <v>692</v>
      </c>
      <c r="L302" s="880"/>
      <c r="M302" s="473" t="s">
        <v>375</v>
      </c>
      <c r="N302" s="644" t="s">
        <v>768</v>
      </c>
      <c r="O302" s="292" t="s">
        <v>674</v>
      </c>
    </row>
    <row r="303" spans="3:15" ht="18.75" x14ac:dyDescent="0.35">
      <c r="F303" s="288" t="s">
        <v>268</v>
      </c>
      <c r="G303" s="171" t="s">
        <v>267</v>
      </c>
      <c r="H303" s="63">
        <v>342</v>
      </c>
      <c r="I303" s="63">
        <v>1.59</v>
      </c>
      <c r="J303" s="590">
        <v>1</v>
      </c>
      <c r="K303" s="877">
        <f>J303</f>
        <v>1</v>
      </c>
      <c r="L303" s="878"/>
      <c r="M303" s="493">
        <f>J303-K303</f>
        <v>0</v>
      </c>
      <c r="N303" s="516">
        <f>M303/I303</f>
        <v>0</v>
      </c>
      <c r="O303" s="1045" t="s">
        <v>576</v>
      </c>
    </row>
    <row r="304" spans="3:15" ht="18.75" x14ac:dyDescent="0.25">
      <c r="F304" s="289" t="s">
        <v>182</v>
      </c>
      <c r="G304" s="166" t="s">
        <v>175</v>
      </c>
      <c r="H304" s="60">
        <v>18</v>
      </c>
      <c r="I304" s="60">
        <v>1</v>
      </c>
      <c r="J304" s="571">
        <v>5</v>
      </c>
      <c r="K304" s="881">
        <f>(J303/H303)*(1/1)*(H304/1)</f>
        <v>5.2631578947368418E-2</v>
      </c>
      <c r="L304" s="882"/>
      <c r="M304" s="66">
        <f>J304-K304</f>
        <v>4.9473684210526319</v>
      </c>
      <c r="N304" s="78">
        <f>M304/I304</f>
        <v>4.9473684210526319</v>
      </c>
      <c r="O304" s="1046"/>
    </row>
    <row r="305" spans="3:15" ht="19.5" thickBot="1" x14ac:dyDescent="0.3">
      <c r="F305" s="479" t="s">
        <v>213</v>
      </c>
      <c r="G305" s="191" t="s">
        <v>266</v>
      </c>
      <c r="H305" s="64">
        <v>180</v>
      </c>
      <c r="I305" s="64">
        <v>1.56</v>
      </c>
      <c r="J305" s="576">
        <v>0</v>
      </c>
      <c r="K305" s="625">
        <f>(J303/H303)*(2/1)*(H305/1)</f>
        <v>1.0526315789473684</v>
      </c>
      <c r="L305" s="626">
        <f>(J304)*(1/H304)*(2/1)*(H305/1)</f>
        <v>100</v>
      </c>
      <c r="M305" s="89">
        <f>K305</f>
        <v>1.0526315789473684</v>
      </c>
      <c r="N305" s="193">
        <f>M305/I305</f>
        <v>0.67476383265856943</v>
      </c>
      <c r="O305" s="1046"/>
    </row>
    <row r="306" spans="3:15" ht="16.5" thickBot="1" x14ac:dyDescent="0.3">
      <c r="F306" s="965" t="s">
        <v>53</v>
      </c>
      <c r="G306" s="966"/>
      <c r="H306" s="966"/>
      <c r="I306" s="967"/>
      <c r="J306" s="455">
        <f>SUM(J303:J305)</f>
        <v>6</v>
      </c>
      <c r="K306" s="565">
        <f>SUM(K303:L304)-SUM(K305)</f>
        <v>0</v>
      </c>
      <c r="L306" s="638">
        <f>SUM(K303:L304)-SUM(L305)</f>
        <v>-98.94736842105263</v>
      </c>
      <c r="M306" s="627">
        <f>SUM(M303:M305)</f>
        <v>6</v>
      </c>
      <c r="N306" s="1">
        <f>SUM(N303:N305)</f>
        <v>5.6221322537112011</v>
      </c>
      <c r="O306" s="1047"/>
    </row>
    <row r="307" spans="3:15" x14ac:dyDescent="0.25">
      <c r="F307" s="866" t="s">
        <v>638</v>
      </c>
      <c r="G307" s="867"/>
      <c r="H307" s="867"/>
      <c r="I307" s="867"/>
      <c r="J307" s="867"/>
      <c r="K307" s="981"/>
      <c r="L307" s="981"/>
      <c r="M307" s="867"/>
      <c r="N307" s="867"/>
      <c r="O307" s="868"/>
    </row>
    <row r="308" spans="3:15" ht="16.5" thickBot="1" x14ac:dyDescent="0.3">
      <c r="F308" s="1112" t="s">
        <v>419</v>
      </c>
      <c r="G308" s="1113"/>
      <c r="H308" s="1113"/>
      <c r="I308" s="1113"/>
      <c r="J308" s="1113"/>
      <c r="K308" s="1113"/>
      <c r="L308" s="1113"/>
      <c r="M308" s="1113"/>
      <c r="N308" s="1113"/>
      <c r="O308" s="1114"/>
    </row>
    <row r="309" spans="3:15" ht="48" thickBot="1" x14ac:dyDescent="0.3">
      <c r="C309" s="539"/>
      <c r="F309" s="457" t="s">
        <v>0</v>
      </c>
      <c r="G309" s="457" t="s">
        <v>1</v>
      </c>
      <c r="H309" s="457" t="s">
        <v>2</v>
      </c>
      <c r="I309" s="457" t="s">
        <v>654</v>
      </c>
      <c r="J309" s="473" t="s">
        <v>648</v>
      </c>
      <c r="K309" s="879" t="s">
        <v>692</v>
      </c>
      <c r="L309" s="880"/>
      <c r="M309" s="473" t="s">
        <v>375</v>
      </c>
      <c r="N309" s="644" t="s">
        <v>768</v>
      </c>
      <c r="O309" s="292" t="s">
        <v>177</v>
      </c>
    </row>
    <row r="310" spans="3:15" ht="19.5" thickBot="1" x14ac:dyDescent="0.4">
      <c r="F310" s="326" t="s">
        <v>770</v>
      </c>
      <c r="G310" s="180" t="s">
        <v>223</v>
      </c>
      <c r="H310" s="105">
        <v>63</v>
      </c>
      <c r="I310" s="105">
        <v>1.51</v>
      </c>
      <c r="J310" s="63">
        <v>10</v>
      </c>
      <c r="K310" s="1027">
        <v>0</v>
      </c>
      <c r="L310" s="1027"/>
      <c r="M310" s="179">
        <f>J310</f>
        <v>10</v>
      </c>
      <c r="N310" s="75">
        <f>M310/I310</f>
        <v>6.6225165562913908</v>
      </c>
      <c r="O310" s="1115" t="s">
        <v>796</v>
      </c>
    </row>
    <row r="311" spans="3:15" ht="24.75" customHeight="1" thickBot="1" x14ac:dyDescent="0.3">
      <c r="F311" s="965" t="s">
        <v>53</v>
      </c>
      <c r="G311" s="966"/>
      <c r="H311" s="966"/>
      <c r="I311" s="967"/>
      <c r="J311" s="581">
        <v>10</v>
      </c>
      <c r="K311" s="864">
        <v>0</v>
      </c>
      <c r="L311" s="864"/>
      <c r="M311" s="101">
        <f>J311</f>
        <v>10</v>
      </c>
      <c r="N311" s="1">
        <f>SUM(N310)</f>
        <v>6.6225165562913908</v>
      </c>
      <c r="O311" s="1116"/>
    </row>
    <row r="312" spans="3:15" x14ac:dyDescent="0.25">
      <c r="F312" s="866" t="s">
        <v>616</v>
      </c>
      <c r="G312" s="867"/>
      <c r="H312" s="867"/>
      <c r="I312" s="867"/>
      <c r="J312" s="867"/>
      <c r="K312" s="867"/>
      <c r="L312" s="867"/>
      <c r="M312" s="867"/>
      <c r="N312" s="867"/>
      <c r="O312" s="868"/>
    </row>
    <row r="313" spans="3:15" ht="16.5" thickBot="1" x14ac:dyDescent="0.3">
      <c r="F313" s="1112" t="s">
        <v>265</v>
      </c>
      <c r="G313" s="1113"/>
      <c r="H313" s="1113"/>
      <c r="I313" s="1113"/>
      <c r="J313" s="1113"/>
      <c r="K313" s="1113"/>
      <c r="L313" s="1113"/>
      <c r="M313" s="1113"/>
      <c r="N313" s="1113"/>
      <c r="O313" s="1114"/>
    </row>
    <row r="314" spans="3:15" ht="48" thickBot="1" x14ac:dyDescent="0.3">
      <c r="F314" s="457" t="s">
        <v>0</v>
      </c>
      <c r="G314" s="457" t="s">
        <v>1</v>
      </c>
      <c r="H314" s="457" t="s">
        <v>2</v>
      </c>
      <c r="I314" s="457" t="s">
        <v>654</v>
      </c>
      <c r="J314" s="473" t="s">
        <v>648</v>
      </c>
      <c r="K314" s="879" t="s">
        <v>692</v>
      </c>
      <c r="L314" s="880"/>
      <c r="M314" s="473" t="s">
        <v>375</v>
      </c>
      <c r="N314" s="644" t="s">
        <v>768</v>
      </c>
      <c r="O314" s="292" t="s">
        <v>177</v>
      </c>
    </row>
    <row r="315" spans="3:15" ht="31.5" x14ac:dyDescent="0.25">
      <c r="F315" s="301" t="s">
        <v>859</v>
      </c>
      <c r="G315" s="500" t="s">
        <v>459</v>
      </c>
      <c r="H315" s="129">
        <v>169</v>
      </c>
      <c r="I315" s="129">
        <v>2.7</v>
      </c>
      <c r="J315" s="129">
        <v>25</v>
      </c>
      <c r="K315" s="877">
        <v>0</v>
      </c>
      <c r="L315" s="878"/>
      <c r="M315" s="129">
        <f>J315</f>
        <v>25</v>
      </c>
      <c r="N315" s="75">
        <f>M315/I315</f>
        <v>9.2592592592592595</v>
      </c>
      <c r="O315" s="974" t="s">
        <v>885</v>
      </c>
    </row>
    <row r="316" spans="3:15" ht="19.5" thickBot="1" x14ac:dyDescent="0.3">
      <c r="F316" s="289" t="s">
        <v>182</v>
      </c>
      <c r="G316" s="166" t="s">
        <v>175</v>
      </c>
      <c r="H316" s="60">
        <v>18</v>
      </c>
      <c r="I316" s="60">
        <v>1</v>
      </c>
      <c r="J316" s="60">
        <v>100</v>
      </c>
      <c r="K316" s="881">
        <v>0</v>
      </c>
      <c r="L316" s="882"/>
      <c r="M316" s="60">
        <f>J316</f>
        <v>100</v>
      </c>
      <c r="N316" s="517">
        <f>M316/I316</f>
        <v>100</v>
      </c>
      <c r="O316" s="975"/>
    </row>
    <row r="317" spans="3:15" ht="16.5" thickBot="1" x14ac:dyDescent="0.3">
      <c r="F317" s="965" t="s">
        <v>53</v>
      </c>
      <c r="G317" s="966"/>
      <c r="H317" s="966"/>
      <c r="I317" s="967"/>
      <c r="J317" s="455">
        <f>SUM(J315:J316)</f>
        <v>125</v>
      </c>
      <c r="K317" s="863">
        <f>SUM(K315:L316)</f>
        <v>0</v>
      </c>
      <c r="L317" s="865"/>
      <c r="M317" s="455">
        <f>SUM(M315:M316)</f>
        <v>125</v>
      </c>
      <c r="N317" s="1">
        <f>SUM(N315:N316)</f>
        <v>109.25925925925927</v>
      </c>
      <c r="O317" s="976"/>
    </row>
    <row r="318" spans="3:15" ht="16.5" thickBot="1" x14ac:dyDescent="0.3">
      <c r="F318" s="866" t="s">
        <v>644</v>
      </c>
      <c r="G318" s="867"/>
      <c r="H318" s="867"/>
      <c r="I318" s="867"/>
      <c r="J318" s="867"/>
      <c r="K318" s="867"/>
      <c r="L318" s="867"/>
      <c r="M318" s="867"/>
      <c r="N318" s="867"/>
      <c r="O318" s="868"/>
    </row>
    <row r="319" spans="3:15" ht="16.5" thickBot="1" x14ac:dyDescent="0.3">
      <c r="F319" s="971" t="s">
        <v>264</v>
      </c>
      <c r="G319" s="972"/>
      <c r="H319" s="972"/>
      <c r="I319" s="972"/>
      <c r="J319" s="972"/>
      <c r="K319" s="972"/>
      <c r="L319" s="972"/>
      <c r="M319" s="972"/>
      <c r="N319" s="972"/>
      <c r="O319" s="973"/>
    </row>
    <row r="320" spans="3:15" ht="48" thickBot="1" x14ac:dyDescent="0.3">
      <c r="F320" s="457" t="s">
        <v>0</v>
      </c>
      <c r="G320" s="457" t="s">
        <v>1</v>
      </c>
      <c r="H320" s="457" t="s">
        <v>2</v>
      </c>
      <c r="I320" s="457" t="s">
        <v>654</v>
      </c>
      <c r="J320" s="473" t="s">
        <v>648</v>
      </c>
      <c r="K320" s="879" t="s">
        <v>692</v>
      </c>
      <c r="L320" s="880"/>
      <c r="M320" s="473" t="s">
        <v>375</v>
      </c>
      <c r="N320" s="644" t="s">
        <v>768</v>
      </c>
      <c r="O320" s="292" t="s">
        <v>177</v>
      </c>
    </row>
    <row r="321" spans="6:16" ht="29.25" customHeight="1" x14ac:dyDescent="0.25">
      <c r="F321" s="295" t="s">
        <v>858</v>
      </c>
      <c r="G321" s="63" t="s">
        <v>253</v>
      </c>
      <c r="H321" s="63">
        <v>159</v>
      </c>
      <c r="I321" s="63">
        <v>3.6</v>
      </c>
      <c r="J321" s="63">
        <v>25</v>
      </c>
      <c r="K321" s="877">
        <v>0</v>
      </c>
      <c r="L321" s="878"/>
      <c r="M321" s="63">
        <f>J321</f>
        <v>25</v>
      </c>
      <c r="N321" s="516">
        <f>M321/I321</f>
        <v>6.9444444444444446</v>
      </c>
      <c r="O321" s="1117" t="s">
        <v>797</v>
      </c>
    </row>
    <row r="322" spans="6:16" ht="36" customHeight="1" thickBot="1" x14ac:dyDescent="0.3">
      <c r="F322" s="286" t="s">
        <v>45</v>
      </c>
      <c r="G322" s="166" t="s">
        <v>175</v>
      </c>
      <c r="H322" s="60">
        <v>18</v>
      </c>
      <c r="I322" s="60">
        <v>1</v>
      </c>
      <c r="J322" s="60">
        <v>100</v>
      </c>
      <c r="K322" s="881">
        <v>0</v>
      </c>
      <c r="L322" s="882"/>
      <c r="M322" s="60">
        <f>J322</f>
        <v>100</v>
      </c>
      <c r="N322" s="78">
        <f>M322/I322</f>
        <v>100</v>
      </c>
      <c r="O322" s="1118"/>
    </row>
    <row r="323" spans="6:16" ht="29.25" customHeight="1" thickBot="1" x14ac:dyDescent="0.3">
      <c r="F323" s="965" t="s">
        <v>53</v>
      </c>
      <c r="G323" s="966"/>
      <c r="H323" s="966"/>
      <c r="I323" s="967"/>
      <c r="J323" s="455">
        <f>SUM(J321:J322)</f>
        <v>125</v>
      </c>
      <c r="K323" s="863">
        <f>SUM(K321:L322)</f>
        <v>0</v>
      </c>
      <c r="L323" s="865"/>
      <c r="M323" s="455">
        <f>SUM(M321:M322)</f>
        <v>125</v>
      </c>
      <c r="N323" s="455">
        <f>SUM(N321:N322)</f>
        <v>106.94444444444444</v>
      </c>
      <c r="O323" s="1119"/>
    </row>
    <row r="324" spans="6:16" ht="16.5" thickBot="1" x14ac:dyDescent="0.3">
      <c r="F324" s="1103" t="s">
        <v>645</v>
      </c>
      <c r="G324" s="1104"/>
      <c r="H324" s="1104"/>
      <c r="I324" s="1104"/>
      <c r="J324" s="1104"/>
      <c r="K324" s="1104"/>
      <c r="L324" s="1104"/>
      <c r="M324" s="1104"/>
      <c r="N324" s="1104"/>
      <c r="O324" s="1105"/>
    </row>
    <row r="325" spans="6:16" ht="18" thickBot="1" x14ac:dyDescent="0.3">
      <c r="F325" s="1018" t="s">
        <v>263</v>
      </c>
      <c r="G325" s="951"/>
      <c r="H325" s="951"/>
      <c r="I325" s="951"/>
      <c r="J325" s="951"/>
      <c r="K325" s="951"/>
      <c r="L325" s="951"/>
      <c r="M325" s="951"/>
      <c r="N325" s="951"/>
      <c r="O325" s="952"/>
    </row>
    <row r="326" spans="6:16" ht="48" thickBot="1" x14ac:dyDescent="0.3">
      <c r="F326" s="457" t="s">
        <v>0</v>
      </c>
      <c r="G326" s="457" t="s">
        <v>1</v>
      </c>
      <c r="H326" s="457" t="s">
        <v>2</v>
      </c>
      <c r="I326" s="457" t="s">
        <v>654</v>
      </c>
      <c r="J326" s="473" t="s">
        <v>648</v>
      </c>
      <c r="K326" s="879" t="s">
        <v>692</v>
      </c>
      <c r="L326" s="880"/>
      <c r="M326" s="473" t="s">
        <v>375</v>
      </c>
      <c r="N326" s="644" t="s">
        <v>768</v>
      </c>
      <c r="O326" s="292" t="s">
        <v>177</v>
      </c>
    </row>
    <row r="327" spans="6:16" ht="18.75" x14ac:dyDescent="0.35">
      <c r="F327" s="285" t="s">
        <v>403</v>
      </c>
      <c r="G327" s="180" t="s">
        <v>223</v>
      </c>
      <c r="H327" s="105">
        <v>63</v>
      </c>
      <c r="I327" s="105">
        <v>1.51</v>
      </c>
      <c r="J327" s="105">
        <v>3</v>
      </c>
      <c r="K327" s="1016">
        <f>J327</f>
        <v>3</v>
      </c>
      <c r="L327" s="1017"/>
      <c r="M327" s="105">
        <f>J327-K327</f>
        <v>0</v>
      </c>
      <c r="N327" s="463">
        <f>M327/I327</f>
        <v>0</v>
      </c>
      <c r="O327" s="1023" t="s">
        <v>811</v>
      </c>
    </row>
    <row r="328" spans="6:16" ht="18.75" x14ac:dyDescent="0.25">
      <c r="F328" s="285" t="s">
        <v>182</v>
      </c>
      <c r="G328" s="60" t="s">
        <v>175</v>
      </c>
      <c r="H328" s="105">
        <v>18</v>
      </c>
      <c r="I328" s="60">
        <v>1</v>
      </c>
      <c r="J328" s="60">
        <v>50</v>
      </c>
      <c r="K328" s="1021">
        <f>(J327/H327)*(1/1)*(H328/1)</f>
        <v>0.8571428571428571</v>
      </c>
      <c r="L328" s="1022"/>
      <c r="M328" s="60">
        <f>J328-K328</f>
        <v>49.142857142857146</v>
      </c>
      <c r="N328" s="465">
        <f>M328/I328</f>
        <v>49.142857142857146</v>
      </c>
      <c r="O328" s="1024"/>
    </row>
    <row r="329" spans="6:16" ht="18.75" x14ac:dyDescent="0.35">
      <c r="F329" s="286" t="s">
        <v>262</v>
      </c>
      <c r="G329" s="107" t="s">
        <v>261</v>
      </c>
      <c r="H329" s="60">
        <v>62</v>
      </c>
      <c r="I329" s="60">
        <v>2.2599999999999998</v>
      </c>
      <c r="J329" s="60">
        <v>0</v>
      </c>
      <c r="K329" s="168">
        <f>(J327/H327)*(1/1)*(H329/1)</f>
        <v>2.9523809523809521</v>
      </c>
      <c r="L329" s="167">
        <f>(J328/H328)*(1/1)*(H329/1)</f>
        <v>172.22222222222223</v>
      </c>
      <c r="M329" s="60">
        <f>K329</f>
        <v>2.9523809523809521</v>
      </c>
      <c r="N329" s="465">
        <f>M329/I329</f>
        <v>1.3063632532659082</v>
      </c>
      <c r="O329" s="1024"/>
    </row>
    <row r="330" spans="6:16" ht="19.5" thickBot="1" x14ac:dyDescent="0.4">
      <c r="F330" s="483" t="s">
        <v>384</v>
      </c>
      <c r="G330" s="104" t="s">
        <v>260</v>
      </c>
      <c r="H330" s="64">
        <v>19</v>
      </c>
      <c r="I330" s="64">
        <v>0.84</v>
      </c>
      <c r="J330" s="64">
        <v>0</v>
      </c>
      <c r="K330" s="168">
        <f>(J327/H327)*(1/1)*(H330/1)</f>
        <v>0.90476190476190466</v>
      </c>
      <c r="L330" s="167">
        <f>(J328/H328)*(1/1)*(H330/1)</f>
        <v>52.777777777777779</v>
      </c>
      <c r="M330" s="60">
        <f>K330</f>
        <v>0.90476190476190466</v>
      </c>
      <c r="N330" s="465">
        <f>M330/I330</f>
        <v>1.0770975056689343</v>
      </c>
      <c r="O330" s="1024"/>
      <c r="P330" s="137"/>
    </row>
    <row r="331" spans="6:16" ht="16.5" thickBot="1" x14ac:dyDescent="0.3">
      <c r="F331" s="942" t="s">
        <v>180</v>
      </c>
      <c r="G331" s="942"/>
      <c r="H331" s="942"/>
      <c r="I331" s="942"/>
      <c r="J331" s="455">
        <f>SUM(J327:J330)</f>
        <v>53</v>
      </c>
      <c r="K331" s="161">
        <f>SUM(K327:L328)-SUM(K329:K330)</f>
        <v>0</v>
      </c>
      <c r="L331" s="467">
        <f>SUM(K327:L328)-SUM(L329:L330)</f>
        <v>-221.14285714285714</v>
      </c>
      <c r="M331" s="101">
        <f>SUM(M327:M330)</f>
        <v>53</v>
      </c>
      <c r="N331" s="100">
        <f>SUM(N327:N330)</f>
        <v>51.526317901791984</v>
      </c>
      <c r="O331" s="1025"/>
      <c r="P331" s="137"/>
    </row>
    <row r="332" spans="6:16" ht="16.5" thickBot="1" x14ac:dyDescent="0.3">
      <c r="F332" s="3"/>
      <c r="G332" s="3"/>
      <c r="H332" s="3"/>
      <c r="I332" s="3"/>
      <c r="J332" s="3"/>
      <c r="K332" s="3"/>
      <c r="L332" s="3"/>
      <c r="M332" s="3"/>
      <c r="N332" s="3"/>
      <c r="P332" s="137"/>
    </row>
    <row r="333" spans="6:16" ht="16.5" thickBot="1" x14ac:dyDescent="0.3">
      <c r="F333" s="1103" t="s">
        <v>420</v>
      </c>
      <c r="G333" s="1104"/>
      <c r="H333" s="1104"/>
      <c r="I333" s="1104"/>
      <c r="J333" s="1104"/>
      <c r="K333" s="1104"/>
      <c r="L333" s="1104"/>
      <c r="M333" s="1104"/>
      <c r="N333" s="1104"/>
      <c r="O333" s="1105"/>
      <c r="P333" s="137"/>
    </row>
    <row r="334" spans="6:16" ht="18" thickBot="1" x14ac:dyDescent="0.3">
      <c r="F334" s="1120" t="s">
        <v>259</v>
      </c>
      <c r="G334" s="1121"/>
      <c r="H334" s="1121"/>
      <c r="I334" s="1121"/>
      <c r="J334" s="1121"/>
      <c r="K334" s="1121"/>
      <c r="L334" s="1121"/>
      <c r="M334" s="1121"/>
      <c r="N334" s="1121"/>
      <c r="O334" s="1122"/>
      <c r="P334" s="137"/>
    </row>
    <row r="335" spans="6:16" ht="48" thickBot="1" x14ac:dyDescent="0.3">
      <c r="F335" s="457" t="s">
        <v>0</v>
      </c>
      <c r="G335" s="457" t="s">
        <v>1</v>
      </c>
      <c r="H335" s="457" t="s">
        <v>2</v>
      </c>
      <c r="I335" s="457" t="s">
        <v>654</v>
      </c>
      <c r="J335" s="473" t="s">
        <v>648</v>
      </c>
      <c r="K335" s="879" t="s">
        <v>692</v>
      </c>
      <c r="L335" s="880"/>
      <c r="M335" s="473" t="s">
        <v>375</v>
      </c>
      <c r="N335" s="644" t="s">
        <v>768</v>
      </c>
      <c r="O335" s="292" t="s">
        <v>177</v>
      </c>
      <c r="P335" s="540"/>
    </row>
    <row r="336" spans="6:16" x14ac:dyDescent="0.25">
      <c r="F336" s="301" t="s">
        <v>860</v>
      </c>
      <c r="G336" s="153" t="s">
        <v>256</v>
      </c>
      <c r="H336" s="129">
        <v>47</v>
      </c>
      <c r="I336" s="129">
        <v>1</v>
      </c>
      <c r="J336" s="129">
        <v>10</v>
      </c>
      <c r="K336" s="1132">
        <f>J336</f>
        <v>10</v>
      </c>
      <c r="L336" s="1133"/>
      <c r="M336" s="129">
        <f>J336-K336</f>
        <v>0</v>
      </c>
      <c r="N336" s="462">
        <f>M336/I336</f>
        <v>0</v>
      </c>
      <c r="O336" s="1095" t="s">
        <v>609</v>
      </c>
      <c r="P336" s="137"/>
    </row>
    <row r="337" spans="6:16" ht="18.75" x14ac:dyDescent="0.25">
      <c r="F337" s="302" t="s">
        <v>182</v>
      </c>
      <c r="G337" s="150" t="s">
        <v>181</v>
      </c>
      <c r="H337" s="129">
        <v>18</v>
      </c>
      <c r="I337" s="150">
        <v>1</v>
      </c>
      <c r="J337" s="150">
        <v>40</v>
      </c>
      <c r="K337" s="1130">
        <f>(J336/H336)*(1/1)*(H337/1)</f>
        <v>3.8297872340425534</v>
      </c>
      <c r="L337" s="1131"/>
      <c r="M337" s="150">
        <f>J337-K337</f>
        <v>36.170212765957444</v>
      </c>
      <c r="N337" s="461">
        <f>M337/I337</f>
        <v>36.170212765957444</v>
      </c>
      <c r="O337" s="1096"/>
      <c r="P337" s="137"/>
    </row>
    <row r="338" spans="6:16" ht="18.75" x14ac:dyDescent="0.35">
      <c r="F338" s="303" t="s">
        <v>384</v>
      </c>
      <c r="G338" s="190" t="s">
        <v>258</v>
      </c>
      <c r="H338" s="150">
        <v>19</v>
      </c>
      <c r="I338" s="150">
        <v>0.84</v>
      </c>
      <c r="J338" s="150">
        <v>0</v>
      </c>
      <c r="K338" s="149">
        <f>(J336/H336)*(1/1)*(H338/1)</f>
        <v>4.042553191489362</v>
      </c>
      <c r="L338" s="148">
        <f>(J337/H337)*(1/1)*(H338/1)</f>
        <v>42.222222222222221</v>
      </c>
      <c r="M338" s="150">
        <f>K338</f>
        <v>4.042553191489362</v>
      </c>
      <c r="N338" s="461">
        <f>M338/I338</f>
        <v>4.8125633232016218</v>
      </c>
      <c r="O338" s="1096"/>
      <c r="P338" s="539"/>
    </row>
    <row r="339" spans="6:16" ht="32.25" thickBot="1" x14ac:dyDescent="0.3">
      <c r="F339" s="300" t="s">
        <v>400</v>
      </c>
      <c r="G339" s="127" t="s">
        <v>257</v>
      </c>
      <c r="H339" s="126">
        <v>46</v>
      </c>
      <c r="I339" s="126">
        <v>0.114</v>
      </c>
      <c r="J339" s="126">
        <v>0</v>
      </c>
      <c r="K339" s="145">
        <f>(J336/H336)*(1/1)*(H339/1)</f>
        <v>9.787234042553191</v>
      </c>
      <c r="L339" s="144">
        <f>(J337/H337)*(1/1)*(H339/1)</f>
        <v>102.22222222222223</v>
      </c>
      <c r="M339" s="126">
        <f>K339</f>
        <v>9.787234042553191</v>
      </c>
      <c r="N339" s="461">
        <f>M339/I339</f>
        <v>85.852930197835008</v>
      </c>
      <c r="O339" s="1096"/>
    </row>
    <row r="340" spans="6:16" ht="16.5" thickBot="1" x14ac:dyDescent="0.3">
      <c r="F340" s="1091" t="s">
        <v>180</v>
      </c>
      <c r="G340" s="1091"/>
      <c r="H340" s="1091"/>
      <c r="I340" s="1091"/>
      <c r="J340" s="514">
        <f>SUM(J336:J339)</f>
        <v>50</v>
      </c>
      <c r="K340" s="123">
        <f>SUM(K336:L337)-SUM(K338:K339)</f>
        <v>0</v>
      </c>
      <c r="L340" s="514">
        <f>SUM(K336:L337)-SUM(L338:L339)</f>
        <v>-130.6146572104019</v>
      </c>
      <c r="M340" s="121">
        <f>SUM(M336:M339)</f>
        <v>50</v>
      </c>
      <c r="N340" s="121">
        <f>SUM(N336:N339)</f>
        <v>126.83570628699408</v>
      </c>
      <c r="O340" s="1097"/>
    </row>
    <row r="341" spans="6:16" ht="16.5" thickBot="1" x14ac:dyDescent="0.3">
      <c r="F341" s="3"/>
      <c r="G341" s="3"/>
      <c r="H341" s="3"/>
      <c r="I341" s="3"/>
      <c r="J341" s="3"/>
      <c r="K341" s="3"/>
      <c r="L341" s="3"/>
      <c r="M341" s="3"/>
      <c r="N341" s="3"/>
    </row>
    <row r="342" spans="6:16" ht="16.5" thickBot="1" x14ac:dyDescent="0.3">
      <c r="F342" s="1103" t="s">
        <v>422</v>
      </c>
      <c r="G342" s="1104"/>
      <c r="H342" s="1104"/>
      <c r="I342" s="1104"/>
      <c r="J342" s="1104"/>
      <c r="K342" s="1104"/>
      <c r="L342" s="1104"/>
      <c r="M342" s="1104"/>
      <c r="N342" s="1104"/>
      <c r="O342" s="1105"/>
      <c r="P342" s="1164"/>
    </row>
    <row r="343" spans="6:16" ht="16.5" thickBot="1" x14ac:dyDescent="0.3">
      <c r="F343" s="1123" t="s">
        <v>412</v>
      </c>
      <c r="G343" s="1124"/>
      <c r="H343" s="1124"/>
      <c r="I343" s="1124"/>
      <c r="J343" s="1124"/>
      <c r="K343" s="1124"/>
      <c r="L343" s="1124"/>
      <c r="M343" s="1124"/>
      <c r="N343" s="1124"/>
      <c r="O343" s="1125"/>
      <c r="P343" s="1164"/>
    </row>
    <row r="344" spans="6:16" ht="68.25" customHeight="1" thickBot="1" x14ac:dyDescent="0.3">
      <c r="F344" s="773" t="s">
        <v>0</v>
      </c>
      <c r="G344" s="773" t="s">
        <v>1</v>
      </c>
      <c r="H344" s="773" t="s">
        <v>2</v>
      </c>
      <c r="I344" s="773" t="s">
        <v>654</v>
      </c>
      <c r="J344" s="783" t="s">
        <v>648</v>
      </c>
      <c r="K344" s="879" t="s">
        <v>692</v>
      </c>
      <c r="L344" s="880"/>
      <c r="M344" s="783" t="s">
        <v>375</v>
      </c>
      <c r="N344" s="784" t="s">
        <v>768</v>
      </c>
      <c r="O344" s="832" t="s">
        <v>460</v>
      </c>
      <c r="P344" s="1164"/>
    </row>
    <row r="345" spans="6:16" ht="18.75" x14ac:dyDescent="0.35">
      <c r="F345" s="306" t="s">
        <v>38</v>
      </c>
      <c r="G345" s="180" t="s">
        <v>223</v>
      </c>
      <c r="H345" s="160">
        <v>47</v>
      </c>
      <c r="I345" s="160">
        <v>1</v>
      </c>
      <c r="J345" s="160">
        <v>12</v>
      </c>
      <c r="K345" s="1126">
        <v>0</v>
      </c>
      <c r="L345" s="1127"/>
      <c r="M345" s="160">
        <f>J345</f>
        <v>12</v>
      </c>
      <c r="N345" s="774">
        <f>M345/I345</f>
        <v>12</v>
      </c>
      <c r="O345" s="1128" t="s">
        <v>816</v>
      </c>
      <c r="P345" s="1164"/>
    </row>
    <row r="346" spans="6:16" ht="18.75" x14ac:dyDescent="0.25">
      <c r="F346" s="850" t="s">
        <v>182</v>
      </c>
      <c r="G346" s="150" t="s">
        <v>181</v>
      </c>
      <c r="H346" s="129">
        <v>18</v>
      </c>
      <c r="I346" s="150">
        <v>1</v>
      </c>
      <c r="J346" s="150">
        <v>50</v>
      </c>
      <c r="K346" s="1130">
        <v>0</v>
      </c>
      <c r="L346" s="1131"/>
      <c r="M346" s="150">
        <f>J346</f>
        <v>50</v>
      </c>
      <c r="N346" s="772">
        <f>M346/I346</f>
        <v>50</v>
      </c>
      <c r="O346" s="1129"/>
      <c r="P346" s="1164"/>
    </row>
    <row r="347" spans="6:16" ht="16.5" thickBot="1" x14ac:dyDescent="0.3">
      <c r="F347" s="851" t="s">
        <v>391</v>
      </c>
      <c r="G347" s="132" t="s">
        <v>248</v>
      </c>
      <c r="H347" s="150">
        <v>318</v>
      </c>
      <c r="I347" s="150">
        <v>1.28</v>
      </c>
      <c r="J347" s="150">
        <v>3</v>
      </c>
      <c r="K347" s="1076">
        <v>0</v>
      </c>
      <c r="L347" s="1077"/>
      <c r="M347" s="150">
        <f>J347</f>
        <v>3</v>
      </c>
      <c r="N347" s="772">
        <f>M347/I347</f>
        <v>2.34375</v>
      </c>
      <c r="O347" s="1129"/>
      <c r="P347" s="1164"/>
    </row>
    <row r="348" spans="6:16" ht="40.9" customHeight="1" thickBot="1" x14ac:dyDescent="0.3">
      <c r="F348" s="850" t="s">
        <v>83</v>
      </c>
      <c r="G348" s="127" t="s">
        <v>85</v>
      </c>
      <c r="H348" s="776">
        <v>22</v>
      </c>
      <c r="I348" s="776">
        <v>0.97</v>
      </c>
      <c r="J348" s="126">
        <v>100</v>
      </c>
      <c r="K348" s="1134">
        <v>0</v>
      </c>
      <c r="L348" s="1135"/>
      <c r="M348" s="126">
        <f>J348</f>
        <v>100</v>
      </c>
      <c r="N348" s="772">
        <f>M348/I348</f>
        <v>103.09278350515464</v>
      </c>
      <c r="O348" s="1064" t="s">
        <v>722</v>
      </c>
      <c r="P348" s="1164"/>
    </row>
    <row r="349" spans="6:16" x14ac:dyDescent="0.25">
      <c r="F349" s="1136" t="s">
        <v>53</v>
      </c>
      <c r="G349" s="1137"/>
      <c r="H349" s="1137"/>
      <c r="I349" s="1137"/>
      <c r="J349" s="1140">
        <f>SUM(J345:J348)</f>
        <v>165</v>
      </c>
      <c r="K349" s="1142">
        <f>SUM(K345:L348)</f>
        <v>0</v>
      </c>
      <c r="L349" s="1143"/>
      <c r="M349" s="1140">
        <f>SUM(M345:M348)</f>
        <v>165</v>
      </c>
      <c r="N349" s="1144">
        <f>SUM(N345:N348)</f>
        <v>167.43653350515464</v>
      </c>
      <c r="O349" s="1065"/>
      <c r="P349" s="1164"/>
    </row>
    <row r="350" spans="6:16" ht="16.5" thickBot="1" x14ac:dyDescent="0.3">
      <c r="F350" s="1138"/>
      <c r="G350" s="1139"/>
      <c r="H350" s="1139"/>
      <c r="I350" s="1139"/>
      <c r="J350" s="1141"/>
      <c r="K350" s="1080"/>
      <c r="L350" s="1081"/>
      <c r="M350" s="1141"/>
      <c r="N350" s="1145"/>
      <c r="O350" s="1066"/>
      <c r="P350" s="1164"/>
    </row>
    <row r="351" spans="6:16" ht="16.5" thickBot="1" x14ac:dyDescent="0.3">
      <c r="F351" s="3"/>
      <c r="G351" s="3"/>
      <c r="H351" s="3"/>
      <c r="I351" s="3"/>
      <c r="J351" s="3"/>
      <c r="K351" s="3"/>
      <c r="L351" s="3"/>
      <c r="M351" s="3"/>
      <c r="N351" s="3"/>
    </row>
    <row r="352" spans="6:16" ht="16.5" thickBot="1" x14ac:dyDescent="0.3">
      <c r="F352" s="1103" t="s">
        <v>423</v>
      </c>
      <c r="G352" s="1104"/>
      <c r="H352" s="1104"/>
      <c r="I352" s="1104"/>
      <c r="J352" s="1104"/>
      <c r="K352" s="1104"/>
      <c r="L352" s="1104"/>
      <c r="M352" s="1104"/>
      <c r="N352" s="1104"/>
      <c r="O352" s="1105"/>
    </row>
    <row r="353" spans="3:17" ht="16.5" thickBot="1" x14ac:dyDescent="0.3">
      <c r="F353" s="971" t="s">
        <v>255</v>
      </c>
      <c r="G353" s="972"/>
      <c r="H353" s="972"/>
      <c r="I353" s="972"/>
      <c r="J353" s="972"/>
      <c r="K353" s="972"/>
      <c r="L353" s="972"/>
      <c r="M353" s="972"/>
      <c r="N353" s="972"/>
      <c r="O353" s="973"/>
      <c r="P353" s="849"/>
    </row>
    <row r="354" spans="3:17" ht="48" thickBot="1" x14ac:dyDescent="0.3">
      <c r="C354" s="640"/>
      <c r="F354" s="457" t="s">
        <v>0</v>
      </c>
      <c r="G354" s="457" t="s">
        <v>1</v>
      </c>
      <c r="H354" s="457" t="s">
        <v>2</v>
      </c>
      <c r="I354" s="457" t="s">
        <v>654</v>
      </c>
      <c r="J354" s="473" t="s">
        <v>648</v>
      </c>
      <c r="K354" s="879" t="s">
        <v>692</v>
      </c>
      <c r="L354" s="880"/>
      <c r="M354" s="473" t="s">
        <v>375</v>
      </c>
      <c r="N354" s="644" t="s">
        <v>768</v>
      </c>
      <c r="O354" s="292" t="s">
        <v>177</v>
      </c>
      <c r="P354" s="849"/>
      <c r="Q354" s="848"/>
    </row>
    <row r="355" spans="3:17" ht="18.75" x14ac:dyDescent="0.35">
      <c r="F355" s="301" t="s">
        <v>424</v>
      </c>
      <c r="G355" s="432" t="s">
        <v>253</v>
      </c>
      <c r="H355" s="129">
        <v>159</v>
      </c>
      <c r="I355" s="129">
        <v>3.6</v>
      </c>
      <c r="J355" s="129">
        <v>50</v>
      </c>
      <c r="K355" s="1132">
        <f>J355</f>
        <v>50</v>
      </c>
      <c r="L355" s="1133"/>
      <c r="M355" s="129">
        <f>J355-K355</f>
        <v>0</v>
      </c>
      <c r="N355" s="496">
        <f>M355/I355</f>
        <v>0</v>
      </c>
      <c r="O355" s="1023" t="s">
        <v>887</v>
      </c>
    </row>
    <row r="356" spans="3:17" x14ac:dyDescent="0.25">
      <c r="F356" s="302" t="s">
        <v>252</v>
      </c>
      <c r="G356" s="432" t="s">
        <v>251</v>
      </c>
      <c r="H356" s="129">
        <v>95</v>
      </c>
      <c r="I356" s="150">
        <v>4.76</v>
      </c>
      <c r="J356" s="150">
        <v>10</v>
      </c>
      <c r="K356" s="1130">
        <f>(J356)*(1/H356)*(1/1)*(H356/1)</f>
        <v>10</v>
      </c>
      <c r="L356" s="1131"/>
      <c r="M356" s="150">
        <f>J356-K356</f>
        <v>0</v>
      </c>
      <c r="N356" s="157">
        <f>M356/I356</f>
        <v>0</v>
      </c>
      <c r="O356" s="1024"/>
    </row>
    <row r="357" spans="3:17" x14ac:dyDescent="0.25">
      <c r="F357" s="303" t="s">
        <v>229</v>
      </c>
      <c r="G357" s="189" t="s">
        <v>228</v>
      </c>
      <c r="H357" s="150">
        <v>63</v>
      </c>
      <c r="I357" s="150">
        <v>8.9600000000000009</v>
      </c>
      <c r="J357" s="150">
        <v>0</v>
      </c>
      <c r="K357" s="149">
        <f>(J355/H355)*(2/1)*(H357/1)</f>
        <v>39.622641509433961</v>
      </c>
      <c r="L357" s="148">
        <f>(J356/H356)*(2/1)*(H357/1)</f>
        <v>13.263157894736841</v>
      </c>
      <c r="M357" s="150">
        <f>L357</f>
        <v>13.263157894736841</v>
      </c>
      <c r="N357" s="147">
        <f>M357/I357</f>
        <v>1.4802631578947365</v>
      </c>
      <c r="O357" s="1024"/>
    </row>
    <row r="358" spans="3:17" ht="19.5" thickBot="1" x14ac:dyDescent="0.4">
      <c r="F358" s="300" t="s">
        <v>425</v>
      </c>
      <c r="G358" s="104" t="s">
        <v>250</v>
      </c>
      <c r="H358" s="126">
        <v>64</v>
      </c>
      <c r="I358" s="126">
        <v>0.27</v>
      </c>
      <c r="J358" s="126">
        <v>0</v>
      </c>
      <c r="K358" s="145">
        <f>(J355/H355)*(2/1)*(H358/1)</f>
        <v>40.251572327044023</v>
      </c>
      <c r="L358" s="144">
        <f>(J356/H356)*(2/1)*(H358/1)</f>
        <v>13.473684210526315</v>
      </c>
      <c r="M358" s="126">
        <f>L358</f>
        <v>13.473684210526315</v>
      </c>
      <c r="N358" s="460">
        <f>M358/I358</f>
        <v>49.902534113060426</v>
      </c>
      <c r="O358" s="1024"/>
      <c r="P358" s="539"/>
    </row>
    <row r="359" spans="3:17" ht="16.5" thickBot="1" x14ac:dyDescent="0.3">
      <c r="F359" s="1090" t="s">
        <v>53</v>
      </c>
      <c r="G359" s="1091"/>
      <c r="H359" s="1091"/>
      <c r="I359" s="1091"/>
      <c r="J359" s="514">
        <f>SUM(J355:J358)</f>
        <v>60</v>
      </c>
      <c r="K359" s="123">
        <f>SUM(K355:L356)-SUM(K357:K358)</f>
        <v>-19.874213836477992</v>
      </c>
      <c r="L359" s="514">
        <f>SUM(K355:L356)-SUM(L357:L358)</f>
        <v>33.263157894736842</v>
      </c>
      <c r="M359" s="121">
        <f>SUM(M355:M358)</f>
        <v>26.736842105263158</v>
      </c>
      <c r="N359" s="121">
        <f>SUM(N355:N358)</f>
        <v>51.382797270955166</v>
      </c>
      <c r="O359" s="1025"/>
    </row>
    <row r="360" spans="3:17" ht="16.5" thickBot="1" x14ac:dyDescent="0.3">
      <c r="F360" s="1103" t="s">
        <v>638</v>
      </c>
      <c r="G360" s="1104"/>
      <c r="H360" s="1104"/>
      <c r="I360" s="1104"/>
      <c r="J360" s="1104"/>
      <c r="K360" s="1104"/>
      <c r="L360" s="1104"/>
      <c r="M360" s="1104"/>
      <c r="N360" s="1104"/>
      <c r="O360" s="1105"/>
    </row>
    <row r="361" spans="3:17" ht="16.5" thickBot="1" x14ac:dyDescent="0.3">
      <c r="F361" s="958" t="s">
        <v>727</v>
      </c>
      <c r="G361" s="966"/>
      <c r="H361" s="966"/>
      <c r="I361" s="966"/>
      <c r="J361" s="966"/>
      <c r="K361" s="966"/>
      <c r="L361" s="966"/>
      <c r="M361" s="966"/>
      <c r="N361" s="966"/>
      <c r="O361" s="967"/>
    </row>
    <row r="362" spans="3:17" ht="48" thickBot="1" x14ac:dyDescent="0.3">
      <c r="F362" s="457" t="s">
        <v>0</v>
      </c>
      <c r="G362" s="457" t="s">
        <v>1</v>
      </c>
      <c r="H362" s="457" t="s">
        <v>2</v>
      </c>
      <c r="I362" s="457" t="s">
        <v>654</v>
      </c>
      <c r="J362" s="473" t="s">
        <v>648</v>
      </c>
      <c r="K362" s="879" t="s">
        <v>692</v>
      </c>
      <c r="L362" s="880"/>
      <c r="M362" s="473" t="s">
        <v>375</v>
      </c>
      <c r="N362" s="644" t="s">
        <v>768</v>
      </c>
      <c r="O362" s="292" t="s">
        <v>177</v>
      </c>
      <c r="P362" s="458"/>
      <c r="Q362" s="329"/>
    </row>
    <row r="363" spans="3:17" ht="31.5" x14ac:dyDescent="0.25">
      <c r="F363" s="301" t="s">
        <v>427</v>
      </c>
      <c r="G363" s="186" t="s">
        <v>239</v>
      </c>
      <c r="H363" s="129">
        <v>84</v>
      </c>
      <c r="I363" s="129">
        <v>2.54</v>
      </c>
      <c r="J363" s="129">
        <v>2</v>
      </c>
      <c r="K363" s="1132">
        <f>J363</f>
        <v>2</v>
      </c>
      <c r="L363" s="1133"/>
      <c r="M363" s="129">
        <f>J363-K363</f>
        <v>0</v>
      </c>
      <c r="N363" s="128">
        <f>M363/I363</f>
        <v>0</v>
      </c>
      <c r="O363" s="1146" t="s">
        <v>886</v>
      </c>
    </row>
    <row r="364" spans="3:17" x14ac:dyDescent="0.25">
      <c r="F364" s="289" t="s">
        <v>249</v>
      </c>
      <c r="G364" s="187" t="s">
        <v>248</v>
      </c>
      <c r="H364" s="60">
        <v>318</v>
      </c>
      <c r="I364" s="60">
        <v>1.28</v>
      </c>
      <c r="J364" s="150">
        <v>10</v>
      </c>
      <c r="K364" s="1130">
        <f>(J363)*(1/H363)*(1/172)*(H364/1)</f>
        <v>4.4019933554817273E-2</v>
      </c>
      <c r="L364" s="1131"/>
      <c r="M364" s="150">
        <f>J364-K364</f>
        <v>9.9559800664451821</v>
      </c>
      <c r="N364" s="147">
        <f>M364/I364</f>
        <v>7.7781094269102979</v>
      </c>
      <c r="O364" s="1147"/>
    </row>
    <row r="365" spans="3:17" ht="31.5" x14ac:dyDescent="0.25">
      <c r="C365" s="539"/>
      <c r="F365" s="477" t="s">
        <v>247</v>
      </c>
      <c r="G365" s="188" t="s">
        <v>246</v>
      </c>
      <c r="H365" s="474">
        <v>107</v>
      </c>
      <c r="I365" s="474">
        <v>2.2000000000000002</v>
      </c>
      <c r="J365" s="150">
        <v>0</v>
      </c>
      <c r="K365" s="149">
        <f>(J363/H363)*(86/172)*(H365/1)</f>
        <v>1.2738095238095237</v>
      </c>
      <c r="L365" s="148">
        <f>(J364)*(1/H364)*(86/1)*(H365/1)</f>
        <v>289.37106918238993</v>
      </c>
      <c r="M365" s="150">
        <f>K365</f>
        <v>1.2738095238095237</v>
      </c>
      <c r="N365" s="147">
        <f>M365/I365</f>
        <v>0.57900432900432897</v>
      </c>
      <c r="O365" s="1147"/>
    </row>
    <row r="366" spans="3:17" ht="31.5" x14ac:dyDescent="0.25">
      <c r="F366" s="477" t="s">
        <v>771</v>
      </c>
      <c r="G366" s="188" t="s">
        <v>245</v>
      </c>
      <c r="H366" s="474">
        <v>44</v>
      </c>
      <c r="I366" s="474">
        <v>0.19</v>
      </c>
      <c r="J366" s="150">
        <v>0</v>
      </c>
      <c r="K366" s="149">
        <f>(J363/H363)*(106/172)*(H366/1)</f>
        <v>0.64562569213732002</v>
      </c>
      <c r="L366" s="148">
        <f>(J364)*(1/H364)*(106/1)*(H366/1)</f>
        <v>146.66666666666669</v>
      </c>
      <c r="M366" s="150">
        <f>K366</f>
        <v>0.64562569213732002</v>
      </c>
      <c r="N366" s="147">
        <f>M366/I366</f>
        <v>3.3980299586174736</v>
      </c>
      <c r="O366" s="1147"/>
    </row>
    <row r="367" spans="3:17" ht="19.5" thickBot="1" x14ac:dyDescent="0.3">
      <c r="F367" s="300" t="s">
        <v>182</v>
      </c>
      <c r="G367" s="124" t="s">
        <v>181</v>
      </c>
      <c r="H367" s="126">
        <v>18</v>
      </c>
      <c r="I367" s="126">
        <v>1</v>
      </c>
      <c r="J367" s="126">
        <v>0</v>
      </c>
      <c r="K367" s="145">
        <f>(J363/H363)*(50/172)*(H367/1)</f>
        <v>0.12458471760797342</v>
      </c>
      <c r="L367" s="144">
        <f>(J364)*(1/H364)*(50/1)*(H367/1)</f>
        <v>28.301886792452834</v>
      </c>
      <c r="M367" s="150">
        <f>K367</f>
        <v>0.12458471760797342</v>
      </c>
      <c r="N367" s="460">
        <f>M367/I367</f>
        <v>0.12458471760797342</v>
      </c>
      <c r="O367" s="1147"/>
    </row>
    <row r="368" spans="3:17" ht="16.5" thickBot="1" x14ac:dyDescent="0.3">
      <c r="F368" s="1090" t="s">
        <v>53</v>
      </c>
      <c r="G368" s="1149"/>
      <c r="H368" s="1091"/>
      <c r="I368" s="1091"/>
      <c r="J368" s="514">
        <f>SUM(J363:J367)</f>
        <v>12</v>
      </c>
      <c r="K368" s="123">
        <f>SUM(K363:L364)-SUM(K365:K367)</f>
        <v>0</v>
      </c>
      <c r="L368" s="514">
        <f>SUM(K363:L364)-SUM(L365:L367)</f>
        <v>-462.29560270795463</v>
      </c>
      <c r="M368" s="121">
        <f>SUM(M363:M367)</f>
        <v>12</v>
      </c>
      <c r="N368" s="121">
        <f>SUM(N363:N367)</f>
        <v>11.879728432140073</v>
      </c>
      <c r="O368" s="1148"/>
    </row>
    <row r="369" spans="3:15" ht="16.5" thickBot="1" x14ac:dyDescent="0.3">
      <c r="F369" s="1103" t="s">
        <v>616</v>
      </c>
      <c r="G369" s="1104"/>
      <c r="H369" s="1104"/>
      <c r="I369" s="1104"/>
      <c r="J369" s="1104"/>
      <c r="K369" s="1104"/>
      <c r="L369" s="1104"/>
      <c r="M369" s="1104"/>
      <c r="N369" s="1104"/>
      <c r="O369" s="1105"/>
    </row>
    <row r="370" spans="3:15" ht="19.5" thickBot="1" x14ac:dyDescent="0.3">
      <c r="F370" s="1018" t="s">
        <v>611</v>
      </c>
      <c r="G370" s="951"/>
      <c r="H370" s="951"/>
      <c r="I370" s="951"/>
      <c r="J370" s="951"/>
      <c r="K370" s="951"/>
      <c r="L370" s="951"/>
      <c r="M370" s="951"/>
      <c r="N370" s="951"/>
      <c r="O370" s="952"/>
    </row>
    <row r="371" spans="3:15" ht="48" thickBot="1" x14ac:dyDescent="0.3">
      <c r="F371" s="457" t="s">
        <v>0</v>
      </c>
      <c r="G371" s="457" t="s">
        <v>1</v>
      </c>
      <c r="H371" s="457" t="s">
        <v>2</v>
      </c>
      <c r="I371" s="457" t="s">
        <v>654</v>
      </c>
      <c r="J371" s="473" t="s">
        <v>648</v>
      </c>
      <c r="K371" s="879" t="s">
        <v>692</v>
      </c>
      <c r="L371" s="880"/>
      <c r="M371" s="473" t="s">
        <v>375</v>
      </c>
      <c r="N371" s="644" t="s">
        <v>768</v>
      </c>
      <c r="O371" s="292" t="s">
        <v>177</v>
      </c>
    </row>
    <row r="372" spans="3:15" x14ac:dyDescent="0.25">
      <c r="F372" s="301" t="s">
        <v>426</v>
      </c>
      <c r="G372" s="432" t="s">
        <v>244</v>
      </c>
      <c r="H372" s="129">
        <v>24</v>
      </c>
      <c r="I372" s="129">
        <v>1.7</v>
      </c>
      <c r="J372" s="129">
        <v>5</v>
      </c>
      <c r="K372" s="1132">
        <f>J372</f>
        <v>5</v>
      </c>
      <c r="L372" s="1133"/>
      <c r="M372" s="129">
        <f>J372-K372</f>
        <v>0</v>
      </c>
      <c r="N372" s="496">
        <f>M372/I372</f>
        <v>0</v>
      </c>
      <c r="O372" s="1146" t="s">
        <v>798</v>
      </c>
    </row>
    <row r="373" spans="3:15" x14ac:dyDescent="0.25">
      <c r="C373" s="539"/>
      <c r="F373" s="477" t="s">
        <v>126</v>
      </c>
      <c r="G373" s="78" t="s">
        <v>238</v>
      </c>
      <c r="H373" s="474">
        <v>36</v>
      </c>
      <c r="I373" s="474">
        <v>1.1200000000000001</v>
      </c>
      <c r="J373" s="150">
        <v>5</v>
      </c>
      <c r="K373" s="1130">
        <f>(J373)*(1/H373)*(2/2)*(H373/1)</f>
        <v>5</v>
      </c>
      <c r="L373" s="1131"/>
      <c r="M373" s="150">
        <f>J373-K373</f>
        <v>0</v>
      </c>
      <c r="N373" s="157">
        <f>M373/I373</f>
        <v>0</v>
      </c>
      <c r="O373" s="1147"/>
    </row>
    <row r="374" spans="3:15" ht="31.5" x14ac:dyDescent="0.35">
      <c r="F374" s="303" t="s">
        <v>243</v>
      </c>
      <c r="G374" s="187" t="s">
        <v>242</v>
      </c>
      <c r="H374" s="150">
        <v>95</v>
      </c>
      <c r="I374" s="150">
        <v>2.3199999999999998</v>
      </c>
      <c r="J374" s="150">
        <v>0</v>
      </c>
      <c r="K374" s="149">
        <f>(J372/H372)*(1/1)*(H374/1)</f>
        <v>19.791666666666668</v>
      </c>
      <c r="L374" s="148">
        <f>(J373/H373)*(1/2)*(H374/1)</f>
        <v>6.5972222222222223</v>
      </c>
      <c r="M374" s="150">
        <f>L374</f>
        <v>6.5972222222222223</v>
      </c>
      <c r="N374" s="157">
        <f>M374/I374</f>
        <v>2.843630268199234</v>
      </c>
      <c r="O374" s="1147"/>
    </row>
    <row r="375" spans="3:15" ht="19.5" thickBot="1" x14ac:dyDescent="0.3">
      <c r="F375" s="300" t="s">
        <v>84</v>
      </c>
      <c r="G375" s="64" t="s">
        <v>241</v>
      </c>
      <c r="H375" s="126">
        <v>2</v>
      </c>
      <c r="I375" s="126">
        <v>1</v>
      </c>
      <c r="J375" s="126">
        <v>0</v>
      </c>
      <c r="K375" s="145">
        <f>(J372/H372)*(1/1)*(H375/1)</f>
        <v>0.41666666666666669</v>
      </c>
      <c r="L375" s="144">
        <f>(J373/H373)*(1/2)*(H375/1)</f>
        <v>0.1388888888888889</v>
      </c>
      <c r="M375" s="126">
        <f>L375</f>
        <v>0.1388888888888889</v>
      </c>
      <c r="N375" s="125">
        <f>M375/I375</f>
        <v>0.1388888888888889</v>
      </c>
      <c r="O375" s="1147"/>
    </row>
    <row r="376" spans="3:15" ht="16.5" thickBot="1" x14ac:dyDescent="0.3">
      <c r="F376" s="1090" t="s">
        <v>53</v>
      </c>
      <c r="G376" s="1091"/>
      <c r="H376" s="1091"/>
      <c r="I376" s="1091"/>
      <c r="J376" s="514">
        <f>SUM(J372:J375)</f>
        <v>10</v>
      </c>
      <c r="K376" s="123">
        <f>SUM(K372:L373)-SUM(K374:K375)</f>
        <v>-10.208333333333336</v>
      </c>
      <c r="L376" s="514">
        <f>SUM(K372:L373)-SUM(L374:L375)</f>
        <v>3.2638888888888884</v>
      </c>
      <c r="M376" s="121">
        <f>SUM(M372:M375)</f>
        <v>6.7361111111111116</v>
      </c>
      <c r="N376" s="121">
        <f>SUM(N372:N375)</f>
        <v>2.9825191570881229</v>
      </c>
      <c r="O376" s="1148"/>
    </row>
    <row r="377" spans="3:15" ht="16.5" thickBot="1" x14ac:dyDescent="0.3">
      <c r="F377" s="1103" t="s">
        <v>637</v>
      </c>
      <c r="G377" s="1104"/>
      <c r="H377" s="1104"/>
      <c r="I377" s="1104"/>
      <c r="J377" s="1104"/>
      <c r="K377" s="1104"/>
      <c r="L377" s="1104"/>
      <c r="M377" s="1104"/>
      <c r="N377" s="1104"/>
      <c r="O377" s="1105"/>
    </row>
    <row r="378" spans="3:15" ht="19.5" thickBot="1" x14ac:dyDescent="0.3">
      <c r="F378" s="1018" t="s">
        <v>240</v>
      </c>
      <c r="G378" s="951"/>
      <c r="H378" s="951"/>
      <c r="I378" s="951"/>
      <c r="J378" s="951"/>
      <c r="K378" s="951"/>
      <c r="L378" s="951"/>
      <c r="M378" s="951"/>
      <c r="N378" s="951"/>
      <c r="O378" s="952"/>
    </row>
    <row r="379" spans="3:15" ht="48" thickBot="1" x14ac:dyDescent="0.3">
      <c r="F379" s="457" t="s">
        <v>0</v>
      </c>
      <c r="G379" s="457" t="s">
        <v>1</v>
      </c>
      <c r="H379" s="457" t="s">
        <v>2</v>
      </c>
      <c r="I379" s="457" t="s">
        <v>654</v>
      </c>
      <c r="J379" s="473" t="s">
        <v>648</v>
      </c>
      <c r="K379" s="879" t="s">
        <v>692</v>
      </c>
      <c r="L379" s="880"/>
      <c r="M379" s="473" t="s">
        <v>375</v>
      </c>
      <c r="N379" s="644" t="s">
        <v>768</v>
      </c>
      <c r="O379" s="292" t="s">
        <v>177</v>
      </c>
    </row>
    <row r="380" spans="3:15" ht="31.5" x14ac:dyDescent="0.25">
      <c r="C380" s="539"/>
      <c r="F380" s="301" t="s">
        <v>427</v>
      </c>
      <c r="G380" s="186" t="s">
        <v>239</v>
      </c>
      <c r="H380" s="129">
        <v>84</v>
      </c>
      <c r="I380" s="129">
        <v>2.54</v>
      </c>
      <c r="J380" s="129">
        <v>5</v>
      </c>
      <c r="K380" s="1132">
        <f>J380</f>
        <v>5</v>
      </c>
      <c r="L380" s="1133"/>
      <c r="M380" s="129">
        <f>J380-K380</f>
        <v>0</v>
      </c>
      <c r="N380" s="128">
        <f>M380/I380</f>
        <v>0</v>
      </c>
      <c r="O380" s="1146" t="s">
        <v>799</v>
      </c>
    </row>
    <row r="381" spans="3:15" x14ac:dyDescent="0.25">
      <c r="F381" s="477" t="s">
        <v>126</v>
      </c>
      <c r="G381" s="78" t="s">
        <v>238</v>
      </c>
      <c r="H381" s="474">
        <v>36</v>
      </c>
      <c r="I381" s="474">
        <v>1.1200000000000001</v>
      </c>
      <c r="J381" s="150">
        <v>5</v>
      </c>
      <c r="K381" s="1130">
        <f>(J380)*(1/H380)*(1/1)*(H381/1)</f>
        <v>2.1428571428571428</v>
      </c>
      <c r="L381" s="1131"/>
      <c r="M381" s="150">
        <f>J381-K381</f>
        <v>2.8571428571428572</v>
      </c>
      <c r="N381" s="152">
        <f>M381/I381</f>
        <v>2.5510204081632653</v>
      </c>
      <c r="O381" s="1147"/>
    </row>
    <row r="382" spans="3:15" x14ac:dyDescent="0.25">
      <c r="F382" s="304" t="s">
        <v>428</v>
      </c>
      <c r="G382" s="151" t="s">
        <v>81</v>
      </c>
      <c r="H382" s="474">
        <v>58</v>
      </c>
      <c r="I382" s="474">
        <v>2.16</v>
      </c>
      <c r="J382" s="150">
        <v>0</v>
      </c>
      <c r="K382" s="149">
        <f>(J380/H380)*(1/1)*(H382/1)</f>
        <v>3.4523809523809521</v>
      </c>
      <c r="L382" s="148">
        <f>(J381/H381)*(1/1)*(H382/1)</f>
        <v>8.0555555555555554</v>
      </c>
      <c r="M382" s="150">
        <f>K382</f>
        <v>3.4523809523809521</v>
      </c>
      <c r="N382" s="157">
        <f>M382/I382</f>
        <v>1.5983245149911813</v>
      </c>
      <c r="O382" s="1147"/>
    </row>
    <row r="383" spans="3:15" ht="31.5" x14ac:dyDescent="0.35">
      <c r="F383" s="289" t="s">
        <v>388</v>
      </c>
      <c r="G383" s="159" t="s">
        <v>191</v>
      </c>
      <c r="H383" s="60">
        <v>44</v>
      </c>
      <c r="I383" s="60">
        <v>0.9</v>
      </c>
      <c r="J383" s="150">
        <v>0</v>
      </c>
      <c r="K383" s="149">
        <f>(J380/H380)*(1/1)*(H383/1)</f>
        <v>2.6190476190476191</v>
      </c>
      <c r="L383" s="148">
        <f>(J381/H381)*(1/1)*(H383/1)</f>
        <v>6.1111111111111116</v>
      </c>
      <c r="M383" s="150">
        <f>K383</f>
        <v>2.6190476190476191</v>
      </c>
      <c r="N383" s="157">
        <f>M383/I383</f>
        <v>2.9100529100529102</v>
      </c>
      <c r="O383" s="1147"/>
    </row>
    <row r="384" spans="3:15" ht="19.5" thickBot="1" x14ac:dyDescent="0.3">
      <c r="F384" s="305" t="s">
        <v>182</v>
      </c>
      <c r="G384" s="126" t="s">
        <v>181</v>
      </c>
      <c r="H384" s="124">
        <v>18</v>
      </c>
      <c r="I384" s="126">
        <v>1</v>
      </c>
      <c r="J384" s="126">
        <v>0</v>
      </c>
      <c r="K384" s="145">
        <f>(J380/H380)*(1/1)*(H384/1)</f>
        <v>1.0714285714285714</v>
      </c>
      <c r="L384" s="144">
        <f>(J381/H381)*(1/1)*(H384/1)</f>
        <v>2.5</v>
      </c>
      <c r="M384" s="126">
        <f>K384</f>
        <v>1.0714285714285714</v>
      </c>
      <c r="N384" s="125">
        <f>M384/I384</f>
        <v>1.0714285714285714</v>
      </c>
      <c r="O384" s="1147"/>
    </row>
    <row r="385" spans="3:15" ht="16.5" thickBot="1" x14ac:dyDescent="0.3">
      <c r="F385" s="1150" t="s">
        <v>53</v>
      </c>
      <c r="G385" s="1139"/>
      <c r="H385" s="1151"/>
      <c r="I385" s="1152"/>
      <c r="J385" s="514">
        <f>SUM(J380:J384)</f>
        <v>10</v>
      </c>
      <c r="K385" s="123">
        <f>SUM(K380:L381)-SUM(K382:K384)</f>
        <v>0</v>
      </c>
      <c r="L385" s="514">
        <f>SUM(K380:L381)-SUM(L382:L384)</f>
        <v>-9.5238095238095255</v>
      </c>
      <c r="M385" s="121">
        <f>SUM(M380:M384)</f>
        <v>10</v>
      </c>
      <c r="N385" s="121">
        <f>SUM(N380:N384)</f>
        <v>8.1308264046359273</v>
      </c>
      <c r="O385" s="1148"/>
    </row>
    <row r="386" spans="3:15" ht="16.5" thickBot="1" x14ac:dyDescent="0.3">
      <c r="F386" s="1103" t="s">
        <v>636</v>
      </c>
      <c r="G386" s="1104"/>
      <c r="H386" s="1104"/>
      <c r="I386" s="1104"/>
      <c r="J386" s="1104"/>
      <c r="K386" s="1104"/>
      <c r="L386" s="1104"/>
      <c r="M386" s="1104"/>
      <c r="N386" s="1104"/>
      <c r="O386" s="1105"/>
    </row>
    <row r="387" spans="3:15" ht="19.5" thickBot="1" x14ac:dyDescent="0.3">
      <c r="F387" s="1018" t="s">
        <v>237</v>
      </c>
      <c r="G387" s="951"/>
      <c r="H387" s="951"/>
      <c r="I387" s="951"/>
      <c r="J387" s="951"/>
      <c r="K387" s="951"/>
      <c r="L387" s="951"/>
      <c r="M387" s="951"/>
      <c r="N387" s="951"/>
      <c r="O387" s="952"/>
    </row>
    <row r="388" spans="3:15" ht="48" thickBot="1" x14ac:dyDescent="0.3">
      <c r="C388" s="539"/>
      <c r="F388" s="457" t="s">
        <v>0</v>
      </c>
      <c r="G388" s="457" t="s">
        <v>1</v>
      </c>
      <c r="H388" s="457" t="s">
        <v>2</v>
      </c>
      <c r="I388" s="457" t="s">
        <v>654</v>
      </c>
      <c r="J388" s="473" t="s">
        <v>648</v>
      </c>
      <c r="K388" s="879" t="s">
        <v>692</v>
      </c>
      <c r="L388" s="880"/>
      <c r="M388" s="473" t="s">
        <v>375</v>
      </c>
      <c r="N388" s="644" t="s">
        <v>768</v>
      </c>
      <c r="O388" s="292" t="s">
        <v>177</v>
      </c>
    </row>
    <row r="389" spans="3:15" ht="18.75" x14ac:dyDescent="0.35">
      <c r="F389" s="306" t="s">
        <v>236</v>
      </c>
      <c r="G389" s="432" t="s">
        <v>232</v>
      </c>
      <c r="H389" s="129">
        <v>169</v>
      </c>
      <c r="I389" s="129">
        <v>4.3499999999999996</v>
      </c>
      <c r="J389" s="129">
        <v>10</v>
      </c>
      <c r="K389" s="1132">
        <f>J389</f>
        <v>10</v>
      </c>
      <c r="L389" s="1133"/>
      <c r="M389" s="129">
        <f>J389-K389</f>
        <v>0</v>
      </c>
      <c r="N389" s="128">
        <f>M389/I389</f>
        <v>0</v>
      </c>
      <c r="O389" s="1023" t="s">
        <v>813</v>
      </c>
    </row>
    <row r="390" spans="3:15" x14ac:dyDescent="0.25">
      <c r="F390" s="307" t="s">
        <v>229</v>
      </c>
      <c r="G390" s="185" t="s">
        <v>228</v>
      </c>
      <c r="H390" s="150">
        <v>63</v>
      </c>
      <c r="I390" s="150">
        <v>8.9600000000000009</v>
      </c>
      <c r="J390" s="150">
        <v>5</v>
      </c>
      <c r="K390" s="1130">
        <f>(J389)*(1/H389)*(1/1)*(H390/1)</f>
        <v>3.7278106508875739</v>
      </c>
      <c r="L390" s="1131"/>
      <c r="M390" s="150">
        <f>J390-K390</f>
        <v>1.2721893491124261</v>
      </c>
      <c r="N390" s="152">
        <f>M390/I390</f>
        <v>0.14198541842772611</v>
      </c>
      <c r="O390" s="1024"/>
    </row>
    <row r="391" spans="3:15" ht="18.75" x14ac:dyDescent="0.35">
      <c r="F391" s="307" t="s">
        <v>227</v>
      </c>
      <c r="G391" s="154" t="s">
        <v>226</v>
      </c>
      <c r="H391" s="150">
        <v>125</v>
      </c>
      <c r="I391" s="150">
        <v>3</v>
      </c>
      <c r="J391" s="150">
        <v>0</v>
      </c>
      <c r="K391" s="149">
        <f>(J389/H389)*(1/1)*(H391/1)</f>
        <v>7.3964497041420119</v>
      </c>
      <c r="L391" s="148">
        <f>(J390/H390)*(1/1)*(H391/1)</f>
        <v>9.9206349206349209</v>
      </c>
      <c r="M391" s="150">
        <f>K391</f>
        <v>7.3964497041420119</v>
      </c>
      <c r="N391" s="157">
        <f>M391/I391</f>
        <v>2.4654832347140041</v>
      </c>
      <c r="O391" s="1024"/>
    </row>
    <row r="392" spans="3:15" ht="16.5" thickBot="1" x14ac:dyDescent="0.3">
      <c r="F392" s="307" t="s">
        <v>235</v>
      </c>
      <c r="G392" s="184" t="s">
        <v>234</v>
      </c>
      <c r="H392" s="126">
        <v>107</v>
      </c>
      <c r="I392" s="126">
        <v>10</v>
      </c>
      <c r="J392" s="126">
        <v>0</v>
      </c>
      <c r="K392" s="145">
        <f>(J389/H389)*(1/1)*(H392/1)</f>
        <v>6.331360946745562</v>
      </c>
      <c r="L392" s="144">
        <f>(J390)*(1/H390)*(1/1)*(H392/1)</f>
        <v>8.4920634920634921</v>
      </c>
      <c r="M392" s="126">
        <f>K392</f>
        <v>6.331360946745562</v>
      </c>
      <c r="N392" s="125">
        <f>M392/I392</f>
        <v>0.63313609467455623</v>
      </c>
      <c r="O392" s="1024"/>
    </row>
    <row r="393" spans="3:15" ht="16.5" thickBot="1" x14ac:dyDescent="0.3">
      <c r="F393" s="1090" t="s">
        <v>53</v>
      </c>
      <c r="G393" s="1091"/>
      <c r="H393" s="1091"/>
      <c r="I393" s="1091"/>
      <c r="J393" s="514">
        <f>SUM(J389:J392)</f>
        <v>15</v>
      </c>
      <c r="K393" s="123">
        <f>SUM(K389:L390)-SUM(K391:K392)</f>
        <v>0</v>
      </c>
      <c r="L393" s="514">
        <f>SUM(K389:L390)-SUM(L391:L392)</f>
        <v>-4.6848877618108382</v>
      </c>
      <c r="M393" s="121">
        <f>SUM(M389:M392)</f>
        <v>15</v>
      </c>
      <c r="N393" s="121">
        <f>SUM(N389:N392)</f>
        <v>3.2406047478162865</v>
      </c>
      <c r="O393" s="1025"/>
    </row>
    <row r="394" spans="3:15" ht="16.5" thickBot="1" x14ac:dyDescent="0.3">
      <c r="F394" s="1103" t="s">
        <v>635</v>
      </c>
      <c r="G394" s="1104"/>
      <c r="H394" s="1104"/>
      <c r="I394" s="1104"/>
      <c r="J394" s="1104"/>
      <c r="K394" s="1104"/>
      <c r="L394" s="1104"/>
      <c r="M394" s="1104"/>
      <c r="N394" s="1104"/>
      <c r="O394" s="1105"/>
    </row>
    <row r="395" spans="3:15" ht="18" thickBot="1" x14ac:dyDescent="0.3">
      <c r="F395" s="1018" t="s">
        <v>233</v>
      </c>
      <c r="G395" s="951"/>
      <c r="H395" s="951"/>
      <c r="I395" s="951"/>
      <c r="J395" s="951"/>
      <c r="K395" s="951"/>
      <c r="L395" s="951"/>
      <c r="M395" s="951"/>
      <c r="N395" s="951"/>
      <c r="O395" s="952"/>
    </row>
    <row r="396" spans="3:15" ht="48" thickBot="1" x14ac:dyDescent="0.3">
      <c r="F396" s="457" t="s">
        <v>0</v>
      </c>
      <c r="G396" s="457" t="s">
        <v>1</v>
      </c>
      <c r="H396" s="457" t="s">
        <v>2</v>
      </c>
      <c r="I396" s="457" t="s">
        <v>654</v>
      </c>
      <c r="J396" s="473" t="s">
        <v>648</v>
      </c>
      <c r="K396" s="879" t="s">
        <v>692</v>
      </c>
      <c r="L396" s="880"/>
      <c r="M396" s="473" t="s">
        <v>375</v>
      </c>
      <c r="N396" s="644" t="s">
        <v>768</v>
      </c>
      <c r="O396" s="292" t="s">
        <v>177</v>
      </c>
    </row>
    <row r="397" spans="3:15" ht="31.5" x14ac:dyDescent="0.25">
      <c r="F397" s="301" t="s">
        <v>202</v>
      </c>
      <c r="G397" s="500" t="s">
        <v>459</v>
      </c>
      <c r="H397" s="129">
        <v>169</v>
      </c>
      <c r="I397" s="129">
        <v>2.7</v>
      </c>
      <c r="J397" s="129">
        <v>1</v>
      </c>
      <c r="K397" s="1132">
        <f>J397</f>
        <v>1</v>
      </c>
      <c r="L397" s="1133"/>
      <c r="M397" s="129">
        <f>J397-K397</f>
        <v>0</v>
      </c>
      <c r="N397" s="128">
        <f t="shared" ref="N397:N402" si="3">M397/I397</f>
        <v>0</v>
      </c>
      <c r="O397" s="1023" t="s">
        <v>800</v>
      </c>
    </row>
    <row r="398" spans="3:15" ht="18.75" x14ac:dyDescent="0.35">
      <c r="C398" s="539"/>
      <c r="F398" s="303" t="s">
        <v>394</v>
      </c>
      <c r="G398" s="182" t="s">
        <v>195</v>
      </c>
      <c r="H398" s="131">
        <v>98</v>
      </c>
      <c r="I398" s="150">
        <v>1.83</v>
      </c>
      <c r="J398" s="150">
        <v>10</v>
      </c>
      <c r="K398" s="1130">
        <f>(J397)*(1/H397)*(6/4)*(H398/1)</f>
        <v>0.86982248520710059</v>
      </c>
      <c r="L398" s="1131"/>
      <c r="M398" s="150">
        <f>J398-K398</f>
        <v>9.1301775147928996</v>
      </c>
      <c r="N398" s="152">
        <f t="shared" si="3"/>
        <v>4.9891680408704371</v>
      </c>
      <c r="O398" s="1024"/>
    </row>
    <row r="399" spans="3:15" ht="29.25" customHeight="1" x14ac:dyDescent="0.35">
      <c r="F399" s="298" t="s">
        <v>396</v>
      </c>
      <c r="G399" s="154" t="s">
        <v>200</v>
      </c>
      <c r="H399" s="158">
        <v>174</v>
      </c>
      <c r="I399" s="150">
        <v>2.66</v>
      </c>
      <c r="J399" s="150">
        <v>0</v>
      </c>
      <c r="K399" s="149">
        <f>J397*((1/H397)*(2/4)*(H399/1))</f>
        <v>0.51479289940828399</v>
      </c>
      <c r="L399" s="148">
        <f>(J398/H398)*(2/6)*(H399/1)</f>
        <v>5.9183673469387745</v>
      </c>
      <c r="M399" s="150">
        <f>K399</f>
        <v>0.51479289940828399</v>
      </c>
      <c r="N399" s="157">
        <f t="shared" si="3"/>
        <v>0.19353116519108421</v>
      </c>
      <c r="O399" s="1024"/>
    </row>
    <row r="400" spans="3:15" ht="31.5" x14ac:dyDescent="0.35">
      <c r="F400" s="298" t="s">
        <v>397</v>
      </c>
      <c r="G400" s="154" t="s">
        <v>199</v>
      </c>
      <c r="H400" s="158">
        <v>151</v>
      </c>
      <c r="I400" s="131">
        <v>3.25</v>
      </c>
      <c r="J400" s="150">
        <v>0</v>
      </c>
      <c r="K400" s="149">
        <f>J397*((1/H397)*(4/4)*(H400/1))</f>
        <v>0.89349112426035504</v>
      </c>
      <c r="L400" s="148">
        <f>(J398/H398)*(4/6)*(H400/1)</f>
        <v>10.272108843537413</v>
      </c>
      <c r="M400" s="150">
        <f>K400</f>
        <v>0.89349112426035504</v>
      </c>
      <c r="N400" s="147">
        <f t="shared" si="3"/>
        <v>0.27492034592626308</v>
      </c>
      <c r="O400" s="1024"/>
    </row>
    <row r="401" spans="3:16" ht="18.75" x14ac:dyDescent="0.25">
      <c r="F401" s="298" t="s">
        <v>182</v>
      </c>
      <c r="G401" s="158" t="s">
        <v>181</v>
      </c>
      <c r="H401" s="158">
        <v>18</v>
      </c>
      <c r="I401" s="150">
        <v>1</v>
      </c>
      <c r="J401" s="150">
        <v>0</v>
      </c>
      <c r="K401" s="149">
        <f>(J397/H397)*(6/4)*(H401/1)</f>
        <v>0.15976331360946747</v>
      </c>
      <c r="L401" s="148">
        <f>(J398/H398)*(6/6)*(H401/1)</f>
        <v>1.8367346938775511</v>
      </c>
      <c r="M401" s="150">
        <f>K401</f>
        <v>0.15976331360946747</v>
      </c>
      <c r="N401" s="147">
        <f t="shared" si="3"/>
        <v>0.15976331360946747</v>
      </c>
      <c r="O401" s="1024"/>
    </row>
    <row r="402" spans="3:16" ht="19.5" thickBot="1" x14ac:dyDescent="0.4">
      <c r="F402" s="305" t="s">
        <v>429</v>
      </c>
      <c r="G402" s="183" t="s">
        <v>230</v>
      </c>
      <c r="H402" s="124">
        <v>32</v>
      </c>
      <c r="I402" s="126">
        <v>1.4</v>
      </c>
      <c r="J402" s="126">
        <v>0</v>
      </c>
      <c r="K402" s="145">
        <f>(J397/H397)*(5/4)*(H402/1)</f>
        <v>0.23668639053254437</v>
      </c>
      <c r="L402" s="144">
        <f>(J398/H398)*(5/6)*(H402/1)</f>
        <v>2.72108843537415</v>
      </c>
      <c r="M402" s="126">
        <f>K402</f>
        <v>0.23668639053254437</v>
      </c>
      <c r="N402" s="460">
        <f t="shared" si="3"/>
        <v>0.16906170752324598</v>
      </c>
      <c r="O402" s="1024"/>
    </row>
    <row r="403" spans="3:16" ht="16.5" thickBot="1" x14ac:dyDescent="0.3">
      <c r="F403" s="1090" t="s">
        <v>53</v>
      </c>
      <c r="G403" s="1091"/>
      <c r="H403" s="1091"/>
      <c r="I403" s="1091"/>
      <c r="J403" s="514">
        <f>SUM(J397:J402)</f>
        <v>11</v>
      </c>
      <c r="K403" s="123">
        <f>SUM(K397:L398)-SUM(K399:K402)</f>
        <v>6.5088757396449592E-2</v>
      </c>
      <c r="L403" s="514">
        <f>SUM(K397:L398)-SUM(L399:L402)</f>
        <v>-18.878476834520789</v>
      </c>
      <c r="M403" s="121">
        <f>SUM(M397:M402)</f>
        <v>10.934911242603551</v>
      </c>
      <c r="N403" s="121">
        <f>SUM(N397:N402)</f>
        <v>5.7864445731204981</v>
      </c>
      <c r="O403" s="1025"/>
    </row>
    <row r="404" spans="3:16" ht="16.5" thickBot="1" x14ac:dyDescent="0.3">
      <c r="F404" s="1103" t="s">
        <v>634</v>
      </c>
      <c r="G404" s="1104"/>
      <c r="H404" s="1104"/>
      <c r="I404" s="1104"/>
      <c r="J404" s="1104"/>
      <c r="K404" s="1104"/>
      <c r="L404" s="1104"/>
      <c r="M404" s="1104"/>
      <c r="N404" s="1104"/>
      <c r="O404" s="1105"/>
    </row>
    <row r="405" spans="3:16" ht="18" thickBot="1" x14ac:dyDescent="0.3">
      <c r="F405" s="1061" t="s">
        <v>231</v>
      </c>
      <c r="G405" s="1062"/>
      <c r="H405" s="1062"/>
      <c r="I405" s="1062"/>
      <c r="J405" s="1062"/>
      <c r="K405" s="1062"/>
      <c r="L405" s="1062"/>
      <c r="M405" s="1062"/>
      <c r="N405" s="1062"/>
      <c r="O405" s="1063"/>
    </row>
    <row r="406" spans="3:16" ht="48" thickBot="1" x14ac:dyDescent="0.3">
      <c r="C406" s="539"/>
      <c r="F406" s="457" t="s">
        <v>0</v>
      </c>
      <c r="G406" s="457" t="s">
        <v>1</v>
      </c>
      <c r="H406" s="457" t="s">
        <v>2</v>
      </c>
      <c r="I406" s="457" t="s">
        <v>654</v>
      </c>
      <c r="J406" s="473" t="s">
        <v>648</v>
      </c>
      <c r="K406" s="879" t="s">
        <v>692</v>
      </c>
      <c r="L406" s="880"/>
      <c r="M406" s="473" t="s">
        <v>375</v>
      </c>
      <c r="N406" s="644" t="s">
        <v>768</v>
      </c>
      <c r="O406" s="292" t="s">
        <v>177</v>
      </c>
    </row>
    <row r="407" spans="3:16" ht="31.5" x14ac:dyDescent="0.25">
      <c r="F407" s="301" t="s">
        <v>434</v>
      </c>
      <c r="G407" s="500" t="s">
        <v>459</v>
      </c>
      <c r="H407" s="129">
        <v>169</v>
      </c>
      <c r="I407" s="129">
        <v>2.7</v>
      </c>
      <c r="J407" s="160">
        <v>1</v>
      </c>
      <c r="K407" s="1126">
        <f>J407</f>
        <v>1</v>
      </c>
      <c r="L407" s="1127"/>
      <c r="M407" s="160">
        <f>J407-K407</f>
        <v>0</v>
      </c>
      <c r="N407" s="128">
        <f t="shared" ref="N407:N412" si="4">M407/I407</f>
        <v>0</v>
      </c>
      <c r="O407" s="1064" t="s">
        <v>888</v>
      </c>
    </row>
    <row r="408" spans="3:16" ht="31.5" x14ac:dyDescent="0.35">
      <c r="F408" s="308" t="s">
        <v>430</v>
      </c>
      <c r="G408" s="182" t="s">
        <v>195</v>
      </c>
      <c r="H408" s="131">
        <v>98</v>
      </c>
      <c r="I408" s="150">
        <v>1.45</v>
      </c>
      <c r="J408" s="150">
        <v>10</v>
      </c>
      <c r="K408" s="1130">
        <f>(J407)*(1/H407)*(3/2)*(H408/1)</f>
        <v>0.86982248520710059</v>
      </c>
      <c r="L408" s="1131"/>
      <c r="M408" s="150">
        <f>J408-K408</f>
        <v>9.1301775147928996</v>
      </c>
      <c r="N408" s="147">
        <f t="shared" si="4"/>
        <v>6.2966741481330342</v>
      </c>
      <c r="O408" s="1065"/>
    </row>
    <row r="409" spans="3:16" ht="18.75" x14ac:dyDescent="0.35">
      <c r="F409" s="309" t="s">
        <v>429</v>
      </c>
      <c r="G409" s="154" t="s">
        <v>230</v>
      </c>
      <c r="H409" s="174">
        <v>32</v>
      </c>
      <c r="I409" s="131">
        <v>1.4</v>
      </c>
      <c r="J409" s="150">
        <v>0</v>
      </c>
      <c r="K409" s="149">
        <f>(J407/H407)*(3/2)*(H409/1)</f>
        <v>0.28402366863905326</v>
      </c>
      <c r="L409" s="148">
        <f>(J408/H408)*(3/3)*(H409/1)</f>
        <v>3.2653061224489797</v>
      </c>
      <c r="M409" s="150">
        <f>K409</f>
        <v>0.28402366863905326</v>
      </c>
      <c r="N409" s="152">
        <f t="shared" si="4"/>
        <v>0.20287404902789519</v>
      </c>
      <c r="O409" s="1065"/>
      <c r="P409" s="539"/>
    </row>
    <row r="410" spans="3:16" ht="31.5" x14ac:dyDescent="0.35">
      <c r="F410" s="341" t="s">
        <v>431</v>
      </c>
      <c r="G410" s="154" t="s">
        <v>199</v>
      </c>
      <c r="H410" s="158">
        <v>151</v>
      </c>
      <c r="I410" s="150">
        <v>5</v>
      </c>
      <c r="J410" s="150">
        <v>0</v>
      </c>
      <c r="K410" s="149">
        <f>(J407/H407)*(2/2)*(H410/1)</f>
        <v>0.89349112426035504</v>
      </c>
      <c r="L410" s="148">
        <f>(J408/H408)*(2/3)*(H410/1)</f>
        <v>10.272108843537413</v>
      </c>
      <c r="M410" s="150">
        <f>K410</f>
        <v>0.89349112426035504</v>
      </c>
      <c r="N410" s="157">
        <f t="shared" si="4"/>
        <v>0.17869822485207101</v>
      </c>
      <c r="O410" s="1065"/>
    </row>
    <row r="411" spans="3:16" ht="31.5" x14ac:dyDescent="0.25">
      <c r="F411" s="310" t="s">
        <v>432</v>
      </c>
      <c r="G411" s="432" t="s">
        <v>93</v>
      </c>
      <c r="H411" s="173">
        <v>56</v>
      </c>
      <c r="I411" s="173">
        <v>2.12</v>
      </c>
      <c r="J411" s="150">
        <v>0</v>
      </c>
      <c r="K411" s="149">
        <f>(J407/H407)*(2/2)*(H411/1)</f>
        <v>0.3313609467455621</v>
      </c>
      <c r="L411" s="148">
        <f>(J408/H408)*(2/3)*(H411/1)</f>
        <v>3.8095238095238093</v>
      </c>
      <c r="M411" s="150">
        <f>K411</f>
        <v>0.3313609467455621</v>
      </c>
      <c r="N411" s="157">
        <f t="shared" si="4"/>
        <v>0.15630233337054816</v>
      </c>
      <c r="O411" s="1065"/>
    </row>
    <row r="412" spans="3:16" ht="19.5" thickBot="1" x14ac:dyDescent="0.3">
      <c r="F412" s="311" t="s">
        <v>182</v>
      </c>
      <c r="G412" s="170" t="s">
        <v>181</v>
      </c>
      <c r="H412" s="170">
        <v>18</v>
      </c>
      <c r="I412" s="126">
        <v>1</v>
      </c>
      <c r="J412" s="126">
        <v>0</v>
      </c>
      <c r="K412" s="145">
        <f>(J407/H407)*(2/2)*(H412/1)</f>
        <v>0.10650887573964497</v>
      </c>
      <c r="L412" s="144">
        <f>(J408/H408)*(2/3)*(H412/1)</f>
        <v>1.2244897959183672</v>
      </c>
      <c r="M412" s="126">
        <f>K412</f>
        <v>0.10650887573964497</v>
      </c>
      <c r="N412" s="125">
        <f t="shared" si="4"/>
        <v>0.10650887573964497</v>
      </c>
      <c r="O412" s="1065"/>
    </row>
    <row r="413" spans="3:16" ht="16.5" thickBot="1" x14ac:dyDescent="0.3">
      <c r="F413" s="1091" t="s">
        <v>180</v>
      </c>
      <c r="G413" s="1149"/>
      <c r="H413" s="1091"/>
      <c r="I413" s="1091"/>
      <c r="J413" s="514">
        <f>SUM(J407:J412)</f>
        <v>11</v>
      </c>
      <c r="K413" s="123">
        <f>SUM(K407:L408)-SUM(K409:K412)</f>
        <v>0.25443786982248517</v>
      </c>
      <c r="L413" s="514">
        <f>SUM(K407:L408)-SUM(L409:L412)</f>
        <v>-16.701606086221467</v>
      </c>
      <c r="M413" s="121">
        <f>SUM(M407:M412)</f>
        <v>10.745562130177515</v>
      </c>
      <c r="N413" s="121">
        <f>SUM(N407:N412)</f>
        <v>6.9410576311231935</v>
      </c>
      <c r="O413" s="1066"/>
    </row>
    <row r="414" spans="3:16" ht="16.5" thickBot="1" x14ac:dyDescent="0.3">
      <c r="F414" s="1103" t="s">
        <v>633</v>
      </c>
      <c r="G414" s="1104"/>
      <c r="H414" s="1104"/>
      <c r="I414" s="1104"/>
      <c r="J414" s="1104"/>
      <c r="K414" s="1104"/>
      <c r="L414" s="1104"/>
      <c r="M414" s="1104"/>
      <c r="N414" s="1104"/>
      <c r="O414" s="1105"/>
    </row>
    <row r="415" spans="3:16" ht="18" thickBot="1" x14ac:dyDescent="0.35">
      <c r="F415" s="1156" t="s">
        <v>433</v>
      </c>
      <c r="G415" s="1157"/>
      <c r="H415" s="1157"/>
      <c r="I415" s="1157"/>
      <c r="J415" s="1157"/>
      <c r="K415" s="1157"/>
      <c r="L415" s="1157"/>
      <c r="M415" s="1157"/>
      <c r="N415" s="1157"/>
      <c r="O415" s="1158"/>
    </row>
    <row r="416" spans="3:16" ht="48" thickBot="1" x14ac:dyDescent="0.3">
      <c r="F416" s="457" t="s">
        <v>0</v>
      </c>
      <c r="G416" s="457" t="s">
        <v>1</v>
      </c>
      <c r="H416" s="457" t="s">
        <v>2</v>
      </c>
      <c r="I416" s="457" t="s">
        <v>654</v>
      </c>
      <c r="J416" s="473" t="s">
        <v>648</v>
      </c>
      <c r="K416" s="879" t="s">
        <v>692</v>
      </c>
      <c r="L416" s="880"/>
      <c r="M416" s="473" t="s">
        <v>375</v>
      </c>
      <c r="N416" s="644" t="s">
        <v>768</v>
      </c>
      <c r="O416" s="292" t="s">
        <v>177</v>
      </c>
    </row>
    <row r="417" spans="3:19" x14ac:dyDescent="0.25">
      <c r="F417" s="285" t="s">
        <v>229</v>
      </c>
      <c r="G417" s="60" t="s">
        <v>228</v>
      </c>
      <c r="H417" s="105">
        <v>63</v>
      </c>
      <c r="I417" s="470">
        <v>8.9600000000000009</v>
      </c>
      <c r="J417" s="66">
        <v>1</v>
      </c>
      <c r="K417" s="1021">
        <f>J417</f>
        <v>1</v>
      </c>
      <c r="L417" s="1022"/>
      <c r="M417" s="60">
        <f>J417-K417</f>
        <v>0</v>
      </c>
      <c r="N417" s="465">
        <f>M417/I417</f>
        <v>0</v>
      </c>
      <c r="O417" s="1153" t="s">
        <v>801</v>
      </c>
    </row>
    <row r="418" spans="3:19" ht="18.75" x14ac:dyDescent="0.35">
      <c r="F418" s="285" t="s">
        <v>403</v>
      </c>
      <c r="G418" s="180" t="s">
        <v>223</v>
      </c>
      <c r="H418" s="105">
        <v>63</v>
      </c>
      <c r="I418" s="591">
        <v>1.51</v>
      </c>
      <c r="J418" s="65">
        <v>1</v>
      </c>
      <c r="K418" s="1021">
        <f>(J418)*(1/H418)*(8/8)*(H418/1)</f>
        <v>1</v>
      </c>
      <c r="L418" s="1022"/>
      <c r="M418" s="60">
        <f>K418-J418</f>
        <v>0</v>
      </c>
      <c r="N418" s="580">
        <f>M418/I418</f>
        <v>0</v>
      </c>
      <c r="O418" s="1153"/>
    </row>
    <row r="419" spans="3:19" ht="18.75" x14ac:dyDescent="0.35">
      <c r="F419" s="307" t="s">
        <v>227</v>
      </c>
      <c r="G419" s="154" t="s">
        <v>226</v>
      </c>
      <c r="H419" s="150">
        <v>125</v>
      </c>
      <c r="I419" s="181">
        <v>3</v>
      </c>
      <c r="J419" s="66">
        <v>0</v>
      </c>
      <c r="K419" s="168">
        <f>(J417)*(1/H417)*(3/3)*(H419/1)</f>
        <v>1.984126984126984</v>
      </c>
      <c r="L419" s="167">
        <f>(J418/H418)*(3/8)*(H419/1)</f>
        <v>0.74404761904761896</v>
      </c>
      <c r="M419" s="166">
        <f>L419</f>
        <v>0.74404761904761896</v>
      </c>
      <c r="N419" s="465">
        <f>M419/I419</f>
        <v>0.248015873015873</v>
      </c>
      <c r="O419" s="1153"/>
    </row>
    <row r="420" spans="3:19" x14ac:dyDescent="0.25">
      <c r="F420" s="286" t="s">
        <v>404</v>
      </c>
      <c r="G420" s="107" t="s">
        <v>225</v>
      </c>
      <c r="H420" s="60">
        <v>30</v>
      </c>
      <c r="I420" s="470">
        <v>1.2</v>
      </c>
      <c r="J420" s="66">
        <v>0</v>
      </c>
      <c r="K420" s="168">
        <f>(J417)*(1/H417)*(2/3)*(H420/1)</f>
        <v>0.31746031746031744</v>
      </c>
      <c r="L420" s="167">
        <f>(J418/H418)*(2/8)*(H420/1)</f>
        <v>0.11904761904761904</v>
      </c>
      <c r="M420" s="166">
        <f>L420</f>
        <v>0.11904761904761904</v>
      </c>
      <c r="N420" s="465">
        <f>M420/I420</f>
        <v>9.9206349206349201E-2</v>
      </c>
      <c r="O420" s="1153"/>
    </row>
    <row r="421" spans="3:19" ht="19.5" thickBot="1" x14ac:dyDescent="0.3">
      <c r="F421" s="312" t="s">
        <v>182</v>
      </c>
      <c r="G421" s="170" t="s">
        <v>181</v>
      </c>
      <c r="H421" s="170">
        <v>18</v>
      </c>
      <c r="I421" s="181">
        <v>1</v>
      </c>
      <c r="J421" s="66">
        <v>0</v>
      </c>
      <c r="K421" s="164">
        <f>(J417)*(1/H417)*(4/3)*(H421/1)</f>
        <v>0.38095238095238093</v>
      </c>
      <c r="L421" s="163">
        <f>(J418/H418)*(4/8)*(H421/1)</f>
        <v>0.14285714285714285</v>
      </c>
      <c r="M421" s="162">
        <f>L421</f>
        <v>0.14285714285714285</v>
      </c>
      <c r="N421" s="465">
        <f>M421/I421</f>
        <v>0.14285714285714285</v>
      </c>
      <c r="O421" s="1153"/>
    </row>
    <row r="422" spans="3:19" ht="16.5" thickBot="1" x14ac:dyDescent="0.3">
      <c r="F422" s="1038" t="s">
        <v>180</v>
      </c>
      <c r="G422" s="1054"/>
      <c r="H422" s="1038"/>
      <c r="I422" s="1038"/>
      <c r="J422" s="456">
        <f>SUM(J417:J421)</f>
        <v>2</v>
      </c>
      <c r="K422" s="161">
        <f>SUM(K417:L418)-SUM(K419:K421)</f>
        <v>-0.68253968253968234</v>
      </c>
      <c r="L422" s="467">
        <f>SUM(K417:L418)-SUM(L419:L421)</f>
        <v>0.99404761904761907</v>
      </c>
      <c r="M422" s="101">
        <f>SUM(M417:M421)</f>
        <v>1.0059523809523809</v>
      </c>
      <c r="N422" s="101">
        <f>SUM(N417:N421)</f>
        <v>0.49007936507936506</v>
      </c>
      <c r="O422" s="1154"/>
    </row>
    <row r="423" spans="3:19" ht="16.5" thickBot="1" x14ac:dyDescent="0.3">
      <c r="F423" s="1103" t="s">
        <v>632</v>
      </c>
      <c r="G423" s="1104"/>
      <c r="H423" s="1104"/>
      <c r="I423" s="1104"/>
      <c r="J423" s="1104"/>
      <c r="K423" s="1104"/>
      <c r="L423" s="1104"/>
      <c r="M423" s="1104"/>
      <c r="N423" s="1104"/>
      <c r="O423" s="1105"/>
    </row>
    <row r="424" spans="3:19" ht="18" thickBot="1" x14ac:dyDescent="0.35">
      <c r="F424" s="962" t="s">
        <v>224</v>
      </c>
      <c r="G424" s="963"/>
      <c r="H424" s="963"/>
      <c r="I424" s="963"/>
      <c r="J424" s="963"/>
      <c r="K424" s="963"/>
      <c r="L424" s="963"/>
      <c r="M424" s="963"/>
      <c r="N424" s="963"/>
      <c r="O424" s="964"/>
    </row>
    <row r="425" spans="3:19" ht="48" thickBot="1" x14ac:dyDescent="0.3">
      <c r="F425" s="457" t="s">
        <v>0</v>
      </c>
      <c r="G425" s="457" t="s">
        <v>1</v>
      </c>
      <c r="H425" s="457" t="s">
        <v>2</v>
      </c>
      <c r="I425" s="457" t="s">
        <v>654</v>
      </c>
      <c r="J425" s="473" t="s">
        <v>648</v>
      </c>
      <c r="K425" s="879" t="s">
        <v>692</v>
      </c>
      <c r="L425" s="880"/>
      <c r="M425" s="473" t="s">
        <v>375</v>
      </c>
      <c r="N425" s="644" t="s">
        <v>768</v>
      </c>
      <c r="O425" s="292" t="s">
        <v>177</v>
      </c>
    </row>
    <row r="426" spans="3:19" x14ac:dyDescent="0.25">
      <c r="F426" s="293" t="s">
        <v>402</v>
      </c>
      <c r="G426" s="60" t="s">
        <v>222</v>
      </c>
      <c r="H426" s="105">
        <v>65</v>
      </c>
      <c r="I426" s="60">
        <v>8.9600000000000009</v>
      </c>
      <c r="J426" s="60">
        <v>1</v>
      </c>
      <c r="K426" s="877">
        <f>J426</f>
        <v>1</v>
      </c>
      <c r="L426" s="878"/>
      <c r="M426" s="65">
        <f>J426-K426</f>
        <v>0</v>
      </c>
      <c r="N426" s="109">
        <f>M426/I426</f>
        <v>0</v>
      </c>
      <c r="O426" s="1153" t="s">
        <v>889</v>
      </c>
    </row>
    <row r="427" spans="3:19" ht="18.75" x14ac:dyDescent="0.35">
      <c r="F427" s="285" t="s">
        <v>403</v>
      </c>
      <c r="G427" s="180" t="s">
        <v>223</v>
      </c>
      <c r="H427" s="105">
        <v>63</v>
      </c>
      <c r="I427" s="105">
        <v>1.51</v>
      </c>
      <c r="J427" s="105">
        <v>1</v>
      </c>
      <c r="K427" s="1021">
        <f>(J427)*(1/H427)*(4/4)*(H427/1)</f>
        <v>1</v>
      </c>
      <c r="L427" s="1022"/>
      <c r="M427" s="66">
        <f>J427-K427</f>
        <v>0</v>
      </c>
      <c r="N427" s="166">
        <f>M427/I427</f>
        <v>0</v>
      </c>
      <c r="O427" s="1153"/>
    </row>
    <row r="428" spans="3:19" ht="18.75" x14ac:dyDescent="0.35">
      <c r="F428" s="303" t="s">
        <v>401</v>
      </c>
      <c r="G428" s="178" t="s">
        <v>221</v>
      </c>
      <c r="H428" s="150">
        <v>189</v>
      </c>
      <c r="I428" s="150">
        <v>2</v>
      </c>
      <c r="J428" s="60">
        <v>0</v>
      </c>
      <c r="K428" s="168">
        <f>(J426)*(1/H426)*(1/1)*(H428/1)</f>
        <v>2.907692307692308</v>
      </c>
      <c r="L428" s="167">
        <f>(J427/H427)*(1/4)*(H428/1)</f>
        <v>0.75</v>
      </c>
      <c r="M428" s="494">
        <f>L428</f>
        <v>0.75</v>
      </c>
      <c r="N428" s="166">
        <f>M428/I428</f>
        <v>0.375</v>
      </c>
      <c r="O428" s="1153"/>
      <c r="P428" s="539"/>
    </row>
    <row r="429" spans="3:19" s="8" customFormat="1" ht="31.5" x14ac:dyDescent="0.25">
      <c r="C429" s="6"/>
      <c r="F429" s="289" t="s">
        <v>400</v>
      </c>
      <c r="G429" s="258" t="s">
        <v>220</v>
      </c>
      <c r="H429" s="60">
        <v>46</v>
      </c>
      <c r="I429" s="60">
        <v>0.14000000000000001</v>
      </c>
      <c r="J429" s="60">
        <v>0</v>
      </c>
      <c r="K429" s="168">
        <f>(J426)*(1/H426)*(2/1)*(H429/1)</f>
        <v>1.4153846153846155</v>
      </c>
      <c r="L429" s="167">
        <f>(J427/H427)*(2/4)*(H429/1)</f>
        <v>0.36507936507936506</v>
      </c>
      <c r="M429" s="582">
        <f>L429</f>
        <v>0.36507936507936506</v>
      </c>
      <c r="N429" s="166">
        <f>M429/I429</f>
        <v>2.6077097505668929</v>
      </c>
      <c r="O429" s="1153"/>
      <c r="P429" s="6"/>
      <c r="Q429" s="6"/>
      <c r="R429" s="6"/>
      <c r="S429" s="6"/>
    </row>
    <row r="430" spans="3:19" ht="19.5" thickBot="1" x14ac:dyDescent="0.3">
      <c r="F430" s="311" t="s">
        <v>182</v>
      </c>
      <c r="G430" s="170" t="s">
        <v>181</v>
      </c>
      <c r="H430" s="170">
        <v>18</v>
      </c>
      <c r="I430" s="126">
        <v>1</v>
      </c>
      <c r="J430" s="64">
        <v>0</v>
      </c>
      <c r="K430" s="164">
        <f>(J426)*(1/H426)*(2/1)*(H430/1)</f>
        <v>0.55384615384615388</v>
      </c>
      <c r="L430" s="163">
        <f>(J427/H427)*(2/4)*(H430/1)</f>
        <v>0.14285714285714285</v>
      </c>
      <c r="M430" s="494">
        <f>L430</f>
        <v>0.14285714285714285</v>
      </c>
      <c r="N430" s="162">
        <f>M430/I430</f>
        <v>0.14285714285714285</v>
      </c>
      <c r="O430" s="1153"/>
    </row>
    <row r="431" spans="3:19" ht="16.5" thickBot="1" x14ac:dyDescent="0.3">
      <c r="F431" s="942" t="s">
        <v>180</v>
      </c>
      <c r="G431" s="1155"/>
      <c r="H431" s="942"/>
      <c r="I431" s="942"/>
      <c r="J431" s="467">
        <f>SUM(J426:J430)</f>
        <v>2</v>
      </c>
      <c r="K431" s="161">
        <f>SUM(K426:L427)-SUM(K428:K430)</f>
        <v>-2.8769230769230774</v>
      </c>
      <c r="L431" s="467">
        <f>SUM(K426:L427)-SUM(L428:L430)</f>
        <v>0.74206349206349209</v>
      </c>
      <c r="M431" s="101">
        <f>SUM(M426:M430)</f>
        <v>1.2579365079365079</v>
      </c>
      <c r="N431" s="101">
        <f>SUM(N426:N430)</f>
        <v>3.1255668934240357</v>
      </c>
      <c r="O431" s="1154"/>
    </row>
    <row r="432" spans="3:19" ht="16.5" thickBot="1" x14ac:dyDescent="0.3">
      <c r="F432" s="1103" t="s">
        <v>631</v>
      </c>
      <c r="G432" s="1104"/>
      <c r="H432" s="1104"/>
      <c r="I432" s="1104"/>
      <c r="J432" s="1104"/>
      <c r="K432" s="1104"/>
      <c r="L432" s="1104"/>
      <c r="M432" s="1104"/>
      <c r="N432" s="1104"/>
      <c r="O432" s="1105"/>
    </row>
    <row r="433" spans="3:16" ht="18" thickBot="1" x14ac:dyDescent="0.3">
      <c r="F433" s="971" t="s">
        <v>219</v>
      </c>
      <c r="G433" s="972"/>
      <c r="H433" s="972"/>
      <c r="I433" s="972"/>
      <c r="J433" s="972"/>
      <c r="K433" s="972"/>
      <c r="L433" s="972"/>
      <c r="M433" s="972"/>
      <c r="N433" s="972"/>
      <c r="O433" s="973"/>
    </row>
    <row r="434" spans="3:16" ht="48" thickBot="1" x14ac:dyDescent="0.3">
      <c r="F434" s="457" t="s">
        <v>0</v>
      </c>
      <c r="G434" s="457" t="s">
        <v>1</v>
      </c>
      <c r="H434" s="457" t="s">
        <v>2</v>
      </c>
      <c r="I434" s="457" t="s">
        <v>654</v>
      </c>
      <c r="J434" s="473" t="s">
        <v>648</v>
      </c>
      <c r="K434" s="879" t="s">
        <v>692</v>
      </c>
      <c r="L434" s="880"/>
      <c r="M434" s="473" t="s">
        <v>375</v>
      </c>
      <c r="N434" s="644" t="s">
        <v>768</v>
      </c>
      <c r="O434" s="292" t="s">
        <v>177</v>
      </c>
    </row>
    <row r="435" spans="3:16" ht="31.5" customHeight="1" thickBot="1" x14ac:dyDescent="0.3">
      <c r="C435" s="539"/>
      <c r="F435" s="308" t="s">
        <v>399</v>
      </c>
      <c r="G435" s="154" t="s">
        <v>218</v>
      </c>
      <c r="H435" s="585">
        <v>1.66</v>
      </c>
      <c r="I435" s="150">
        <v>3.12</v>
      </c>
      <c r="J435" s="150">
        <v>0.05</v>
      </c>
      <c r="K435" s="1126">
        <f>J435</f>
        <v>0.05</v>
      </c>
      <c r="L435" s="1127"/>
      <c r="M435" s="129">
        <f>J435-K435</f>
        <v>0</v>
      </c>
      <c r="N435" s="587">
        <f>M435/I435</f>
        <v>0</v>
      </c>
      <c r="O435" s="1162" t="s">
        <v>818</v>
      </c>
    </row>
    <row r="436" spans="3:16" ht="18.75" x14ac:dyDescent="0.35">
      <c r="F436" s="313" t="s">
        <v>394</v>
      </c>
      <c r="G436" s="176" t="s">
        <v>195</v>
      </c>
      <c r="H436" s="585">
        <v>98</v>
      </c>
      <c r="I436" s="150">
        <v>1.83</v>
      </c>
      <c r="J436" s="129">
        <v>1</v>
      </c>
      <c r="K436" s="1130">
        <f>(J436)*(1/H436)*(5/5)*(H436/1)</f>
        <v>0.99999999999999989</v>
      </c>
      <c r="L436" s="1131"/>
      <c r="M436" s="150">
        <f>J436-K436</f>
        <v>0</v>
      </c>
      <c r="N436" s="157">
        <f>M436/I436</f>
        <v>0</v>
      </c>
      <c r="O436" s="1024"/>
    </row>
    <row r="437" spans="3:16" ht="18.75" x14ac:dyDescent="0.35">
      <c r="F437" s="309" t="s">
        <v>12</v>
      </c>
      <c r="G437" s="175" t="s">
        <v>217</v>
      </c>
      <c r="H437" s="174">
        <v>126</v>
      </c>
      <c r="I437" s="131">
        <v>4.9400000000000004</v>
      </c>
      <c r="J437" s="150">
        <v>0</v>
      </c>
      <c r="K437" s="149">
        <f>(J435)*(1/H435)*(4/8)*(H437/1)</f>
        <v>1.8975903614457834</v>
      </c>
      <c r="L437" s="148">
        <f>(J436/H436)*(4/5)*(H437/1)</f>
        <v>1.0285714285714285</v>
      </c>
      <c r="M437" s="150">
        <f>L437</f>
        <v>1.0285714285714285</v>
      </c>
      <c r="N437" s="147">
        <f t="shared" ref="N437:N440" si="5">M437/I437</f>
        <v>0.20821283979178712</v>
      </c>
      <c r="O437" s="1024"/>
    </row>
    <row r="438" spans="3:16" ht="28.5" customHeight="1" x14ac:dyDescent="0.35">
      <c r="F438" s="298" t="s">
        <v>396</v>
      </c>
      <c r="G438" s="154" t="s">
        <v>200</v>
      </c>
      <c r="H438" s="158">
        <v>174</v>
      </c>
      <c r="I438" s="150">
        <v>2.66</v>
      </c>
      <c r="J438" s="150">
        <v>0</v>
      </c>
      <c r="K438" s="149">
        <f>(J435)*(1/H435)*(4/8)*(H438/1)</f>
        <v>2.6204819277108435</v>
      </c>
      <c r="L438" s="148">
        <f>(J436/H436)*(4/5)*(H438/1)</f>
        <v>1.4204081632653061</v>
      </c>
      <c r="M438" s="150">
        <f>L438</f>
        <v>1.4204081632653061</v>
      </c>
      <c r="N438" s="147">
        <f t="shared" si="5"/>
        <v>0.53398803130274664</v>
      </c>
      <c r="O438" s="1024"/>
    </row>
    <row r="439" spans="3:16" ht="18.75" x14ac:dyDescent="0.35">
      <c r="F439" s="310" t="s">
        <v>216</v>
      </c>
      <c r="G439" s="171" t="s">
        <v>215</v>
      </c>
      <c r="H439" s="173">
        <v>34</v>
      </c>
      <c r="I439" s="173">
        <v>1.36</v>
      </c>
      <c r="J439" s="150">
        <v>0</v>
      </c>
      <c r="K439" s="149">
        <f>(J435)*(1/H435)*(1/8)*(H439/1)</f>
        <v>0.12801204819277109</v>
      </c>
      <c r="L439" s="148">
        <f>(J436/H436)*(1/5)*(H439/1)</f>
        <v>6.9387755102040802E-2</v>
      </c>
      <c r="M439" s="150">
        <f>L439</f>
        <v>6.9387755102040802E-2</v>
      </c>
      <c r="N439" s="152">
        <f t="shared" si="5"/>
        <v>5.1020408163265293E-2</v>
      </c>
      <c r="O439" s="1024"/>
    </row>
    <row r="440" spans="3:16" ht="19.5" thickBot="1" x14ac:dyDescent="0.3">
      <c r="F440" s="311" t="s">
        <v>182</v>
      </c>
      <c r="G440" s="170" t="s">
        <v>181</v>
      </c>
      <c r="H440" s="170">
        <v>18</v>
      </c>
      <c r="I440" s="126">
        <v>1</v>
      </c>
      <c r="J440" s="126">
        <v>0</v>
      </c>
      <c r="K440" s="145">
        <f>(J435)*(1/H435)*(4/8)*(H440/1)</f>
        <v>0.27108433734939763</v>
      </c>
      <c r="L440" s="144">
        <f>(J436/H436)*(4/5)*(H440/1)</f>
        <v>0.14693877551020407</v>
      </c>
      <c r="M440" s="126">
        <f>L440</f>
        <v>0.14693877551020407</v>
      </c>
      <c r="N440" s="125">
        <f t="shared" si="5"/>
        <v>0.14693877551020407</v>
      </c>
      <c r="O440" s="1024"/>
    </row>
    <row r="441" spans="3:16" ht="16.5" thickBot="1" x14ac:dyDescent="0.3">
      <c r="F441" s="1091" t="s">
        <v>180</v>
      </c>
      <c r="G441" s="1149"/>
      <c r="H441" s="1091"/>
      <c r="I441" s="1091"/>
      <c r="J441" s="514">
        <f>SUM(J435:J440)</f>
        <v>1.05</v>
      </c>
      <c r="K441" s="123">
        <f>SUM(K435:L436)-SUM(K437:K440)</f>
        <v>-3.867168674698795</v>
      </c>
      <c r="L441" s="514">
        <f>SUM(K435:L436)-SUM(L437:L440)</f>
        <v>-1.6153061224489798</v>
      </c>
      <c r="M441" s="121">
        <f>SUM(M435:M440)</f>
        <v>2.6653061224489796</v>
      </c>
      <c r="N441" s="121">
        <f>SUM(N435:N440)</f>
        <v>0.94016005476800313</v>
      </c>
      <c r="O441" s="1025"/>
    </row>
    <row r="442" spans="3:16" ht="16.5" thickBot="1" x14ac:dyDescent="0.3">
      <c r="F442" s="1103" t="s">
        <v>630</v>
      </c>
      <c r="G442" s="1104"/>
      <c r="H442" s="1104"/>
      <c r="I442" s="1104"/>
      <c r="J442" s="1104"/>
      <c r="K442" s="1104"/>
      <c r="L442" s="1104"/>
      <c r="M442" s="1104"/>
      <c r="N442" s="1104"/>
      <c r="O442" s="1105"/>
    </row>
    <row r="443" spans="3:16" ht="18" thickBot="1" x14ac:dyDescent="0.3">
      <c r="F443" s="971" t="s">
        <v>214</v>
      </c>
      <c r="G443" s="972"/>
      <c r="H443" s="972"/>
      <c r="I443" s="972"/>
      <c r="J443" s="972"/>
      <c r="K443" s="972"/>
      <c r="L443" s="972"/>
      <c r="M443" s="972"/>
      <c r="N443" s="972"/>
      <c r="O443" s="973"/>
    </row>
    <row r="444" spans="3:16" ht="48" thickBot="1" x14ac:dyDescent="0.3">
      <c r="F444" s="457" t="s">
        <v>0</v>
      </c>
      <c r="G444" s="457" t="s">
        <v>1</v>
      </c>
      <c r="H444" s="457" t="s">
        <v>2</v>
      </c>
      <c r="I444" s="457" t="s">
        <v>654</v>
      </c>
      <c r="J444" s="473" t="s">
        <v>648</v>
      </c>
      <c r="K444" s="879" t="s">
        <v>692</v>
      </c>
      <c r="L444" s="880"/>
      <c r="M444" s="473" t="s">
        <v>375</v>
      </c>
      <c r="N444" s="644" t="s">
        <v>768</v>
      </c>
      <c r="O444" s="292" t="s">
        <v>674</v>
      </c>
    </row>
    <row r="445" spans="3:16" ht="18.75" x14ac:dyDescent="0.35">
      <c r="F445" s="293" t="s">
        <v>213</v>
      </c>
      <c r="G445" s="171" t="s">
        <v>212</v>
      </c>
      <c r="H445" s="60">
        <v>180</v>
      </c>
      <c r="I445" s="60">
        <v>1.56</v>
      </c>
      <c r="J445" s="105">
        <v>55</v>
      </c>
      <c r="K445" s="1016">
        <f>J445</f>
        <v>55</v>
      </c>
      <c r="L445" s="1017"/>
      <c r="M445" s="105">
        <f>J445-K445</f>
        <v>0</v>
      </c>
      <c r="N445" s="463">
        <v>0</v>
      </c>
      <c r="O445" s="1159" t="s">
        <v>890</v>
      </c>
    </row>
    <row r="446" spans="3:16" ht="36.75" customHeight="1" x14ac:dyDescent="0.25">
      <c r="C446" s="539"/>
      <c r="F446" s="293" t="s">
        <v>286</v>
      </c>
      <c r="G446" s="76" t="s">
        <v>211</v>
      </c>
      <c r="H446" s="105">
        <v>40</v>
      </c>
      <c r="I446" s="105">
        <v>2.13</v>
      </c>
      <c r="J446" s="60">
        <v>2.2400000000000002</v>
      </c>
      <c r="K446" s="1021">
        <f>(J445)*(1/H445)*(2/1)*(H446/1)</f>
        <v>24.444444444444446</v>
      </c>
      <c r="L446" s="1022"/>
      <c r="M446" s="60">
        <f>J446-K446</f>
        <v>-22.204444444444448</v>
      </c>
      <c r="N446" s="465">
        <f>M446/I446</f>
        <v>-10.424621804903497</v>
      </c>
      <c r="O446" s="1160"/>
    </row>
    <row r="447" spans="3:16" ht="31.5" x14ac:dyDescent="0.35">
      <c r="F447" s="303" t="s">
        <v>210</v>
      </c>
      <c r="G447" s="171" t="s">
        <v>209</v>
      </c>
      <c r="H447" s="150">
        <v>178</v>
      </c>
      <c r="I447" s="150">
        <v>1.7</v>
      </c>
      <c r="J447" s="60">
        <v>0</v>
      </c>
      <c r="K447" s="168">
        <f>(J445/H445)*(1/1)*(H447/1)</f>
        <v>54.388888888888893</v>
      </c>
      <c r="L447" s="167">
        <f>(J446/H446)*(1/2)*(H447/1)</f>
        <v>4.9840000000000009</v>
      </c>
      <c r="M447" s="166">
        <f>K447</f>
        <v>54.388888888888893</v>
      </c>
      <c r="N447" s="465">
        <f>M447/I447</f>
        <v>31.993464052287585</v>
      </c>
      <c r="O447" s="1160"/>
      <c r="P447" s="835"/>
    </row>
    <row r="448" spans="3:16" x14ac:dyDescent="0.25">
      <c r="F448" s="289" t="s">
        <v>208</v>
      </c>
      <c r="G448" s="107" t="s">
        <v>89</v>
      </c>
      <c r="H448" s="60">
        <v>22</v>
      </c>
      <c r="I448" s="60">
        <v>0.96</v>
      </c>
      <c r="J448" s="60">
        <v>0</v>
      </c>
      <c r="K448" s="168">
        <f>(J445/H445)*(2/1)*(H448/1)</f>
        <v>13.444444444444446</v>
      </c>
      <c r="L448" s="167">
        <f>(J446/H446)*(2/2)*(H448/1)</f>
        <v>1.2320000000000002</v>
      </c>
      <c r="M448" s="166">
        <f>K448</f>
        <v>13.444444444444446</v>
      </c>
      <c r="N448" s="465">
        <f>M448/I448</f>
        <v>14.004629629629632</v>
      </c>
      <c r="O448" s="1160"/>
    </row>
    <row r="449" spans="3:19" ht="19.5" thickBot="1" x14ac:dyDescent="0.3">
      <c r="F449" s="311" t="s">
        <v>182</v>
      </c>
      <c r="G449" s="170" t="s">
        <v>181</v>
      </c>
      <c r="H449" s="170">
        <v>18</v>
      </c>
      <c r="I449" s="126">
        <v>1</v>
      </c>
      <c r="J449" s="64">
        <v>0</v>
      </c>
      <c r="K449" s="164">
        <f>(J445/H445)*(2/1)*(H449/1)</f>
        <v>11</v>
      </c>
      <c r="L449" s="163">
        <f>(J446/H446)*(2/2)*(H449/1)</f>
        <v>1.0080000000000002</v>
      </c>
      <c r="M449" s="162">
        <f>K449</f>
        <v>11</v>
      </c>
      <c r="N449" s="465">
        <f>M449/I449</f>
        <v>11</v>
      </c>
      <c r="O449" s="1160"/>
    </row>
    <row r="450" spans="3:19" ht="16.5" thickBot="1" x14ac:dyDescent="0.3">
      <c r="F450" s="942" t="s">
        <v>180</v>
      </c>
      <c r="G450" s="942"/>
      <c r="H450" s="942"/>
      <c r="I450" s="942"/>
      <c r="J450" s="467">
        <f>SUM(J445:J449)</f>
        <v>57.24</v>
      </c>
      <c r="K450" s="161">
        <f>SUM(K445:L446)-SUM(K447:K449)</f>
        <v>0.61111111111110006</v>
      </c>
      <c r="L450" s="467">
        <f>SUM(K445:L446)-SUM(L447:L449)</f>
        <v>72.220444444444439</v>
      </c>
      <c r="M450" s="101">
        <f>SUM(M445:M449)</f>
        <v>56.628888888888895</v>
      </c>
      <c r="N450" s="101">
        <f>SUM(N445:N449)</f>
        <v>46.573471877013723</v>
      </c>
      <c r="O450" s="1161"/>
    </row>
    <row r="451" spans="3:19" ht="16.5" thickBot="1" x14ac:dyDescent="0.3">
      <c r="F451" s="1103" t="s">
        <v>629</v>
      </c>
      <c r="G451" s="1104"/>
      <c r="H451" s="1104"/>
      <c r="I451" s="1104"/>
      <c r="J451" s="1104"/>
      <c r="K451" s="1104"/>
      <c r="L451" s="1104"/>
      <c r="M451" s="1104"/>
      <c r="N451" s="1104"/>
      <c r="O451" s="1105"/>
    </row>
    <row r="452" spans="3:19" ht="18" thickBot="1" x14ac:dyDescent="0.3">
      <c r="F452" s="971" t="s">
        <v>207</v>
      </c>
      <c r="G452" s="972"/>
      <c r="H452" s="972"/>
      <c r="I452" s="972"/>
      <c r="J452" s="972"/>
      <c r="K452" s="972"/>
      <c r="L452" s="972"/>
      <c r="M452" s="972"/>
      <c r="N452" s="972"/>
      <c r="O452" s="973"/>
    </row>
    <row r="453" spans="3:19" ht="48" thickBot="1" x14ac:dyDescent="0.3">
      <c r="F453" s="457" t="s">
        <v>0</v>
      </c>
      <c r="G453" s="457" t="s">
        <v>1</v>
      </c>
      <c r="H453" s="457" t="s">
        <v>2</v>
      </c>
      <c r="I453" s="457" t="s">
        <v>379</v>
      </c>
      <c r="J453" s="473" t="s">
        <v>648</v>
      </c>
      <c r="K453" s="879" t="s">
        <v>692</v>
      </c>
      <c r="L453" s="880"/>
      <c r="M453" s="473" t="s">
        <v>375</v>
      </c>
      <c r="N453" s="644" t="s">
        <v>768</v>
      </c>
      <c r="O453" s="292" t="s">
        <v>177</v>
      </c>
    </row>
    <row r="454" spans="3:19" ht="18.75" x14ac:dyDescent="0.35">
      <c r="F454" s="313" t="s">
        <v>394</v>
      </c>
      <c r="G454" s="169" t="s">
        <v>195</v>
      </c>
      <c r="H454" s="160">
        <v>98</v>
      </c>
      <c r="I454" s="160">
        <v>1.83</v>
      </c>
      <c r="J454" s="63">
        <v>2</v>
      </c>
      <c r="K454" s="877">
        <f>J454</f>
        <v>2</v>
      </c>
      <c r="L454" s="878"/>
      <c r="M454" s="63">
        <f>J454-K454</f>
        <v>0</v>
      </c>
      <c r="N454" s="463">
        <f>M454/I454</f>
        <v>0</v>
      </c>
      <c r="O454" s="1167" t="s">
        <v>817</v>
      </c>
    </row>
    <row r="455" spans="3:19" x14ac:dyDescent="0.25">
      <c r="F455" s="304" t="s">
        <v>182</v>
      </c>
      <c r="G455" s="151" t="s">
        <v>192</v>
      </c>
      <c r="H455" s="105">
        <v>18</v>
      </c>
      <c r="I455" s="105">
        <v>1</v>
      </c>
      <c r="J455" s="60">
        <v>20</v>
      </c>
      <c r="K455" s="1021">
        <f>(J454)*(1/H454)*(2/1)*(H455/1)</f>
        <v>0.73469387755102034</v>
      </c>
      <c r="L455" s="1022"/>
      <c r="M455" s="60">
        <f>J455-K455</f>
        <v>19.26530612244898</v>
      </c>
      <c r="N455" s="465">
        <f>M455/I455</f>
        <v>19.26530612244898</v>
      </c>
      <c r="O455" s="1153"/>
    </row>
    <row r="456" spans="3:19" ht="18.75" x14ac:dyDescent="0.35">
      <c r="F456" s="304" t="s">
        <v>384</v>
      </c>
      <c r="G456" s="154" t="s">
        <v>206</v>
      </c>
      <c r="H456" s="60">
        <v>19</v>
      </c>
      <c r="I456" s="60">
        <v>0.84</v>
      </c>
      <c r="J456" s="60">
        <v>0</v>
      </c>
      <c r="K456" s="168">
        <f>(J454/H454)*(2/1)*(H456/1)</f>
        <v>0.77551020408163263</v>
      </c>
      <c r="L456" s="167">
        <f>(J455/H455)*(2/2)*(H456/1)</f>
        <v>21.111111111111111</v>
      </c>
      <c r="M456" s="166">
        <f>K456</f>
        <v>0.77551020408163263</v>
      </c>
      <c r="N456" s="465">
        <f>M456/I456</f>
        <v>0.92322643343051503</v>
      </c>
      <c r="O456" s="1153"/>
    </row>
    <row r="457" spans="3:19" ht="19.5" thickBot="1" x14ac:dyDescent="0.3">
      <c r="F457" s="314" t="s">
        <v>205</v>
      </c>
      <c r="G457" s="165" t="s">
        <v>204</v>
      </c>
      <c r="H457" s="64">
        <v>96</v>
      </c>
      <c r="I457" s="64">
        <v>2.6</v>
      </c>
      <c r="J457" s="64">
        <v>0</v>
      </c>
      <c r="K457" s="164">
        <f>(J454/H454)*(1/1)*(H457/1)</f>
        <v>1.9591836734693877</v>
      </c>
      <c r="L457" s="163">
        <f>(J455/H455)*(1/2)*(H457/1)</f>
        <v>53.333333333333336</v>
      </c>
      <c r="M457" s="162">
        <f>K457</f>
        <v>1.9591836734693877</v>
      </c>
      <c r="N457" s="465">
        <f>M457/I457</f>
        <v>0.75353218210361061</v>
      </c>
      <c r="O457" s="1153"/>
    </row>
    <row r="458" spans="3:19" ht="16.5" thickBot="1" x14ac:dyDescent="0.3">
      <c r="F458" s="942" t="s">
        <v>180</v>
      </c>
      <c r="G458" s="942"/>
      <c r="H458" s="942"/>
      <c r="I458" s="942"/>
      <c r="J458" s="467">
        <f>SUM(J454:J457)</f>
        <v>22</v>
      </c>
      <c r="K458" s="161">
        <f>SUM(K454:L455)-SUM(K456:K457)</f>
        <v>0</v>
      </c>
      <c r="L458" s="161">
        <f>SUM(K454:L455)-SUM(L456:L457)</f>
        <v>-71.709750566893419</v>
      </c>
      <c r="M458" s="101">
        <f>SUM(M454:M457)</f>
        <v>22</v>
      </c>
      <c r="N458" s="101">
        <f>SUM(N454:N457)</f>
        <v>20.942064737983106</v>
      </c>
      <c r="O458" s="1154"/>
    </row>
    <row r="459" spans="3:19" ht="16.5" thickBot="1" x14ac:dyDescent="0.3">
      <c r="F459" s="1055" t="s">
        <v>628</v>
      </c>
      <c r="G459" s="1056"/>
      <c r="H459" s="1056"/>
      <c r="I459" s="1056"/>
      <c r="J459" s="1056"/>
      <c r="K459" s="1056"/>
      <c r="L459" s="1056"/>
      <c r="M459" s="1056"/>
      <c r="N459" s="1056"/>
      <c r="O459" s="1056"/>
      <c r="P459" s="1057"/>
    </row>
    <row r="460" spans="3:19" ht="18" thickBot="1" x14ac:dyDescent="0.3">
      <c r="F460" s="988" t="s">
        <v>203</v>
      </c>
      <c r="G460" s="989"/>
      <c r="H460" s="989"/>
      <c r="I460" s="989"/>
      <c r="J460" s="989"/>
      <c r="K460" s="989"/>
      <c r="L460" s="989"/>
      <c r="M460" s="989"/>
      <c r="N460" s="989"/>
      <c r="O460" s="989"/>
      <c r="P460" s="989"/>
    </row>
    <row r="461" spans="3:19" ht="48" customHeight="1" thickBot="1" x14ac:dyDescent="0.3">
      <c r="F461" s="457" t="s">
        <v>0</v>
      </c>
      <c r="G461" s="457" t="s">
        <v>1</v>
      </c>
      <c r="H461" s="457" t="s">
        <v>2</v>
      </c>
      <c r="I461" s="508" t="s">
        <v>379</v>
      </c>
      <c r="J461" s="473" t="s">
        <v>648</v>
      </c>
      <c r="K461" s="957" t="s">
        <v>772</v>
      </c>
      <c r="L461" s="957"/>
      <c r="M461" s="957"/>
      <c r="N461" s="459" t="s">
        <v>773</v>
      </c>
      <c r="O461" s="644" t="s">
        <v>774</v>
      </c>
      <c r="P461" s="292" t="s">
        <v>177</v>
      </c>
    </row>
    <row r="462" spans="3:19" s="8" customFormat="1" ht="31.5" x14ac:dyDescent="0.25">
      <c r="C462" s="6"/>
      <c r="F462" s="301" t="s">
        <v>434</v>
      </c>
      <c r="G462" s="596" t="s">
        <v>114</v>
      </c>
      <c r="H462" s="160">
        <v>169</v>
      </c>
      <c r="I462" s="160">
        <v>2.7</v>
      </c>
      <c r="J462" s="160">
        <v>1</v>
      </c>
      <c r="K462" s="1126">
        <f>J462</f>
        <v>1</v>
      </c>
      <c r="L462" s="1166"/>
      <c r="M462" s="1127"/>
      <c r="N462" s="160">
        <f>J462-K462</f>
        <v>0</v>
      </c>
      <c r="O462" s="589">
        <f t="shared" ref="O462:O469" si="6">N462/I462</f>
        <v>0</v>
      </c>
      <c r="P462" s="1165" t="s">
        <v>802</v>
      </c>
      <c r="Q462" s="6"/>
      <c r="R462" s="6"/>
      <c r="S462" s="6"/>
    </row>
    <row r="463" spans="3:19" s="8" customFormat="1" ht="18.75" x14ac:dyDescent="0.25">
      <c r="C463" s="6"/>
      <c r="F463" s="584" t="s">
        <v>395</v>
      </c>
      <c r="G463" s="598" t="s">
        <v>201</v>
      </c>
      <c r="H463" s="585">
        <v>98</v>
      </c>
      <c r="I463" s="150">
        <v>1.83</v>
      </c>
      <c r="J463" s="150">
        <v>0.6</v>
      </c>
      <c r="K463" s="1130">
        <f>J463</f>
        <v>0.6</v>
      </c>
      <c r="L463" s="1163"/>
      <c r="M463" s="1131"/>
      <c r="N463" s="150">
        <f>J463-K463</f>
        <v>0</v>
      </c>
      <c r="O463" s="147">
        <f t="shared" si="6"/>
        <v>0</v>
      </c>
      <c r="P463" s="1118"/>
      <c r="Q463" s="6"/>
      <c r="R463" s="6"/>
      <c r="S463" s="6"/>
    </row>
    <row r="464" spans="3:19" s="8" customFormat="1" ht="18.75" x14ac:dyDescent="0.25">
      <c r="C464" s="6"/>
      <c r="F464" s="298" t="s">
        <v>394</v>
      </c>
      <c r="G464" s="188" t="s">
        <v>195</v>
      </c>
      <c r="H464" s="585">
        <v>98</v>
      </c>
      <c r="I464" s="150">
        <v>1.83</v>
      </c>
      <c r="J464" s="150">
        <v>22</v>
      </c>
      <c r="K464" s="1130">
        <f>(J463)*(1/H463)*(8/5)*(H464/1)</f>
        <v>0.96</v>
      </c>
      <c r="L464" s="1163"/>
      <c r="M464" s="1131"/>
      <c r="N464" s="150">
        <f>J464-K464</f>
        <v>21.04</v>
      </c>
      <c r="O464" s="147">
        <f t="shared" si="6"/>
        <v>11.49726775956284</v>
      </c>
      <c r="P464" s="1118"/>
      <c r="Q464" s="6"/>
      <c r="R464" s="6"/>
      <c r="S464" s="6"/>
    </row>
    <row r="465" spans="3:19" s="8" customFormat="1" x14ac:dyDescent="0.25">
      <c r="C465" s="6"/>
      <c r="F465" s="304" t="s">
        <v>182</v>
      </c>
      <c r="G465" s="151" t="s">
        <v>192</v>
      </c>
      <c r="H465" s="105">
        <v>18</v>
      </c>
      <c r="I465" s="105">
        <v>1</v>
      </c>
      <c r="J465" s="150">
        <v>0</v>
      </c>
      <c r="K465" s="149">
        <f>($J$462/$H$462)*(8/2)*(H465/1)</f>
        <v>0.42603550295857989</v>
      </c>
      <c r="L465" s="148">
        <f>($J$463/$H$463)*(8/5)*(H465/1)</f>
        <v>0.1763265306122449</v>
      </c>
      <c r="M465" s="147">
        <f>(J464/H464)*(8/8)*(H465/1)</f>
        <v>4.0408163265306118</v>
      </c>
      <c r="N465" s="147">
        <f>L465</f>
        <v>0.1763265306122449</v>
      </c>
      <c r="O465" s="147">
        <f t="shared" si="6"/>
        <v>0.1763265306122449</v>
      </c>
      <c r="P465" s="1118"/>
      <c r="Q465" s="6"/>
      <c r="R465" s="6"/>
      <c r="S465" s="6"/>
    </row>
    <row r="466" spans="3:19" s="8" customFormat="1" ht="31.5" x14ac:dyDescent="0.25">
      <c r="C466" s="6"/>
      <c r="F466" s="289" t="s">
        <v>388</v>
      </c>
      <c r="G466" s="639" t="s">
        <v>191</v>
      </c>
      <c r="H466" s="60">
        <v>44</v>
      </c>
      <c r="I466" s="60">
        <v>0.9</v>
      </c>
      <c r="J466" s="150">
        <v>0</v>
      </c>
      <c r="K466" s="149">
        <f>($J$462/$H$462)*(10/2)*(H466/1)</f>
        <v>1.3017751479289941</v>
      </c>
      <c r="L466" s="148">
        <f>($J$463/$H$463)*(10/5)*(H466/1)</f>
        <v>0.53877551020408165</v>
      </c>
      <c r="M466" s="147">
        <f>($J$462/$H$462)*(10/8)*(H466/1)</f>
        <v>0.32544378698224852</v>
      </c>
      <c r="N466" s="147">
        <f>L466</f>
        <v>0.53877551020408165</v>
      </c>
      <c r="O466" s="147">
        <f t="shared" si="6"/>
        <v>0.59863945578231292</v>
      </c>
      <c r="P466" s="1118"/>
      <c r="Q466" s="640"/>
      <c r="R466" s="6"/>
      <c r="S466" s="6"/>
    </row>
    <row r="467" spans="3:19" s="8" customFormat="1" ht="30" customHeight="1" x14ac:dyDescent="0.25">
      <c r="C467" s="6"/>
      <c r="F467" s="298" t="s">
        <v>396</v>
      </c>
      <c r="G467" s="188" t="s">
        <v>200</v>
      </c>
      <c r="H467" s="158">
        <v>174</v>
      </c>
      <c r="I467" s="150">
        <v>2.66</v>
      </c>
      <c r="J467" s="150">
        <v>0</v>
      </c>
      <c r="K467" s="149">
        <f>($J$462/$H$462)*(1/2)*(H467/1)</f>
        <v>0.51479289940828399</v>
      </c>
      <c r="L467" s="148">
        <f>($J$463/$H$463)*(1/5)*(H467/1)</f>
        <v>0.21306122448979592</v>
      </c>
      <c r="M467" s="147">
        <f>($J$462/$H$462)*(1/8)*(H467/1)</f>
        <v>0.128698224852071</v>
      </c>
      <c r="N467" s="147">
        <f>L467</f>
        <v>0.21306122448979592</v>
      </c>
      <c r="O467" s="587">
        <f t="shared" si="6"/>
        <v>8.0098204695411998E-2</v>
      </c>
      <c r="P467" s="1118"/>
      <c r="Q467" s="6"/>
      <c r="R467" s="6"/>
      <c r="S467" s="6"/>
    </row>
    <row r="468" spans="3:19" s="8" customFormat="1" ht="31.5" x14ac:dyDescent="0.25">
      <c r="C468" s="6"/>
      <c r="F468" s="298" t="s">
        <v>397</v>
      </c>
      <c r="G468" s="188" t="s">
        <v>199</v>
      </c>
      <c r="H468" s="158">
        <v>151</v>
      </c>
      <c r="I468" s="585">
        <v>3.25</v>
      </c>
      <c r="J468" s="150">
        <v>0</v>
      </c>
      <c r="K468" s="149">
        <f>($J$462/$H$462)*(2/2)*(H468/1)</f>
        <v>0.89349112426035504</v>
      </c>
      <c r="L468" s="148">
        <f>($J$463/$H$463)*(2/5)*(H468/1)</f>
        <v>0.36979591836734693</v>
      </c>
      <c r="M468" s="147">
        <f>($J$462/$H$462)*(2/8)*(H468/1)</f>
        <v>0.22337278106508876</v>
      </c>
      <c r="N468" s="147">
        <f>L468</f>
        <v>0.36979591836734693</v>
      </c>
      <c r="O468" s="588">
        <f t="shared" si="6"/>
        <v>0.1137833594976452</v>
      </c>
      <c r="P468" s="1118"/>
      <c r="Q468" s="6"/>
      <c r="R468" s="6"/>
      <c r="S468" s="6"/>
    </row>
    <row r="469" spans="3:19" s="8" customFormat="1" ht="19.5" thickBot="1" x14ac:dyDescent="0.3">
      <c r="C469" s="6"/>
      <c r="F469" s="311" t="s">
        <v>398</v>
      </c>
      <c r="G469" s="597" t="s">
        <v>198</v>
      </c>
      <c r="H469" s="586">
        <v>142</v>
      </c>
      <c r="I469" s="126">
        <v>2.66</v>
      </c>
      <c r="J469" s="126">
        <v>0</v>
      </c>
      <c r="K469" s="149">
        <f>($J$462/$H$462)*(5/2)*(H469/1)</f>
        <v>2.1005917159763312</v>
      </c>
      <c r="L469" s="148">
        <f>($J$463/$H$463)*(5/5)*(H469/1)</f>
        <v>0.8693877551020408</v>
      </c>
      <c r="M469" s="147">
        <f>($J$462/$H$462)*(5/8)*(H469/1)</f>
        <v>0.5251479289940828</v>
      </c>
      <c r="N469" s="125">
        <f>L469</f>
        <v>0.8693877551020408</v>
      </c>
      <c r="O469" s="588">
        <f t="shared" si="6"/>
        <v>0.32683750191806044</v>
      </c>
      <c r="P469" s="1118"/>
      <c r="Q469" s="6"/>
      <c r="R469" s="6"/>
      <c r="S469" s="6"/>
    </row>
    <row r="470" spans="3:19" ht="16.5" thickBot="1" x14ac:dyDescent="0.3">
      <c r="F470" s="1091" t="s">
        <v>180</v>
      </c>
      <c r="G470" s="1091"/>
      <c r="H470" s="1091"/>
      <c r="I470" s="1091"/>
      <c r="J470" s="514">
        <f>SUM(J462:J469)</f>
        <v>23.6</v>
      </c>
      <c r="K470" s="149">
        <f>SUM(K462:M464)-SUM(K465:K469)</f>
        <v>-2.6766863905325438</v>
      </c>
      <c r="L470" s="514">
        <f>SUM(K462:M464)-SUM(L465:L469)</f>
        <v>0.39265306122449006</v>
      </c>
      <c r="M470" s="514">
        <f>SUM(K462:M464)-SUM(M465:M469)</f>
        <v>-2.6834790484241027</v>
      </c>
      <c r="N470" s="514">
        <f>SUM(N462:N469)</f>
        <v>23.207346938775508</v>
      </c>
      <c r="O470" s="134">
        <f>SUM(O462:O469)</f>
        <v>12.792952812068517</v>
      </c>
      <c r="P470" s="1119"/>
    </row>
    <row r="471" spans="3:19" ht="16.5" thickBot="1" x14ac:dyDescent="0.3">
      <c r="F471" s="1055" t="s">
        <v>627</v>
      </c>
      <c r="G471" s="1056"/>
      <c r="H471" s="1056"/>
      <c r="I471" s="1056"/>
      <c r="J471" s="1056"/>
      <c r="K471" s="1056"/>
      <c r="L471" s="1056"/>
      <c r="M471" s="1056"/>
      <c r="N471" s="1056"/>
      <c r="O471" s="1057"/>
      <c r="P471" s="156"/>
    </row>
    <row r="472" spans="3:19" ht="19.5" thickBot="1" x14ac:dyDescent="0.3">
      <c r="F472" s="1018" t="s">
        <v>197</v>
      </c>
      <c r="G472" s="951"/>
      <c r="H472" s="951"/>
      <c r="I472" s="951"/>
      <c r="J472" s="951"/>
      <c r="K472" s="951"/>
      <c r="L472" s="951"/>
      <c r="M472" s="951"/>
      <c r="N472" s="951"/>
      <c r="O472" s="952"/>
      <c r="P472" s="155"/>
    </row>
    <row r="473" spans="3:19" ht="48" customHeight="1" thickBot="1" x14ac:dyDescent="0.3">
      <c r="F473" s="457" t="s">
        <v>0</v>
      </c>
      <c r="G473" s="457" t="s">
        <v>1</v>
      </c>
      <c r="H473" s="457" t="s">
        <v>2</v>
      </c>
      <c r="I473" s="457" t="s">
        <v>379</v>
      </c>
      <c r="J473" s="473" t="s">
        <v>648</v>
      </c>
      <c r="K473" s="879" t="s">
        <v>692</v>
      </c>
      <c r="L473" s="880"/>
      <c r="M473" s="473" t="s">
        <v>375</v>
      </c>
      <c r="N473" s="644" t="s">
        <v>768</v>
      </c>
      <c r="O473" s="292" t="s">
        <v>177</v>
      </c>
      <c r="P473" s="142"/>
    </row>
    <row r="474" spans="3:19" ht="31.5" x14ac:dyDescent="0.25">
      <c r="F474" s="297" t="s">
        <v>393</v>
      </c>
      <c r="G474" s="521" t="s">
        <v>196</v>
      </c>
      <c r="H474" s="129">
        <v>100</v>
      </c>
      <c r="I474" s="129">
        <v>2.71</v>
      </c>
      <c r="J474" s="129">
        <v>0.1</v>
      </c>
      <c r="K474" s="1132">
        <f>J474</f>
        <v>0.1</v>
      </c>
      <c r="L474" s="1133"/>
      <c r="M474" s="129">
        <f>J474-K474</f>
        <v>0</v>
      </c>
      <c r="N474" s="496">
        <f>M474/I474</f>
        <v>0</v>
      </c>
      <c r="O474" s="1117" t="s">
        <v>610</v>
      </c>
      <c r="P474" s="143"/>
    </row>
    <row r="475" spans="3:19" ht="18.75" x14ac:dyDescent="0.35">
      <c r="F475" s="298" t="s">
        <v>394</v>
      </c>
      <c r="G475" s="154" t="s">
        <v>195</v>
      </c>
      <c r="H475" s="131">
        <v>98</v>
      </c>
      <c r="I475" s="150">
        <v>1.83</v>
      </c>
      <c r="J475" s="150">
        <v>1</v>
      </c>
      <c r="K475" s="1130">
        <f>(J474)*(1/H474)*(1/1)*(H475/1)</f>
        <v>9.8000000000000004E-2</v>
      </c>
      <c r="L475" s="1131"/>
      <c r="M475" s="150">
        <f>J475-K475</f>
        <v>0.90200000000000002</v>
      </c>
      <c r="N475" s="147">
        <f>M475/I475</f>
        <v>0.49289617486338799</v>
      </c>
      <c r="O475" s="1118"/>
      <c r="P475" s="143"/>
    </row>
    <row r="476" spans="3:19" ht="18.75" x14ac:dyDescent="0.35">
      <c r="F476" s="299" t="s">
        <v>194</v>
      </c>
      <c r="G476" s="432" t="s">
        <v>193</v>
      </c>
      <c r="H476" s="105">
        <v>136</v>
      </c>
      <c r="I476" s="105">
        <v>2.3199999999999998</v>
      </c>
      <c r="J476" s="150">
        <v>0</v>
      </c>
      <c r="K476" s="149">
        <f>($J$474/$H$474)*(1/1)*(H476/1)</f>
        <v>0.13600000000000001</v>
      </c>
      <c r="L476" s="148">
        <f>($J$475/$H$475)*(1/1)*(H476/1)</f>
        <v>1.3877551020408163</v>
      </c>
      <c r="M476" s="147">
        <f>K476</f>
        <v>0.13600000000000001</v>
      </c>
      <c r="N476" s="152">
        <f>M476/I476</f>
        <v>5.862068965517242E-2</v>
      </c>
      <c r="O476" s="1118"/>
      <c r="P476" s="143"/>
    </row>
    <row r="477" spans="3:19" x14ac:dyDescent="0.25">
      <c r="F477" s="298" t="s">
        <v>182</v>
      </c>
      <c r="G477" s="151" t="s">
        <v>192</v>
      </c>
      <c r="H477" s="105">
        <v>18</v>
      </c>
      <c r="I477" s="105">
        <v>1</v>
      </c>
      <c r="J477" s="150">
        <v>0</v>
      </c>
      <c r="K477" s="149">
        <f>($J$474/$H$474)*(1/1)*(H477/1)</f>
        <v>1.8000000000000002E-2</v>
      </c>
      <c r="L477" s="148">
        <f>($J$475/$H$475)*(1/1)*(H477/1)</f>
        <v>0.18367346938775508</v>
      </c>
      <c r="M477" s="147">
        <f>K477</f>
        <v>1.8000000000000002E-2</v>
      </c>
      <c r="N477" s="147">
        <f>M477/I477</f>
        <v>1.8000000000000002E-2</v>
      </c>
      <c r="O477" s="1118"/>
      <c r="P477" s="143"/>
    </row>
    <row r="478" spans="3:19" ht="32.25" thickBot="1" x14ac:dyDescent="0.4">
      <c r="F478" s="300" t="s">
        <v>388</v>
      </c>
      <c r="G478" s="146" t="s">
        <v>191</v>
      </c>
      <c r="H478" s="64">
        <v>44</v>
      </c>
      <c r="I478" s="64">
        <v>0.9</v>
      </c>
      <c r="J478" s="126">
        <v>0</v>
      </c>
      <c r="K478" s="149">
        <f>($J$474/$H$474)*(1/1)*(H478/1)</f>
        <v>4.3999999999999997E-2</v>
      </c>
      <c r="L478" s="148">
        <f>($J$475/$H$475)*(1/1)*(H478/1)</f>
        <v>0.44897959183673464</v>
      </c>
      <c r="M478" s="125">
        <f>K478</f>
        <v>4.3999999999999997E-2</v>
      </c>
      <c r="N478" s="460">
        <f>M478/I478</f>
        <v>4.8888888888888885E-2</v>
      </c>
      <c r="O478" s="1118"/>
      <c r="P478" s="143"/>
    </row>
    <row r="479" spans="3:19" ht="16.5" thickBot="1" x14ac:dyDescent="0.3">
      <c r="F479" s="1090" t="s">
        <v>53</v>
      </c>
      <c r="G479" s="1091"/>
      <c r="H479" s="1091"/>
      <c r="I479" s="1091"/>
      <c r="J479" s="514">
        <f>SUM(J474:J478)</f>
        <v>1.1000000000000001</v>
      </c>
      <c r="K479" s="123">
        <f>SUM(K474:L475)-SUM(K476:K478)</f>
        <v>0</v>
      </c>
      <c r="L479" s="514">
        <f>SUM(K474:L475)-SUM(L476:L478)</f>
        <v>-1.822408163265306</v>
      </c>
      <c r="M479" s="514">
        <f>SUM(M474:M478)</f>
        <v>1.1000000000000001</v>
      </c>
      <c r="N479" s="514">
        <f>SUM(N474:N478)</f>
        <v>0.6184057534074493</v>
      </c>
      <c r="O479" s="1119"/>
      <c r="P479" s="143"/>
    </row>
  </sheetData>
  <mergeCells count="454">
    <mergeCell ref="K463:M463"/>
    <mergeCell ref="K464:M464"/>
    <mergeCell ref="P342:P350"/>
    <mergeCell ref="F471:O471"/>
    <mergeCell ref="F472:O472"/>
    <mergeCell ref="K473:L473"/>
    <mergeCell ref="K474:L474"/>
    <mergeCell ref="O474:O479"/>
    <mergeCell ref="K475:L475"/>
    <mergeCell ref="F479:I479"/>
    <mergeCell ref="F459:P459"/>
    <mergeCell ref="F460:P460"/>
    <mergeCell ref="K461:M461"/>
    <mergeCell ref="P462:P470"/>
    <mergeCell ref="F470:I470"/>
    <mergeCell ref="K462:M462"/>
    <mergeCell ref="F451:O451"/>
    <mergeCell ref="F452:O452"/>
    <mergeCell ref="K453:L453"/>
    <mergeCell ref="K454:L454"/>
    <mergeCell ref="O454:O458"/>
    <mergeCell ref="K455:L455"/>
    <mergeCell ref="F458:I458"/>
    <mergeCell ref="F442:O442"/>
    <mergeCell ref="F443:O443"/>
    <mergeCell ref="K444:L444"/>
    <mergeCell ref="K445:L445"/>
    <mergeCell ref="O445:O450"/>
    <mergeCell ref="K446:L446"/>
    <mergeCell ref="F450:I450"/>
    <mergeCell ref="F432:O432"/>
    <mergeCell ref="F433:O433"/>
    <mergeCell ref="K434:L434"/>
    <mergeCell ref="K435:L435"/>
    <mergeCell ref="O435:O441"/>
    <mergeCell ref="K436:L436"/>
    <mergeCell ref="F441:I441"/>
    <mergeCell ref="F423:O423"/>
    <mergeCell ref="F424:O424"/>
    <mergeCell ref="K425:L425"/>
    <mergeCell ref="K426:L426"/>
    <mergeCell ref="O426:O431"/>
    <mergeCell ref="K427:L427"/>
    <mergeCell ref="F431:I431"/>
    <mergeCell ref="F414:O414"/>
    <mergeCell ref="F415:O415"/>
    <mergeCell ref="K416:L416"/>
    <mergeCell ref="O417:O422"/>
    <mergeCell ref="K417:L417"/>
    <mergeCell ref="F422:I422"/>
    <mergeCell ref="K418:L418"/>
    <mergeCell ref="F404:O404"/>
    <mergeCell ref="F405:O405"/>
    <mergeCell ref="K406:L406"/>
    <mergeCell ref="K407:L407"/>
    <mergeCell ref="O407:O413"/>
    <mergeCell ref="K408:L408"/>
    <mergeCell ref="F413:I413"/>
    <mergeCell ref="F394:O394"/>
    <mergeCell ref="F395:O395"/>
    <mergeCell ref="K396:L396"/>
    <mergeCell ref="K397:L397"/>
    <mergeCell ref="O397:O403"/>
    <mergeCell ref="K398:L398"/>
    <mergeCell ref="F403:I403"/>
    <mergeCell ref="F386:O386"/>
    <mergeCell ref="F387:O387"/>
    <mergeCell ref="K388:L388"/>
    <mergeCell ref="K389:L389"/>
    <mergeCell ref="O389:O393"/>
    <mergeCell ref="K390:L390"/>
    <mergeCell ref="F393:I393"/>
    <mergeCell ref="F377:O377"/>
    <mergeCell ref="F378:O378"/>
    <mergeCell ref="K379:L379"/>
    <mergeCell ref="K380:L380"/>
    <mergeCell ref="O380:O385"/>
    <mergeCell ref="K381:L381"/>
    <mergeCell ref="F385:I385"/>
    <mergeCell ref="F369:O369"/>
    <mergeCell ref="F370:O370"/>
    <mergeCell ref="K371:L371"/>
    <mergeCell ref="K372:L372"/>
    <mergeCell ref="O372:O376"/>
    <mergeCell ref="K373:L373"/>
    <mergeCell ref="F376:I376"/>
    <mergeCell ref="F360:O360"/>
    <mergeCell ref="F361:O361"/>
    <mergeCell ref="K362:L362"/>
    <mergeCell ref="K363:L363"/>
    <mergeCell ref="O363:O368"/>
    <mergeCell ref="K364:L364"/>
    <mergeCell ref="F368:I368"/>
    <mergeCell ref="F352:O352"/>
    <mergeCell ref="F353:O353"/>
    <mergeCell ref="K354:L354"/>
    <mergeCell ref="K355:L355"/>
    <mergeCell ref="O355:O359"/>
    <mergeCell ref="K356:L356"/>
    <mergeCell ref="F359:I359"/>
    <mergeCell ref="K348:L348"/>
    <mergeCell ref="O348:O350"/>
    <mergeCell ref="F349:I350"/>
    <mergeCell ref="J349:J350"/>
    <mergeCell ref="K349:L350"/>
    <mergeCell ref="M349:M350"/>
    <mergeCell ref="N349:N350"/>
    <mergeCell ref="F343:O343"/>
    <mergeCell ref="K344:L344"/>
    <mergeCell ref="K345:L345"/>
    <mergeCell ref="O345:O347"/>
    <mergeCell ref="K346:L346"/>
    <mergeCell ref="K347:L347"/>
    <mergeCell ref="K335:L335"/>
    <mergeCell ref="K336:L336"/>
    <mergeCell ref="O336:O340"/>
    <mergeCell ref="K337:L337"/>
    <mergeCell ref="F340:I340"/>
    <mergeCell ref="F342:O342"/>
    <mergeCell ref="K327:L327"/>
    <mergeCell ref="O327:O331"/>
    <mergeCell ref="K328:L328"/>
    <mergeCell ref="F331:I331"/>
    <mergeCell ref="F333:O333"/>
    <mergeCell ref="F334:O334"/>
    <mergeCell ref="K326:L326"/>
    <mergeCell ref="F324:O324"/>
    <mergeCell ref="F325:O325"/>
    <mergeCell ref="F318:O318"/>
    <mergeCell ref="F319:O319"/>
    <mergeCell ref="K320:L320"/>
    <mergeCell ref="K321:L321"/>
    <mergeCell ref="O321:O323"/>
    <mergeCell ref="K322:L322"/>
    <mergeCell ref="F323:I323"/>
    <mergeCell ref="K323:L323"/>
    <mergeCell ref="F312:O312"/>
    <mergeCell ref="F313:O313"/>
    <mergeCell ref="K314:L314"/>
    <mergeCell ref="K315:L315"/>
    <mergeCell ref="O315:O317"/>
    <mergeCell ref="K316:L316"/>
    <mergeCell ref="F317:I317"/>
    <mergeCell ref="K317:L317"/>
    <mergeCell ref="F307:O307"/>
    <mergeCell ref="F308:O308"/>
    <mergeCell ref="K309:L309"/>
    <mergeCell ref="K310:L310"/>
    <mergeCell ref="O310:O311"/>
    <mergeCell ref="F311:I311"/>
    <mergeCell ref="K311:L311"/>
    <mergeCell ref="K303:L303"/>
    <mergeCell ref="O303:O306"/>
    <mergeCell ref="K304:L304"/>
    <mergeCell ref="F306:I306"/>
    <mergeCell ref="N292:N296"/>
    <mergeCell ref="F297:I297"/>
    <mergeCell ref="K297:L297"/>
    <mergeCell ref="F300:O300"/>
    <mergeCell ref="F301:O301"/>
    <mergeCell ref="K302:L302"/>
    <mergeCell ref="K290:L290"/>
    <mergeCell ref="K291:L291"/>
    <mergeCell ref="O291:O297"/>
    <mergeCell ref="F292:F296"/>
    <mergeCell ref="G292:G296"/>
    <mergeCell ref="H292:H296"/>
    <mergeCell ref="I292:I296"/>
    <mergeCell ref="J292:J296"/>
    <mergeCell ref="K292:L296"/>
    <mergeCell ref="M292:M296"/>
    <mergeCell ref="M282:M286"/>
    <mergeCell ref="N282:N286"/>
    <mergeCell ref="F287:I287"/>
    <mergeCell ref="K287:L287"/>
    <mergeCell ref="F288:O288"/>
    <mergeCell ref="F289:O289"/>
    <mergeCell ref="K279:L279"/>
    <mergeCell ref="K280:L280"/>
    <mergeCell ref="O280:O287"/>
    <mergeCell ref="K281:L281"/>
    <mergeCell ref="F282:F286"/>
    <mergeCell ref="G282:G286"/>
    <mergeCell ref="H282:H286"/>
    <mergeCell ref="I282:I286"/>
    <mergeCell ref="J282:J286"/>
    <mergeCell ref="K282:L286"/>
    <mergeCell ref="M271:M275"/>
    <mergeCell ref="N271:N275"/>
    <mergeCell ref="F276:I276"/>
    <mergeCell ref="K276:L276"/>
    <mergeCell ref="F277:O277"/>
    <mergeCell ref="F278:O278"/>
    <mergeCell ref="K268:L268"/>
    <mergeCell ref="K269:L269"/>
    <mergeCell ref="O269:O276"/>
    <mergeCell ref="K270:L270"/>
    <mergeCell ref="F271:F275"/>
    <mergeCell ref="G271:G275"/>
    <mergeCell ref="H271:H275"/>
    <mergeCell ref="I271:I275"/>
    <mergeCell ref="J271:J275"/>
    <mergeCell ref="K271:L275"/>
    <mergeCell ref="M260:M264"/>
    <mergeCell ref="N260:N264"/>
    <mergeCell ref="F265:I265"/>
    <mergeCell ref="K265:L265"/>
    <mergeCell ref="F266:O266"/>
    <mergeCell ref="F267:O267"/>
    <mergeCell ref="F257:O257"/>
    <mergeCell ref="K258:L258"/>
    <mergeCell ref="K259:L259"/>
    <mergeCell ref="O259:O265"/>
    <mergeCell ref="F260:F264"/>
    <mergeCell ref="G260:G264"/>
    <mergeCell ref="H260:H264"/>
    <mergeCell ref="I260:I264"/>
    <mergeCell ref="J260:J264"/>
    <mergeCell ref="K260:L264"/>
    <mergeCell ref="K250:L254"/>
    <mergeCell ref="M250:M254"/>
    <mergeCell ref="N250:N254"/>
    <mergeCell ref="F255:I255"/>
    <mergeCell ref="K255:L255"/>
    <mergeCell ref="F256:O256"/>
    <mergeCell ref="F246:O246"/>
    <mergeCell ref="K247:L247"/>
    <mergeCell ref="K248:L248"/>
    <mergeCell ref="O248:O255"/>
    <mergeCell ref="K249:L249"/>
    <mergeCell ref="F250:F254"/>
    <mergeCell ref="G250:G254"/>
    <mergeCell ref="H250:H254"/>
    <mergeCell ref="I250:I254"/>
    <mergeCell ref="J250:J254"/>
    <mergeCell ref="K239:L243"/>
    <mergeCell ref="M239:M243"/>
    <mergeCell ref="N239:N243"/>
    <mergeCell ref="F244:I244"/>
    <mergeCell ref="K244:L244"/>
    <mergeCell ref="F245:O245"/>
    <mergeCell ref="F234:O234"/>
    <mergeCell ref="F235:O235"/>
    <mergeCell ref="K236:L236"/>
    <mergeCell ref="O237:O244"/>
    <mergeCell ref="K238:L238"/>
    <mergeCell ref="F239:F243"/>
    <mergeCell ref="G239:G243"/>
    <mergeCell ref="H239:H243"/>
    <mergeCell ref="I239:I243"/>
    <mergeCell ref="J239:J243"/>
    <mergeCell ref="K237:L237"/>
    <mergeCell ref="M227:M232"/>
    <mergeCell ref="N227:N232"/>
    <mergeCell ref="F233:I233"/>
    <mergeCell ref="K233:L233"/>
    <mergeCell ref="O226:O233"/>
    <mergeCell ref="F224:O224"/>
    <mergeCell ref="F227:F232"/>
    <mergeCell ref="G227:G232"/>
    <mergeCell ref="H227:H232"/>
    <mergeCell ref="I227:I232"/>
    <mergeCell ref="J227:J232"/>
    <mergeCell ref="K227:L232"/>
    <mergeCell ref="F221:I221"/>
    <mergeCell ref="O217:O221"/>
    <mergeCell ref="F215:O215"/>
    <mergeCell ref="F214:O214"/>
    <mergeCell ref="K225:L225"/>
    <mergeCell ref="K226:L226"/>
    <mergeCell ref="F223:O223"/>
    <mergeCell ref="F187:O187"/>
    <mergeCell ref="F196:O196"/>
    <mergeCell ref="F205:O205"/>
    <mergeCell ref="K216:L216"/>
    <mergeCell ref="K217:L217"/>
    <mergeCell ref="K218:L218"/>
    <mergeCell ref="K207:L207"/>
    <mergeCell ref="K208:L208"/>
    <mergeCell ref="K209:L209"/>
    <mergeCell ref="F212:I212"/>
    <mergeCell ref="O208:O212"/>
    <mergeCell ref="F206:O206"/>
    <mergeCell ref="M200:M202"/>
    <mergeCell ref="N200:N202"/>
    <mergeCell ref="F203:I203"/>
    <mergeCell ref="K203:L203"/>
    <mergeCell ref="O199:O203"/>
    <mergeCell ref="K199:L199"/>
    <mergeCell ref="F200:F202"/>
    <mergeCell ref="G200:G202"/>
    <mergeCell ref="H200:H202"/>
    <mergeCell ref="I200:I202"/>
    <mergeCell ref="J200:J202"/>
    <mergeCell ref="K200:L202"/>
    <mergeCell ref="N191:N193"/>
    <mergeCell ref="F194:I194"/>
    <mergeCell ref="K194:L194"/>
    <mergeCell ref="F188:O188"/>
    <mergeCell ref="K198:L198"/>
    <mergeCell ref="F179:O179"/>
    <mergeCell ref="K189:L189"/>
    <mergeCell ref="K190:L190"/>
    <mergeCell ref="F191:F193"/>
    <mergeCell ref="G191:G193"/>
    <mergeCell ref="H191:H193"/>
    <mergeCell ref="I191:I193"/>
    <mergeCell ref="J191:J193"/>
    <mergeCell ref="K191:L193"/>
    <mergeCell ref="M191:M193"/>
    <mergeCell ref="K181:L181"/>
    <mergeCell ref="K182:L182"/>
    <mergeCell ref="K183:L183"/>
    <mergeCell ref="F186:I186"/>
    <mergeCell ref="O182:O186"/>
    <mergeCell ref="F180:O180"/>
    <mergeCell ref="F197:O197"/>
    <mergeCell ref="O190:O194"/>
    <mergeCell ref="F162:O162"/>
    <mergeCell ref="K172:L172"/>
    <mergeCell ref="K173:L173"/>
    <mergeCell ref="K174:L174"/>
    <mergeCell ref="F178:I178"/>
    <mergeCell ref="O173:O178"/>
    <mergeCell ref="F171:O171"/>
    <mergeCell ref="F170:O170"/>
    <mergeCell ref="K164:L164"/>
    <mergeCell ref="K165:L165"/>
    <mergeCell ref="K166:L166"/>
    <mergeCell ref="F169:I169"/>
    <mergeCell ref="O165:O169"/>
    <mergeCell ref="F163:O163"/>
    <mergeCell ref="F145:O145"/>
    <mergeCell ref="K156:L156"/>
    <mergeCell ref="K157:L157"/>
    <mergeCell ref="K158:L158"/>
    <mergeCell ref="K159:L159"/>
    <mergeCell ref="F160:I160"/>
    <mergeCell ref="K160:L160"/>
    <mergeCell ref="O157:O160"/>
    <mergeCell ref="F155:O155"/>
    <mergeCell ref="F154:O154"/>
    <mergeCell ref="K147:L147"/>
    <mergeCell ref="K148:L148"/>
    <mergeCell ref="K149:L149"/>
    <mergeCell ref="F152:I152"/>
    <mergeCell ref="O148:O152"/>
    <mergeCell ref="F146:O146"/>
    <mergeCell ref="F129:O129"/>
    <mergeCell ref="K139:L139"/>
    <mergeCell ref="K140:L140"/>
    <mergeCell ref="K141:L141"/>
    <mergeCell ref="F144:I144"/>
    <mergeCell ref="O140:O144"/>
    <mergeCell ref="F138:O138"/>
    <mergeCell ref="F137:O137"/>
    <mergeCell ref="K131:L131"/>
    <mergeCell ref="K132:L132"/>
    <mergeCell ref="K133:L133"/>
    <mergeCell ref="F136:I136"/>
    <mergeCell ref="O132:O136"/>
    <mergeCell ref="F130:O130"/>
    <mergeCell ref="K125:L125"/>
    <mergeCell ref="F128:I128"/>
    <mergeCell ref="O124:O128"/>
    <mergeCell ref="F122:O122"/>
    <mergeCell ref="F121:O121"/>
    <mergeCell ref="K115:L115"/>
    <mergeCell ref="K116:L116"/>
    <mergeCell ref="K117:L117"/>
    <mergeCell ref="F120:I120"/>
    <mergeCell ref="O116:O120"/>
    <mergeCell ref="F112:I112"/>
    <mergeCell ref="N110:N112"/>
    <mergeCell ref="F108:N108"/>
    <mergeCell ref="F107:N107"/>
    <mergeCell ref="F87:I87"/>
    <mergeCell ref="N85:N87"/>
    <mergeCell ref="F113:O113"/>
    <mergeCell ref="K123:L123"/>
    <mergeCell ref="K124:L124"/>
    <mergeCell ref="F114:O114"/>
    <mergeCell ref="O91:O94"/>
    <mergeCell ref="F83:N83"/>
    <mergeCell ref="F82:N82"/>
    <mergeCell ref="F94:I94"/>
    <mergeCell ref="F89:N89"/>
    <mergeCell ref="F88:N88"/>
    <mergeCell ref="K79:L79"/>
    <mergeCell ref="F81:I81"/>
    <mergeCell ref="F103:I103"/>
    <mergeCell ref="N98:N103"/>
    <mergeCell ref="F96:N96"/>
    <mergeCell ref="F95:N95"/>
    <mergeCell ref="K90:L90"/>
    <mergeCell ref="K91:L91"/>
    <mergeCell ref="K92:L92"/>
    <mergeCell ref="O78:O81"/>
    <mergeCell ref="F76:O76"/>
    <mergeCell ref="F74:I74"/>
    <mergeCell ref="O70:O74"/>
    <mergeCell ref="F68:O68"/>
    <mergeCell ref="F67:O67"/>
    <mergeCell ref="K77:L77"/>
    <mergeCell ref="K78:L78"/>
    <mergeCell ref="F75:O75"/>
    <mergeCell ref="N62:N65"/>
    <mergeCell ref="F59:N59"/>
    <mergeCell ref="F60:N60"/>
    <mergeCell ref="K69:L69"/>
    <mergeCell ref="K70:L70"/>
    <mergeCell ref="K71:L71"/>
    <mergeCell ref="F57:I57"/>
    <mergeCell ref="N51:N57"/>
    <mergeCell ref="F49:N49"/>
    <mergeCell ref="F58:N58"/>
    <mergeCell ref="F64:I65"/>
    <mergeCell ref="J64:J65"/>
    <mergeCell ref="K64:K65"/>
    <mergeCell ref="L64:L65"/>
    <mergeCell ref="M64:M65"/>
    <mergeCell ref="B3:B4"/>
    <mergeCell ref="C3:C4"/>
    <mergeCell ref="D3:D11"/>
    <mergeCell ref="F9:I9"/>
    <mergeCell ref="N5:N9"/>
    <mergeCell ref="F29:O29"/>
    <mergeCell ref="K32:M32"/>
    <mergeCell ref="F38:I38"/>
    <mergeCell ref="P33:P38"/>
    <mergeCell ref="F30:P30"/>
    <mergeCell ref="F31:P31"/>
    <mergeCell ref="K25:L25"/>
    <mergeCell ref="F28:I28"/>
    <mergeCell ref="F21:O21"/>
    <mergeCell ref="F22:O22"/>
    <mergeCell ref="O24:O28"/>
    <mergeCell ref="K33:M33"/>
    <mergeCell ref="K34:M34"/>
    <mergeCell ref="K35:M35"/>
    <mergeCell ref="F2:N2"/>
    <mergeCell ref="F3:N3"/>
    <mergeCell ref="F19:I19"/>
    <mergeCell ref="N14:N19"/>
    <mergeCell ref="F11:N11"/>
    <mergeCell ref="F12:N12"/>
    <mergeCell ref="K23:L23"/>
    <mergeCell ref="K24:L24"/>
    <mergeCell ref="F48:N48"/>
    <mergeCell ref="F39:P39"/>
    <mergeCell ref="F46:I46"/>
    <mergeCell ref="N43:N46"/>
    <mergeCell ref="F41:N41"/>
    <mergeCell ref="F40:N40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3"/>
  <sheetViews>
    <sheetView zoomScale="80" zoomScaleNormal="80" workbookViewId="0">
      <selection activeCell="M7" sqref="M7"/>
    </sheetView>
  </sheetViews>
  <sheetFormatPr baseColWidth="10" defaultRowHeight="15" x14ac:dyDescent="0.25"/>
  <cols>
    <col min="1" max="1" width="4.7109375" customWidth="1"/>
    <col min="2" max="2" width="14.42578125" customWidth="1"/>
    <col min="3" max="3" width="15.28515625" customWidth="1"/>
    <col min="4" max="4" width="13" customWidth="1"/>
    <col min="5" max="5" width="16.85546875" customWidth="1"/>
    <col min="6" max="6" width="14.7109375" customWidth="1"/>
    <col min="7" max="7" width="12.42578125" customWidth="1"/>
    <col min="8" max="8" width="13.5703125" customWidth="1"/>
    <col min="9" max="9" width="16.5703125" customWidth="1"/>
    <col min="10" max="10" width="14.85546875" customWidth="1"/>
    <col min="13" max="13" width="35.140625" customWidth="1"/>
  </cols>
  <sheetData>
    <row r="3" spans="2:13" ht="15.75" thickBot="1" x14ac:dyDescent="0.3"/>
    <row r="4" spans="2:13" ht="16.5" thickBot="1" x14ac:dyDescent="0.3">
      <c r="B4" s="393" t="s">
        <v>639</v>
      </c>
      <c r="C4" s="369" t="s">
        <v>607</v>
      </c>
      <c r="E4" s="1103" t="s">
        <v>435</v>
      </c>
      <c r="F4" s="1104"/>
      <c r="G4" s="1104"/>
      <c r="H4" s="1104"/>
      <c r="I4" s="1104"/>
      <c r="J4" s="1104"/>
      <c r="K4" s="1104"/>
      <c r="L4" s="1104"/>
      <c r="M4" s="1105"/>
    </row>
    <row r="5" spans="2:13" ht="16.5" thickBot="1" x14ac:dyDescent="0.3">
      <c r="B5" s="1169">
        <v>1</v>
      </c>
      <c r="C5" s="1171" t="s">
        <v>540</v>
      </c>
      <c r="E5" s="1168" t="s">
        <v>412</v>
      </c>
      <c r="F5" s="1151"/>
      <c r="G5" s="1151"/>
      <c r="H5" s="1151"/>
      <c r="I5" s="1151"/>
      <c r="J5" s="1151"/>
      <c r="K5" s="1151"/>
      <c r="L5" s="1151"/>
      <c r="M5" s="1152"/>
    </row>
    <row r="6" spans="2:13" ht="46.5" customHeight="1" thickBot="1" x14ac:dyDescent="0.3">
      <c r="B6" s="1169"/>
      <c r="C6" s="1171"/>
      <c r="E6" s="28" t="s">
        <v>0</v>
      </c>
      <c r="F6" s="29" t="s">
        <v>1</v>
      </c>
      <c r="G6" s="28" t="s">
        <v>2</v>
      </c>
      <c r="H6" s="28" t="s">
        <v>164</v>
      </c>
      <c r="I6" s="28" t="s">
        <v>378</v>
      </c>
      <c r="J6" s="29" t="s">
        <v>728</v>
      </c>
      <c r="K6" s="28" t="s">
        <v>375</v>
      </c>
      <c r="L6" s="30" t="s">
        <v>659</v>
      </c>
      <c r="M6" s="321" t="s">
        <v>3</v>
      </c>
    </row>
    <row r="7" spans="2:13" ht="45.6" customHeight="1" thickBot="1" x14ac:dyDescent="0.3">
      <c r="B7" s="1170"/>
      <c r="C7" s="1172"/>
      <c r="E7" s="315" t="s">
        <v>186</v>
      </c>
      <c r="F7" s="133" t="s">
        <v>185</v>
      </c>
      <c r="G7" s="129">
        <v>92</v>
      </c>
      <c r="H7" s="129">
        <v>1.26</v>
      </c>
      <c r="I7" s="129">
        <v>1</v>
      </c>
      <c r="J7" s="130">
        <v>0</v>
      </c>
      <c r="K7" s="129">
        <f>I7</f>
        <v>1</v>
      </c>
      <c r="L7" s="128">
        <f>K7/H7</f>
        <v>0.79365079365079361</v>
      </c>
      <c r="M7" s="563" t="s">
        <v>891</v>
      </c>
    </row>
    <row r="8" spans="2:13" ht="52.5" customHeight="1" thickBot="1" x14ac:dyDescent="0.3">
      <c r="E8" s="531" t="s">
        <v>184</v>
      </c>
      <c r="F8" s="131" t="s">
        <v>183</v>
      </c>
      <c r="G8" s="129">
        <v>282</v>
      </c>
      <c r="H8" s="129">
        <v>0.84</v>
      </c>
      <c r="I8" s="129">
        <v>1</v>
      </c>
      <c r="J8" s="130">
        <v>0</v>
      </c>
      <c r="K8" s="129">
        <f>I8</f>
        <v>1</v>
      </c>
      <c r="L8" s="128">
        <f>K8/H8</f>
        <v>1.1904761904761905</v>
      </c>
      <c r="M8" s="735" t="s">
        <v>577</v>
      </c>
    </row>
    <row r="9" spans="2:13" ht="19.5" customHeight="1" thickBot="1" x14ac:dyDescent="0.3">
      <c r="E9" s="316" t="s">
        <v>182</v>
      </c>
      <c r="F9" s="126" t="s">
        <v>181</v>
      </c>
      <c r="G9" s="126">
        <v>1</v>
      </c>
      <c r="H9" s="126">
        <v>1</v>
      </c>
      <c r="I9" s="124">
        <v>1</v>
      </c>
      <c r="J9" s="125">
        <v>0</v>
      </c>
      <c r="K9" s="124">
        <f>I9</f>
        <v>1</v>
      </c>
      <c r="L9" s="123">
        <f>K9/H9</f>
        <v>1</v>
      </c>
      <c r="M9" s="1173" t="s">
        <v>573</v>
      </c>
    </row>
    <row r="10" spans="2:13" ht="17.45" customHeight="1" thickBot="1" x14ac:dyDescent="0.3">
      <c r="B10" s="120"/>
      <c r="C10" s="120"/>
      <c r="E10" s="1108" t="s">
        <v>180</v>
      </c>
      <c r="F10" s="1108"/>
      <c r="G10" s="1108"/>
      <c r="H10" s="1108"/>
      <c r="I10" s="122">
        <f>SUM(I7:I9)</f>
        <v>3</v>
      </c>
      <c r="J10" s="123">
        <f>SUM(J7:J9)</f>
        <v>0</v>
      </c>
      <c r="K10" s="122">
        <f>SUM(K7:K9)</f>
        <v>3</v>
      </c>
      <c r="L10" s="121">
        <f>SUM(L7:L9)</f>
        <v>2.9841269841269842</v>
      </c>
      <c r="M10" s="1174"/>
    </row>
    <row r="11" spans="2:13" ht="15.75" x14ac:dyDescent="0.25">
      <c r="B11" s="120"/>
      <c r="C11" s="120"/>
    </row>
    <row r="12" spans="2:13" ht="15.75" x14ac:dyDescent="0.25">
      <c r="B12" s="120"/>
      <c r="C12" s="120"/>
    </row>
    <row r="13" spans="2:13" ht="15.75" x14ac:dyDescent="0.25">
      <c r="B13" s="114"/>
      <c r="C13" s="115"/>
    </row>
    <row r="14" spans="2:13" ht="15.6" customHeight="1" x14ac:dyDescent="0.25">
      <c r="B14" s="114"/>
      <c r="C14" s="119"/>
    </row>
    <row r="15" spans="2:13" ht="15.75" x14ac:dyDescent="0.25">
      <c r="B15" s="114"/>
      <c r="C15" s="118"/>
    </row>
    <row r="16" spans="2:13" ht="15.75" x14ac:dyDescent="0.25">
      <c r="B16" s="114"/>
      <c r="C16" s="117"/>
      <c r="D16" s="117"/>
      <c r="E16" s="115"/>
      <c r="F16" s="115"/>
      <c r="G16" s="115"/>
      <c r="H16" s="115"/>
      <c r="I16" s="112"/>
      <c r="J16" s="111"/>
    </row>
    <row r="17" spans="2:10" ht="15.75" x14ac:dyDescent="0.25">
      <c r="B17" s="114"/>
      <c r="C17" s="116"/>
    </row>
    <row r="18" spans="2:10" ht="15.75" x14ac:dyDescent="0.25">
      <c r="B18" s="114"/>
      <c r="C18" s="116"/>
    </row>
    <row r="19" spans="2:10" ht="15.75" x14ac:dyDescent="0.25">
      <c r="B19" s="114"/>
      <c r="C19" s="116"/>
    </row>
    <row r="20" spans="2:10" ht="15.75" x14ac:dyDescent="0.25">
      <c r="B20" s="114"/>
      <c r="C20" s="116"/>
    </row>
    <row r="21" spans="2:10" ht="15.75" x14ac:dyDescent="0.25">
      <c r="B21" s="114"/>
      <c r="C21" s="116"/>
    </row>
    <row r="22" spans="2:10" ht="15.75" x14ac:dyDescent="0.25">
      <c r="B22" s="114"/>
      <c r="C22" s="113"/>
    </row>
    <row r="25" spans="2:10" ht="16.149999999999999" customHeight="1" x14ac:dyDescent="0.25"/>
    <row r="31" spans="2:10" ht="16.149999999999999" customHeight="1" x14ac:dyDescent="0.25"/>
    <row r="32" spans="2:10" ht="15.75" x14ac:dyDescent="0.25">
      <c r="B32" s="114"/>
      <c r="C32" s="113"/>
      <c r="D32" s="113"/>
      <c r="E32" s="113"/>
      <c r="F32" s="113"/>
      <c r="G32" s="115"/>
      <c r="H32" s="115"/>
      <c r="I32" s="112"/>
      <c r="J32" s="111"/>
    </row>
    <row r="33" spans="2:10" ht="16.149999999999999" customHeight="1" x14ac:dyDescent="0.25">
      <c r="B33" s="114"/>
      <c r="C33" s="113"/>
      <c r="D33" s="113"/>
      <c r="E33" s="113"/>
      <c r="F33" s="113"/>
      <c r="G33" s="113"/>
      <c r="H33" s="113"/>
      <c r="I33" s="112"/>
      <c r="J33" s="111"/>
    </row>
    <row r="34" spans="2:10" ht="16.149999999999999" customHeight="1" x14ac:dyDescent="0.25">
      <c r="B34" s="114"/>
      <c r="C34" s="113"/>
      <c r="D34" s="113"/>
      <c r="E34" s="113"/>
      <c r="F34" s="113"/>
      <c r="G34" s="113"/>
      <c r="H34" s="113"/>
      <c r="I34" s="112"/>
      <c r="J34" s="111"/>
    </row>
    <row r="35" spans="2:10" ht="16.149999999999999" customHeight="1" x14ac:dyDescent="0.25">
      <c r="B35" s="114"/>
      <c r="C35" s="113"/>
      <c r="D35" s="113"/>
      <c r="E35" s="113"/>
      <c r="F35" s="113"/>
      <c r="G35" s="113"/>
      <c r="H35" s="113"/>
      <c r="I35" s="112"/>
      <c r="J35" s="111"/>
    </row>
    <row r="36" spans="2:10" ht="15.75" x14ac:dyDescent="0.25">
      <c r="B36" s="114"/>
      <c r="C36" s="113"/>
      <c r="D36" s="113"/>
      <c r="E36" s="113"/>
      <c r="F36" s="113"/>
      <c r="G36" s="113"/>
      <c r="H36" s="113"/>
      <c r="I36" s="112"/>
      <c r="J36" s="111"/>
    </row>
    <row r="37" spans="2:10" ht="15.75" x14ac:dyDescent="0.25">
      <c r="B37" s="114"/>
      <c r="C37" s="113"/>
      <c r="D37" s="113"/>
      <c r="E37" s="113"/>
      <c r="F37" s="113"/>
      <c r="G37" s="113"/>
      <c r="H37" s="113"/>
      <c r="I37" s="112"/>
      <c r="J37" s="111"/>
    </row>
    <row r="38" spans="2:10" ht="15.75" x14ac:dyDescent="0.25">
      <c r="B38" s="114"/>
      <c r="C38" s="113"/>
      <c r="D38" s="113"/>
      <c r="E38" s="113"/>
      <c r="F38" s="113"/>
      <c r="G38" s="113"/>
      <c r="H38" s="113"/>
      <c r="I38" s="112"/>
      <c r="J38" s="111"/>
    </row>
    <row r="39" spans="2:10" x14ac:dyDescent="0.25">
      <c r="B39" s="110"/>
      <c r="C39" s="110"/>
      <c r="D39" s="110"/>
      <c r="E39" s="110"/>
      <c r="F39" s="110"/>
      <c r="G39" s="110"/>
      <c r="H39" s="110"/>
      <c r="I39" s="110"/>
      <c r="J39" s="110"/>
    </row>
    <row r="40" spans="2:10" x14ac:dyDescent="0.25">
      <c r="B40" s="110"/>
      <c r="C40" s="110"/>
      <c r="D40" s="110"/>
      <c r="E40" s="110"/>
      <c r="F40" s="110"/>
      <c r="G40" s="110"/>
      <c r="H40" s="110"/>
      <c r="I40" s="110"/>
      <c r="J40" s="110"/>
    </row>
    <row r="41" spans="2:10" x14ac:dyDescent="0.25">
      <c r="B41" s="110"/>
      <c r="C41" s="110"/>
      <c r="D41" s="110"/>
      <c r="E41" s="110"/>
      <c r="F41" s="110"/>
      <c r="G41" s="110"/>
      <c r="H41" s="110"/>
      <c r="I41" s="110"/>
      <c r="J41" s="110"/>
    </row>
    <row r="42" spans="2:10" x14ac:dyDescent="0.25">
      <c r="B42" s="110"/>
      <c r="C42" s="110"/>
      <c r="D42" s="110"/>
      <c r="E42" s="110"/>
      <c r="F42" s="110"/>
      <c r="G42" s="110"/>
      <c r="H42" s="110"/>
      <c r="I42" s="110"/>
      <c r="J42" s="110"/>
    </row>
    <row r="43" spans="2:10" x14ac:dyDescent="0.25">
      <c r="B43" s="110"/>
      <c r="C43" s="110"/>
      <c r="D43" s="110"/>
      <c r="E43" s="110"/>
      <c r="F43" s="110"/>
      <c r="G43" s="110"/>
      <c r="H43" s="110"/>
      <c r="I43" s="110"/>
      <c r="J43" s="110"/>
    </row>
    <row r="44" spans="2:10" x14ac:dyDescent="0.25">
      <c r="B44" s="110"/>
      <c r="C44" s="110"/>
      <c r="D44" s="110"/>
      <c r="E44" s="110"/>
      <c r="F44" s="110"/>
      <c r="G44" s="110"/>
      <c r="H44" s="110"/>
      <c r="I44" s="110"/>
      <c r="J44" s="110"/>
    </row>
    <row r="45" spans="2:10" x14ac:dyDescent="0.25">
      <c r="B45" s="110"/>
      <c r="C45" s="110"/>
      <c r="D45" s="110"/>
      <c r="E45" s="110"/>
      <c r="F45" s="110"/>
      <c r="G45" s="110"/>
      <c r="H45" s="110"/>
      <c r="I45" s="110"/>
      <c r="J45" s="110"/>
    </row>
    <row r="46" spans="2:10" x14ac:dyDescent="0.25">
      <c r="B46" s="110"/>
      <c r="C46" s="110"/>
      <c r="D46" s="110"/>
      <c r="E46" s="110"/>
      <c r="F46" s="110"/>
      <c r="G46" s="110"/>
      <c r="H46" s="110"/>
      <c r="I46" s="110"/>
      <c r="J46" s="110"/>
    </row>
    <row r="47" spans="2:10" x14ac:dyDescent="0.25">
      <c r="B47" s="110"/>
      <c r="C47" s="110"/>
      <c r="D47" s="110"/>
      <c r="E47" s="110"/>
      <c r="F47" s="110"/>
      <c r="G47" s="110"/>
      <c r="H47" s="110"/>
      <c r="I47" s="110"/>
      <c r="J47" s="110"/>
    </row>
    <row r="48" spans="2:10" x14ac:dyDescent="0.25">
      <c r="B48" s="110"/>
      <c r="C48" s="110"/>
      <c r="D48" s="110"/>
      <c r="E48" s="110"/>
      <c r="F48" s="110"/>
      <c r="G48" s="110"/>
      <c r="H48" s="110"/>
      <c r="I48" s="110"/>
      <c r="J48" s="110"/>
    </row>
    <row r="49" spans="2:10" x14ac:dyDescent="0.25">
      <c r="B49" s="110"/>
      <c r="C49" s="110"/>
      <c r="D49" s="110"/>
      <c r="E49" s="110"/>
      <c r="F49" s="110"/>
      <c r="G49" s="110"/>
      <c r="H49" s="110"/>
      <c r="I49" s="110"/>
      <c r="J49" s="110"/>
    </row>
    <row r="50" spans="2:10" x14ac:dyDescent="0.25">
      <c r="B50" s="110"/>
      <c r="C50" s="110"/>
      <c r="D50" s="110"/>
      <c r="E50" s="110"/>
      <c r="F50" s="110"/>
      <c r="G50" s="110"/>
      <c r="H50" s="110"/>
      <c r="I50" s="110"/>
      <c r="J50" s="110"/>
    </row>
    <row r="51" spans="2:10" x14ac:dyDescent="0.25">
      <c r="B51" s="110"/>
      <c r="C51" s="110"/>
      <c r="D51" s="110"/>
      <c r="E51" s="110"/>
      <c r="F51" s="110"/>
      <c r="G51" s="110"/>
      <c r="H51" s="110"/>
      <c r="I51" s="110"/>
      <c r="J51" s="110"/>
    </row>
    <row r="52" spans="2:10" x14ac:dyDescent="0.25">
      <c r="B52" s="110"/>
      <c r="C52" s="110"/>
      <c r="D52" s="110"/>
      <c r="E52" s="110"/>
      <c r="F52" s="110"/>
      <c r="G52" s="110"/>
      <c r="H52" s="110"/>
      <c r="I52" s="110"/>
      <c r="J52" s="110"/>
    </row>
    <row r="53" spans="2:10" x14ac:dyDescent="0.25">
      <c r="B53" s="110"/>
      <c r="C53" s="110"/>
      <c r="D53" s="110"/>
      <c r="E53" s="110"/>
      <c r="F53" s="110"/>
      <c r="G53" s="110"/>
      <c r="H53" s="110"/>
      <c r="I53" s="110"/>
      <c r="J53" s="110"/>
    </row>
  </sheetData>
  <mergeCells count="6">
    <mergeCell ref="E4:M4"/>
    <mergeCell ref="E5:M5"/>
    <mergeCell ref="B5:B7"/>
    <mergeCell ref="C5:C7"/>
    <mergeCell ref="E10:H10"/>
    <mergeCell ref="M9:M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341"/>
  <sheetViews>
    <sheetView zoomScale="80" zoomScaleNormal="80" workbookViewId="0">
      <selection activeCell="AB19" sqref="AB19"/>
    </sheetView>
  </sheetViews>
  <sheetFormatPr baseColWidth="10" defaultRowHeight="15.75" x14ac:dyDescent="0.25"/>
  <cols>
    <col min="1" max="1" width="5.28515625" customWidth="1"/>
    <col min="2" max="2" width="11" style="3" customWidth="1"/>
    <col min="3" max="3" width="36.85546875" style="3" customWidth="1"/>
    <col min="4" max="4" width="8.7109375" style="3" customWidth="1"/>
    <col min="5" max="5" width="5.7109375" style="837" customWidth="1"/>
    <col min="6" max="6" width="40.7109375" style="3" customWidth="1"/>
    <col min="7" max="7" width="20.42578125" style="421" customWidth="1"/>
    <col min="8" max="8" width="15.85546875" style="823" customWidth="1"/>
    <col min="9" max="9" width="11.42578125" style="421"/>
    <col min="10" max="10" width="13.5703125" style="421" customWidth="1"/>
    <col min="11" max="11" width="13.85546875" style="421" bestFit="1" customWidth="1"/>
    <col min="12" max="12" width="11.42578125" style="3" customWidth="1"/>
    <col min="13" max="13" width="15.5703125" style="421" customWidth="1"/>
    <col min="14" max="14" width="16" style="421" customWidth="1"/>
    <col min="15" max="15" width="53.140625" style="3" customWidth="1"/>
    <col min="16" max="16" width="11.42578125" style="3"/>
  </cols>
  <sheetData>
    <row r="3" spans="2:15" ht="16.5" thickBot="1" x14ac:dyDescent="0.3"/>
    <row r="4" spans="2:15" ht="16.5" thickBot="1" x14ac:dyDescent="0.3">
      <c r="B4" s="397" t="s">
        <v>606</v>
      </c>
      <c r="C4" s="398" t="s">
        <v>607</v>
      </c>
      <c r="D4" s="399" t="s">
        <v>53</v>
      </c>
      <c r="F4" s="866" t="s">
        <v>54</v>
      </c>
      <c r="G4" s="867"/>
      <c r="H4" s="867"/>
      <c r="I4" s="867"/>
      <c r="J4" s="867"/>
      <c r="K4" s="867"/>
      <c r="L4" s="867"/>
      <c r="M4" s="867"/>
      <c r="N4" s="867"/>
      <c r="O4" s="868"/>
    </row>
    <row r="5" spans="2:15" ht="30" customHeight="1" thickBot="1" x14ac:dyDescent="0.3">
      <c r="B5" s="396">
        <v>1</v>
      </c>
      <c r="C5" s="623" t="s">
        <v>532</v>
      </c>
      <c r="D5" s="1267">
        <v>4</v>
      </c>
      <c r="F5" s="893" t="s">
        <v>170</v>
      </c>
      <c r="G5" s="894"/>
      <c r="H5" s="894"/>
      <c r="I5" s="894"/>
      <c r="J5" s="894"/>
      <c r="K5" s="894"/>
      <c r="L5" s="894"/>
      <c r="M5" s="894"/>
      <c r="N5" s="894"/>
      <c r="O5" s="895"/>
    </row>
    <row r="6" spans="2:15" ht="30.75" customHeight="1" thickBot="1" x14ac:dyDescent="0.3">
      <c r="B6" s="385">
        <v>2</v>
      </c>
      <c r="C6" s="389" t="s">
        <v>531</v>
      </c>
      <c r="D6" s="897"/>
      <c r="F6" s="1284" t="s">
        <v>133</v>
      </c>
      <c r="G6" s="1285"/>
      <c r="H6" s="1285"/>
      <c r="I6" s="1285"/>
      <c r="J6" s="1285"/>
      <c r="K6" s="1285"/>
      <c r="L6" s="1285"/>
      <c r="M6" s="1285"/>
      <c r="N6" s="1285"/>
      <c r="O6" s="1286"/>
    </row>
    <row r="7" spans="2:15" ht="36.75" customHeight="1" thickBot="1" x14ac:dyDescent="0.3">
      <c r="B7" s="385">
        <v>4</v>
      </c>
      <c r="C7" s="389" t="s">
        <v>530</v>
      </c>
      <c r="D7" s="897"/>
      <c r="F7" s="783" t="s">
        <v>0</v>
      </c>
      <c r="G7" s="826" t="s">
        <v>1</v>
      </c>
      <c r="H7" s="783" t="s">
        <v>2</v>
      </c>
      <c r="I7" s="783" t="s">
        <v>164</v>
      </c>
      <c r="J7" s="773" t="s">
        <v>779</v>
      </c>
      <c r="K7" s="879" t="s">
        <v>775</v>
      </c>
      <c r="L7" s="880"/>
      <c r="M7" s="783" t="s">
        <v>776</v>
      </c>
      <c r="N7" s="784" t="s">
        <v>777</v>
      </c>
      <c r="O7" s="780" t="s">
        <v>3</v>
      </c>
    </row>
    <row r="8" spans="2:15" ht="32.25" customHeight="1" thickBot="1" x14ac:dyDescent="0.3">
      <c r="B8" s="386">
        <v>5</v>
      </c>
      <c r="C8" s="624" t="s">
        <v>533</v>
      </c>
      <c r="D8" s="898"/>
      <c r="F8" s="55" t="s">
        <v>55</v>
      </c>
      <c r="G8" s="58" t="s">
        <v>56</v>
      </c>
      <c r="H8" s="821">
        <v>46.03</v>
      </c>
      <c r="I8" s="785">
        <v>1.22</v>
      </c>
      <c r="J8" s="449">
        <v>1</v>
      </c>
      <c r="K8" s="978">
        <f>J8</f>
        <v>1</v>
      </c>
      <c r="L8" s="979"/>
      <c r="M8" s="797">
        <f>J8-K8</f>
        <v>0</v>
      </c>
      <c r="N8" s="63">
        <f>M8/I8</f>
        <v>0</v>
      </c>
      <c r="O8" s="1191" t="s">
        <v>534</v>
      </c>
    </row>
    <row r="9" spans="2:15" ht="18.75" customHeight="1" x14ac:dyDescent="0.25">
      <c r="D9" s="1268"/>
      <c r="F9" s="56" t="s">
        <v>45</v>
      </c>
      <c r="G9" s="59" t="s">
        <v>46</v>
      </c>
      <c r="H9" s="692">
        <v>18.015280000000001</v>
      </c>
      <c r="I9" s="770">
        <v>1</v>
      </c>
      <c r="J9" s="450">
        <v>1</v>
      </c>
      <c r="K9" s="1290">
        <f>(J8)*(1/H8)*(1/1)*(H9/1)</f>
        <v>0.3913812730827721</v>
      </c>
      <c r="L9" s="1187"/>
      <c r="M9" s="788">
        <f>J9-K9</f>
        <v>0.60861872691722785</v>
      </c>
      <c r="N9" s="60">
        <f>M9/I9</f>
        <v>0.60861872691722785</v>
      </c>
      <c r="O9" s="1191"/>
    </row>
    <row r="10" spans="2:15" ht="15.75" customHeight="1" x14ac:dyDescent="0.25">
      <c r="D10" s="1268"/>
      <c r="F10" s="56" t="s">
        <v>57</v>
      </c>
      <c r="G10" s="60" t="s">
        <v>58</v>
      </c>
      <c r="H10" s="692">
        <v>17.007999999999999</v>
      </c>
      <c r="I10" s="807">
        <v>1.2</v>
      </c>
      <c r="J10" s="450">
        <v>0</v>
      </c>
      <c r="K10" s="667">
        <f>(J8*(1/H8)*(2/1)*(H10/1))</f>
        <v>0.73899630675646311</v>
      </c>
      <c r="L10" s="668">
        <f>(J9)*(1/H9)*(2/1)*(H10/1)</f>
        <v>1.8881749270619161</v>
      </c>
      <c r="M10" s="788">
        <f>K10</f>
        <v>0.73899630675646311</v>
      </c>
      <c r="N10" s="675">
        <f>M10/I10</f>
        <v>0.61583025563038596</v>
      </c>
      <c r="O10" s="1191"/>
    </row>
    <row r="11" spans="2:15" ht="17.25" customHeight="1" thickBot="1" x14ac:dyDescent="0.3">
      <c r="D11" s="1268"/>
      <c r="F11" s="57" t="s">
        <v>59</v>
      </c>
      <c r="G11" s="61" t="s">
        <v>171</v>
      </c>
      <c r="H11" s="734">
        <v>30.025980000000001</v>
      </c>
      <c r="I11" s="649">
        <v>0.81499999999999995</v>
      </c>
      <c r="J11" s="451">
        <v>0</v>
      </c>
      <c r="K11" s="669">
        <f>(J8*(1/H8)*(1/1)*(H11/1))</f>
        <v>0.65231327395177063</v>
      </c>
      <c r="L11" s="670">
        <f>(J9)*(1/H9)*(1/1)*(H11/1)</f>
        <v>1.6666951609966651</v>
      </c>
      <c r="M11" s="488">
        <f>K11</f>
        <v>0.65231327395177063</v>
      </c>
      <c r="N11" s="474">
        <f>M11/I11</f>
        <v>0.80038438521689659</v>
      </c>
      <c r="O11" s="1191"/>
    </row>
    <row r="12" spans="2:15" ht="16.5" customHeight="1" thickBot="1" x14ac:dyDescent="0.3">
      <c r="D12" s="1268"/>
      <c r="F12" s="863" t="s">
        <v>53</v>
      </c>
      <c r="G12" s="864"/>
      <c r="H12" s="864"/>
      <c r="I12" s="864"/>
      <c r="J12" s="830">
        <f>SUM(J8:J11)</f>
        <v>2</v>
      </c>
      <c r="K12" s="671">
        <f>SUM(K8:L9)-SUM(K10:K11)</f>
        <v>7.1692374538523396E-5</v>
      </c>
      <c r="L12" s="672">
        <f>SUM(K8:L9)-SUM(L10:L11)</f>
        <v>-2.1634888149758087</v>
      </c>
      <c r="M12" s="815">
        <f>SUM(M8:M11)</f>
        <v>1.9999283076254617</v>
      </c>
      <c r="N12" s="71">
        <f>SUM(N8:N11)</f>
        <v>2.0248333677645105</v>
      </c>
      <c r="O12" s="892"/>
    </row>
    <row r="13" spans="2:15" x14ac:dyDescent="0.25">
      <c r="F13" s="1225" t="s">
        <v>75</v>
      </c>
      <c r="G13" s="1226"/>
      <c r="H13" s="1226"/>
      <c r="I13" s="1226"/>
      <c r="J13" s="1226"/>
      <c r="K13" s="1226"/>
      <c r="L13" s="1226"/>
      <c r="M13" s="1226"/>
      <c r="N13" s="1226"/>
      <c r="O13" s="1227"/>
    </row>
    <row r="14" spans="2:15" ht="19.5" thickBot="1" x14ac:dyDescent="0.3">
      <c r="F14" s="1287" t="s">
        <v>134</v>
      </c>
      <c r="G14" s="1288"/>
      <c r="H14" s="1288"/>
      <c r="I14" s="1288"/>
      <c r="J14" s="1288"/>
      <c r="K14" s="1288"/>
      <c r="L14" s="1288"/>
      <c r="M14" s="1288"/>
      <c r="N14" s="1288"/>
      <c r="O14" s="1289"/>
    </row>
    <row r="15" spans="2:15" ht="35.25" customHeight="1" thickBot="1" x14ac:dyDescent="0.3">
      <c r="F15" s="783" t="s">
        <v>0</v>
      </c>
      <c r="G15" s="826" t="s">
        <v>1</v>
      </c>
      <c r="H15" s="783" t="s">
        <v>2</v>
      </c>
      <c r="I15" s="783" t="s">
        <v>164</v>
      </c>
      <c r="J15" s="773" t="s">
        <v>779</v>
      </c>
      <c r="K15" s="879" t="s">
        <v>775</v>
      </c>
      <c r="L15" s="880"/>
      <c r="M15" s="783" t="s">
        <v>776</v>
      </c>
      <c r="N15" s="784" t="s">
        <v>777</v>
      </c>
      <c r="O15" s="780" t="s">
        <v>3</v>
      </c>
    </row>
    <row r="16" spans="2:15" ht="18.75" customHeight="1" x14ac:dyDescent="0.25">
      <c r="F16" s="68" t="s">
        <v>60</v>
      </c>
      <c r="G16" s="73" t="s">
        <v>61</v>
      </c>
      <c r="H16" s="75">
        <v>58.08</v>
      </c>
      <c r="I16" s="797">
        <v>0.78400000000000003</v>
      </c>
      <c r="J16" s="63">
        <v>1</v>
      </c>
      <c r="K16" s="977">
        <f>J16</f>
        <v>1</v>
      </c>
      <c r="L16" s="979"/>
      <c r="M16" s="63">
        <f>J16-K16</f>
        <v>0</v>
      </c>
      <c r="N16" s="797"/>
      <c r="O16" s="883" t="s">
        <v>819</v>
      </c>
    </row>
    <row r="17" spans="3:15" ht="18.75" x14ac:dyDescent="0.25">
      <c r="C17" s="539"/>
      <c r="F17" s="69" t="s">
        <v>45</v>
      </c>
      <c r="G17" s="74" t="s">
        <v>46</v>
      </c>
      <c r="H17" s="76">
        <v>18.015280000000001</v>
      </c>
      <c r="I17" s="788">
        <v>1</v>
      </c>
      <c r="J17" s="60">
        <v>1</v>
      </c>
      <c r="K17" s="1186">
        <f>(J16)*(1/H16)*(4/2)*(H17/1)</f>
        <v>0.62036088154269975</v>
      </c>
      <c r="L17" s="1187"/>
      <c r="M17" s="60">
        <f>J17-K17</f>
        <v>0.37963911845730025</v>
      </c>
      <c r="N17" s="788">
        <f>M17/I17</f>
        <v>0.37963911845730025</v>
      </c>
      <c r="O17" s="1039"/>
    </row>
    <row r="18" spans="3:15" x14ac:dyDescent="0.25">
      <c r="F18" s="69" t="s">
        <v>62</v>
      </c>
      <c r="G18" s="74" t="s">
        <v>64</v>
      </c>
      <c r="H18" s="76">
        <v>60.052</v>
      </c>
      <c r="I18" s="788">
        <v>1.05</v>
      </c>
      <c r="J18" s="60">
        <v>0</v>
      </c>
      <c r="K18" s="678">
        <f>(J16*(1/H16)*(1/2)*(H18/1))</f>
        <v>0.51697658402203861</v>
      </c>
      <c r="L18" s="668">
        <f>(J17)*(1/H17)*(1/4)*(H18/1)</f>
        <v>0.83334813558268317</v>
      </c>
      <c r="M18" s="60">
        <f>K18</f>
        <v>0.51697658402203861</v>
      </c>
      <c r="N18" s="676">
        <f>M18/I18</f>
        <v>0.49235865144956054</v>
      </c>
      <c r="O18" s="1039"/>
    </row>
    <row r="19" spans="3:15" ht="19.5" thickBot="1" x14ac:dyDescent="0.3">
      <c r="F19" s="70" t="s">
        <v>63</v>
      </c>
      <c r="G19" s="77" t="s">
        <v>65</v>
      </c>
      <c r="H19" s="78">
        <v>32.04</v>
      </c>
      <c r="I19" s="488">
        <v>0.79200000000000004</v>
      </c>
      <c r="J19" s="474">
        <v>0</v>
      </c>
      <c r="K19" s="679">
        <f>(J16*(1/H16)*(4/2)*(H19/1))</f>
        <v>1.1033057851239669</v>
      </c>
      <c r="L19" s="670">
        <f>(J17)*(1/H17)*(4/4)*(H19/1)</f>
        <v>1.7784902593798153</v>
      </c>
      <c r="M19" s="474">
        <f>K19</f>
        <v>1.1033057851239669</v>
      </c>
      <c r="N19" s="488">
        <f>M19/I19</f>
        <v>1.3930628600050088</v>
      </c>
      <c r="O19" s="1039"/>
    </row>
    <row r="20" spans="3:15" ht="16.5" thickBot="1" x14ac:dyDescent="0.3">
      <c r="F20" s="1263" t="s">
        <v>53</v>
      </c>
      <c r="G20" s="1264"/>
      <c r="H20" s="1264"/>
      <c r="I20" s="1265"/>
      <c r="J20" s="71">
        <f>SUM(J16:J19)</f>
        <v>2</v>
      </c>
      <c r="K20" s="671">
        <f>SUM(K16:L17)-SUM(K18:K19)</f>
        <v>7.8512396694208064E-5</v>
      </c>
      <c r="L20" s="672">
        <f>SUM(K16:L17)-SUM(L18:L19)</f>
        <v>-0.99147751341979862</v>
      </c>
      <c r="M20" s="71">
        <f>SUM(M16:M19)</f>
        <v>1.9999214876033058</v>
      </c>
      <c r="N20" s="815">
        <f>SUM(N16:N19)</f>
        <v>2.2650606299118694</v>
      </c>
      <c r="O20" s="884"/>
    </row>
    <row r="21" spans="3:15" x14ac:dyDescent="0.25">
      <c r="F21" s="1225" t="s">
        <v>76</v>
      </c>
      <c r="G21" s="1226"/>
      <c r="H21" s="1226"/>
      <c r="I21" s="1226"/>
      <c r="J21" s="1226"/>
      <c r="K21" s="1226"/>
      <c r="L21" s="1226"/>
      <c r="M21" s="1226"/>
      <c r="N21" s="1226"/>
      <c r="O21" s="1227"/>
    </row>
    <row r="22" spans="3:15" ht="19.5" thickBot="1" x14ac:dyDescent="0.3">
      <c r="F22" s="1287" t="s">
        <v>135</v>
      </c>
      <c r="G22" s="1288"/>
      <c r="H22" s="1288"/>
      <c r="I22" s="1288"/>
      <c r="J22" s="1288"/>
      <c r="K22" s="1288"/>
      <c r="L22" s="1288"/>
      <c r="M22" s="1288"/>
      <c r="N22" s="1288"/>
      <c r="O22" s="1289"/>
    </row>
    <row r="23" spans="3:15" ht="35.25" customHeight="1" thickBot="1" x14ac:dyDescent="0.3">
      <c r="F23" s="783" t="s">
        <v>0</v>
      </c>
      <c r="G23" s="826" t="s">
        <v>1</v>
      </c>
      <c r="H23" s="783" t="s">
        <v>2</v>
      </c>
      <c r="I23" s="783" t="s">
        <v>164</v>
      </c>
      <c r="J23" s="773" t="s">
        <v>779</v>
      </c>
      <c r="K23" s="879" t="s">
        <v>775</v>
      </c>
      <c r="L23" s="880"/>
      <c r="M23" s="783" t="s">
        <v>776</v>
      </c>
      <c r="N23" s="784" t="s">
        <v>777</v>
      </c>
      <c r="O23" s="780" t="s">
        <v>3</v>
      </c>
    </row>
    <row r="24" spans="3:15" ht="31.5" customHeight="1" x14ac:dyDescent="0.25">
      <c r="F24" s="83" t="s">
        <v>62</v>
      </c>
      <c r="G24" s="85" t="s">
        <v>64</v>
      </c>
      <c r="H24" s="87">
        <v>60.052</v>
      </c>
      <c r="I24" s="63">
        <v>1.05</v>
      </c>
      <c r="J24" s="786">
        <v>1</v>
      </c>
      <c r="K24" s="977">
        <f>J24</f>
        <v>1</v>
      </c>
      <c r="L24" s="979"/>
      <c r="M24" s="786">
        <f>J24-K24</f>
        <v>0</v>
      </c>
      <c r="N24" s="63">
        <f>M24/I24</f>
        <v>0</v>
      </c>
      <c r="O24" s="1191" t="s">
        <v>820</v>
      </c>
    </row>
    <row r="25" spans="3:15" ht="18.75" x14ac:dyDescent="0.25">
      <c r="F25" s="56" t="s">
        <v>45</v>
      </c>
      <c r="G25" s="59" t="s">
        <v>46</v>
      </c>
      <c r="H25" s="692">
        <v>18.015280000000001</v>
      </c>
      <c r="I25" s="60">
        <v>1</v>
      </c>
      <c r="J25" s="788">
        <v>1</v>
      </c>
      <c r="K25" s="1186">
        <f>(J24*(1/H24)*(10/10)*(H25/1))</f>
        <v>0.29999467128488644</v>
      </c>
      <c r="L25" s="1187"/>
      <c r="M25" s="788">
        <f>J25-K25</f>
        <v>0.70000532871511356</v>
      </c>
      <c r="N25" s="60">
        <f>M25/I25</f>
        <v>0.70000532871511356</v>
      </c>
      <c r="O25" s="1191"/>
    </row>
    <row r="26" spans="3:15" ht="18.75" x14ac:dyDescent="0.25">
      <c r="F26" s="56" t="s">
        <v>456</v>
      </c>
      <c r="G26" s="680" t="s">
        <v>66</v>
      </c>
      <c r="H26" s="692">
        <v>76.05</v>
      </c>
      <c r="I26" s="60">
        <v>1.49</v>
      </c>
      <c r="J26" s="788">
        <v>0</v>
      </c>
      <c r="K26" s="681">
        <f>(J24*(1/H24)*(10/10)*(H26/1))</f>
        <v>1.2664024512089522</v>
      </c>
      <c r="L26" s="682">
        <f>(J25)*(1/H25)*(10/10)*(H26/1)</f>
        <v>4.2214164864492805</v>
      </c>
      <c r="M26" s="788">
        <f>K26</f>
        <v>1.2664024512089522</v>
      </c>
      <c r="N26" s="60">
        <f>M26/I26</f>
        <v>0.84993453101271965</v>
      </c>
      <c r="O26" s="1191"/>
    </row>
    <row r="27" spans="3:15" ht="19.5" thickBot="1" x14ac:dyDescent="0.3">
      <c r="F27" s="84"/>
      <c r="G27" s="86" t="s">
        <v>67</v>
      </c>
      <c r="H27" s="88">
        <v>20.158799999999999</v>
      </c>
      <c r="I27" s="418">
        <v>1</v>
      </c>
      <c r="J27" s="89">
        <v>0</v>
      </c>
      <c r="K27" s="683">
        <f>(J24*(1/H24)*(1/10)*(H27/1))</f>
        <v>3.3568906947312335E-2</v>
      </c>
      <c r="L27" s="684">
        <f>(J25)*(1/H25)*(1/10)*(H27/1)</f>
        <v>0.11189834407236524</v>
      </c>
      <c r="M27" s="89">
        <f>K27</f>
        <v>3.3568906947312335E-2</v>
      </c>
      <c r="N27" s="418">
        <f>M27/I27</f>
        <v>3.3568906947312335E-2</v>
      </c>
      <c r="O27" s="1191"/>
    </row>
    <row r="28" spans="3:15" ht="16.5" thickBot="1" x14ac:dyDescent="0.3">
      <c r="F28" s="1263" t="s">
        <v>53</v>
      </c>
      <c r="G28" s="1264"/>
      <c r="H28" s="1264"/>
      <c r="I28" s="1265"/>
      <c r="J28" s="798">
        <f>SUM(J24:J27)</f>
        <v>2</v>
      </c>
      <c r="K28" s="630">
        <f>SUM(K24:L25)-SUM(K26:K27)</f>
        <v>2.331312862180468E-5</v>
      </c>
      <c r="L28" s="631">
        <f>SUM(K24:L25)-SUM(L26:L27)</f>
        <v>-3.0333201592367596</v>
      </c>
      <c r="M28" s="798">
        <f>SUM(M24:M27)</f>
        <v>1.9999766868713782</v>
      </c>
      <c r="N28" s="830">
        <f>SUM(N24:N27)</f>
        <v>1.5835087666751455</v>
      </c>
      <c r="O28" s="892"/>
    </row>
    <row r="29" spans="3:15" x14ac:dyDescent="0.25">
      <c r="F29" s="1225" t="s">
        <v>77</v>
      </c>
      <c r="G29" s="1226"/>
      <c r="H29" s="1226"/>
      <c r="I29" s="1226"/>
      <c r="J29" s="1226"/>
      <c r="K29" s="1206"/>
      <c r="L29" s="1206"/>
      <c r="M29" s="1226"/>
      <c r="N29" s="1226"/>
      <c r="O29" s="1227"/>
    </row>
    <row r="30" spans="3:15" ht="19.5" thickBot="1" x14ac:dyDescent="0.3">
      <c r="F30" s="1333" t="s">
        <v>136</v>
      </c>
      <c r="G30" s="1334"/>
      <c r="H30" s="1334"/>
      <c r="I30" s="1334"/>
      <c r="J30" s="1334"/>
      <c r="K30" s="1334"/>
      <c r="L30" s="1334"/>
      <c r="M30" s="1334"/>
      <c r="N30" s="1334"/>
      <c r="O30" s="1335"/>
    </row>
    <row r="31" spans="3:15" ht="35.25" customHeight="1" thickBot="1" x14ac:dyDescent="0.3">
      <c r="F31" s="783" t="s">
        <v>0</v>
      </c>
      <c r="G31" s="826" t="s">
        <v>1</v>
      </c>
      <c r="H31" s="783" t="s">
        <v>2</v>
      </c>
      <c r="I31" s="783" t="s">
        <v>164</v>
      </c>
      <c r="J31" s="773" t="s">
        <v>779</v>
      </c>
      <c r="K31" s="879" t="s">
        <v>775</v>
      </c>
      <c r="L31" s="880"/>
      <c r="M31" s="783" t="s">
        <v>776</v>
      </c>
      <c r="N31" s="784" t="s">
        <v>777</v>
      </c>
      <c r="O31" s="780" t="s">
        <v>3</v>
      </c>
    </row>
    <row r="32" spans="3:15" ht="15.75" customHeight="1" x14ac:dyDescent="0.25">
      <c r="F32" s="83" t="s">
        <v>62</v>
      </c>
      <c r="G32" s="85" t="s">
        <v>64</v>
      </c>
      <c r="H32" s="87">
        <v>60.052</v>
      </c>
      <c r="I32" s="63">
        <v>1.05</v>
      </c>
      <c r="J32" s="786">
        <v>1</v>
      </c>
      <c r="K32" s="977">
        <f>J32</f>
        <v>1</v>
      </c>
      <c r="L32" s="979"/>
      <c r="M32" s="786">
        <f>J32-K32</f>
        <v>0</v>
      </c>
      <c r="N32" s="63">
        <f>M32/I32</f>
        <v>0</v>
      </c>
      <c r="O32" s="1191" t="s">
        <v>821</v>
      </c>
    </row>
    <row r="33" spans="6:15" ht="18.75" x14ac:dyDescent="0.25">
      <c r="F33" s="56" t="s">
        <v>45</v>
      </c>
      <c r="G33" s="59" t="s">
        <v>46</v>
      </c>
      <c r="H33" s="692">
        <v>18.015280000000001</v>
      </c>
      <c r="I33" s="60">
        <v>1</v>
      </c>
      <c r="J33" s="788">
        <v>1</v>
      </c>
      <c r="K33" s="1186">
        <f>(J32*(1/H32)*(2/1)*(H33/1))</f>
        <v>0.59998934256977288</v>
      </c>
      <c r="L33" s="1187"/>
      <c r="M33" s="788">
        <f>J33-K33</f>
        <v>0.40001065743022712</v>
      </c>
      <c r="N33" s="60">
        <f>M33/I33</f>
        <v>0.40001065743022712</v>
      </c>
      <c r="O33" s="1191"/>
    </row>
    <row r="34" spans="6:15" ht="19.5" thickBot="1" x14ac:dyDescent="0.3">
      <c r="F34" s="84" t="s">
        <v>68</v>
      </c>
      <c r="G34" s="86" t="s">
        <v>69</v>
      </c>
      <c r="H34" s="88">
        <v>48.040999999999997</v>
      </c>
      <c r="I34" s="418">
        <v>1.1200000000000001</v>
      </c>
      <c r="J34" s="89">
        <v>0</v>
      </c>
      <c r="K34" s="685">
        <f>(J32*(1/H32)*(2/1)*(H34/1))</f>
        <v>1.5999800173183241</v>
      </c>
      <c r="L34" s="686">
        <f>(J33)*(1/H33)*(2/2)*(H34/1)</f>
        <v>2.666680728803549</v>
      </c>
      <c r="M34" s="89">
        <f>K34</f>
        <v>1.5999800173183241</v>
      </c>
      <c r="N34" s="418">
        <f>M34/I34</f>
        <v>1.4285535868913606</v>
      </c>
      <c r="O34" s="1191"/>
    </row>
    <row r="35" spans="6:15" ht="16.5" thickBot="1" x14ac:dyDescent="0.3">
      <c r="F35" s="1169" t="s">
        <v>53</v>
      </c>
      <c r="G35" s="1266"/>
      <c r="H35" s="1266"/>
      <c r="I35" s="1266"/>
      <c r="J35" s="802">
        <f>SUM(J32:J34)</f>
        <v>2</v>
      </c>
      <c r="K35" s="630">
        <f>SUM(K32:L33)-SUM(K34)</f>
        <v>9.3252514488106897E-6</v>
      </c>
      <c r="L35" s="631">
        <f>SUM(K32:L33)-SUM(L34)</f>
        <v>-1.0666913862337761</v>
      </c>
      <c r="M35" s="798">
        <f>SUM(M32:M34)</f>
        <v>1.9999906747485512</v>
      </c>
      <c r="N35" s="830">
        <f>SUM(N32:N34)</f>
        <v>1.8285642443215877</v>
      </c>
      <c r="O35" s="1191"/>
    </row>
    <row r="36" spans="6:15" x14ac:dyDescent="0.25">
      <c r="F36" s="1225"/>
      <c r="G36" s="1226"/>
      <c r="H36" s="1226"/>
      <c r="I36" s="1226"/>
      <c r="J36" s="1226"/>
      <c r="K36" s="1206"/>
      <c r="L36" s="1206"/>
      <c r="M36" s="1226"/>
      <c r="N36" s="1226"/>
      <c r="O36" s="1227"/>
    </row>
    <row r="37" spans="6:15" ht="19.5" thickBot="1" x14ac:dyDescent="0.35">
      <c r="F37" s="1297" t="s">
        <v>137</v>
      </c>
      <c r="G37" s="1298"/>
      <c r="H37" s="1298"/>
      <c r="I37" s="1298"/>
      <c r="J37" s="1298"/>
      <c r="K37" s="1298"/>
      <c r="L37" s="1298"/>
      <c r="M37" s="1298"/>
      <c r="N37" s="1298"/>
      <c r="O37" s="1299"/>
    </row>
    <row r="38" spans="6:15" ht="35.25" customHeight="1" thickBot="1" x14ac:dyDescent="0.3">
      <c r="F38" s="783" t="s">
        <v>0</v>
      </c>
      <c r="G38" s="826" t="s">
        <v>1</v>
      </c>
      <c r="H38" s="783" t="s">
        <v>2</v>
      </c>
      <c r="I38" s="783" t="s">
        <v>164</v>
      </c>
      <c r="J38" s="773" t="s">
        <v>779</v>
      </c>
      <c r="K38" s="879" t="s">
        <v>775</v>
      </c>
      <c r="L38" s="880"/>
      <c r="M38" s="783" t="s">
        <v>776</v>
      </c>
      <c r="N38" s="784" t="s">
        <v>777</v>
      </c>
      <c r="O38" s="780" t="s">
        <v>3</v>
      </c>
    </row>
    <row r="39" spans="6:15" ht="18.75" customHeight="1" x14ac:dyDescent="0.25">
      <c r="F39" s="83" t="s">
        <v>70</v>
      </c>
      <c r="G39" s="85" t="s">
        <v>71</v>
      </c>
      <c r="H39" s="87">
        <v>138.12100000000001</v>
      </c>
      <c r="I39" s="785">
        <v>1.4430000000000001</v>
      </c>
      <c r="J39" s="785">
        <v>0.05</v>
      </c>
      <c r="K39" s="977">
        <f>J39</f>
        <v>0.05</v>
      </c>
      <c r="L39" s="979"/>
      <c r="M39" s="787">
        <f>J39-K39</f>
        <v>0</v>
      </c>
      <c r="N39" s="787">
        <f>M39/I39</f>
        <v>0</v>
      </c>
      <c r="O39" s="883" t="s">
        <v>536</v>
      </c>
    </row>
    <row r="40" spans="6:15" ht="18.75" x14ac:dyDescent="0.25">
      <c r="F40" s="56" t="s">
        <v>45</v>
      </c>
      <c r="G40" s="59" t="s">
        <v>46</v>
      </c>
      <c r="H40" s="692">
        <v>18.015280000000001</v>
      </c>
      <c r="I40" s="770">
        <v>1</v>
      </c>
      <c r="J40" s="770">
        <v>1</v>
      </c>
      <c r="K40" s="1186">
        <f>(J39*(1/H39)*(8/2)*(H40/1))</f>
        <v>2.6086228741465819E-2</v>
      </c>
      <c r="L40" s="1187"/>
      <c r="M40" s="771">
        <f>K40+J40</f>
        <v>1.0260862287414658</v>
      </c>
      <c r="N40" s="771">
        <f>M40/I40</f>
        <v>1.0260862287414658</v>
      </c>
      <c r="O40" s="1039"/>
    </row>
    <row r="41" spans="6:15" ht="19.5" thickBot="1" x14ac:dyDescent="0.3">
      <c r="F41" s="84" t="s">
        <v>62</v>
      </c>
      <c r="G41" s="64" t="s">
        <v>72</v>
      </c>
      <c r="H41" s="88">
        <v>60.052</v>
      </c>
      <c r="I41" s="649">
        <v>1.05</v>
      </c>
      <c r="J41" s="649">
        <v>0</v>
      </c>
      <c r="K41" s="825">
        <f>(J39)*(1/H39)*(7/2)*(H41/1)</f>
        <v>7.6086185301293782E-2</v>
      </c>
      <c r="L41" s="664">
        <f>(J40)*(1/H40)*(7/8)*(H41/1)</f>
        <v>2.9167184745393913</v>
      </c>
      <c r="M41" s="650">
        <f>K41</f>
        <v>7.6086185301293782E-2</v>
      </c>
      <c r="N41" s="650">
        <f>M41/I41</f>
        <v>7.2463033620279796E-2</v>
      </c>
      <c r="O41" s="1039"/>
    </row>
    <row r="42" spans="6:15" ht="24.75" customHeight="1" thickBot="1" x14ac:dyDescent="0.3">
      <c r="F42" s="1170" t="s">
        <v>53</v>
      </c>
      <c r="G42" s="1300"/>
      <c r="H42" s="1300"/>
      <c r="I42" s="1300"/>
      <c r="J42" s="816">
        <f>SUM(J39:J41)</f>
        <v>1.05</v>
      </c>
      <c r="K42" s="809">
        <f>SUM(K39:L40)-SUM(K41)</f>
        <v>4.3440172042830127E-8</v>
      </c>
      <c r="L42" s="322">
        <f>SUM(K39:L40)-SUM(L41)</f>
        <v>-2.8406322457979254</v>
      </c>
      <c r="M42" s="818">
        <f>SUM(M39:M41)</f>
        <v>1.1021724140427596</v>
      </c>
      <c r="N42" s="818">
        <f>SUM(N39:N41)</f>
        <v>1.0985492623617457</v>
      </c>
      <c r="O42" s="884"/>
    </row>
    <row r="43" spans="6:15" x14ac:dyDescent="0.25">
      <c r="F43" s="1225" t="s">
        <v>78</v>
      </c>
      <c r="G43" s="1226"/>
      <c r="H43" s="1226"/>
      <c r="I43" s="1226"/>
      <c r="J43" s="1226"/>
      <c r="K43" s="1226"/>
      <c r="L43" s="1226"/>
      <c r="M43" s="1226"/>
      <c r="N43" s="1226"/>
      <c r="O43" s="1227"/>
    </row>
    <row r="44" spans="6:15" ht="17.25" thickBot="1" x14ac:dyDescent="0.3">
      <c r="F44" s="1215" t="s">
        <v>579</v>
      </c>
      <c r="G44" s="1216"/>
      <c r="H44" s="1216"/>
      <c r="I44" s="1216"/>
      <c r="J44" s="1216"/>
      <c r="K44" s="1216"/>
      <c r="L44" s="1216"/>
      <c r="M44" s="1216"/>
      <c r="N44" s="1216"/>
      <c r="O44" s="1217"/>
    </row>
    <row r="45" spans="6:15" ht="35.25" customHeight="1" thickBot="1" x14ac:dyDescent="0.3">
      <c r="F45" s="783" t="s">
        <v>0</v>
      </c>
      <c r="G45" s="783" t="s">
        <v>1</v>
      </c>
      <c r="H45" s="783" t="s">
        <v>2</v>
      </c>
      <c r="I45" s="783" t="s">
        <v>164</v>
      </c>
      <c r="J45" s="773" t="s">
        <v>779</v>
      </c>
      <c r="K45" s="879" t="s">
        <v>775</v>
      </c>
      <c r="L45" s="880"/>
      <c r="M45" s="783" t="s">
        <v>776</v>
      </c>
      <c r="N45" s="784" t="s">
        <v>777</v>
      </c>
      <c r="O45" s="780" t="s">
        <v>3</v>
      </c>
    </row>
    <row r="46" spans="6:15" ht="23.25" customHeight="1" x14ac:dyDescent="0.25">
      <c r="F46" s="95" t="s">
        <v>73</v>
      </c>
      <c r="G46" s="94" t="s">
        <v>74</v>
      </c>
      <c r="H46" s="804">
        <v>122.12</v>
      </c>
      <c r="I46" s="829">
        <v>1.27</v>
      </c>
      <c r="J46" s="600">
        <v>0.05</v>
      </c>
      <c r="K46" s="1184">
        <f>J46</f>
        <v>0.05</v>
      </c>
      <c r="L46" s="1230"/>
      <c r="M46" s="63">
        <f>J46-K46</f>
        <v>0</v>
      </c>
      <c r="N46" s="63">
        <f>M46/I46</f>
        <v>0</v>
      </c>
      <c r="O46" s="1192" t="s">
        <v>822</v>
      </c>
    </row>
    <row r="47" spans="6:15" ht="28.5" customHeight="1" x14ac:dyDescent="0.25">
      <c r="F47" s="69" t="s">
        <v>45</v>
      </c>
      <c r="G47" s="59" t="s">
        <v>46</v>
      </c>
      <c r="H47" s="76">
        <v>18.015280000000001</v>
      </c>
      <c r="I47" s="60">
        <v>1</v>
      </c>
      <c r="J47" s="770">
        <v>1</v>
      </c>
      <c r="K47" s="1228">
        <f>(J46*((1/H46)*(1/1)*(H47/1)))</f>
        <v>7.3760563380281703E-3</v>
      </c>
      <c r="L47" s="1231"/>
      <c r="M47" s="60">
        <f>J47-K47</f>
        <v>0.99262394366197182</v>
      </c>
      <c r="N47" s="60">
        <f>M47/I47</f>
        <v>0.99262394366197182</v>
      </c>
      <c r="O47" s="1193"/>
    </row>
    <row r="48" spans="6:15" ht="16.5" x14ac:dyDescent="0.3">
      <c r="F48" s="69" t="s">
        <v>48</v>
      </c>
      <c r="G48" s="419" t="s">
        <v>581</v>
      </c>
      <c r="H48" s="805">
        <v>19.02</v>
      </c>
      <c r="I48" s="60">
        <v>1.1599999999999999</v>
      </c>
      <c r="J48" s="770">
        <v>0</v>
      </c>
      <c r="K48" s="681">
        <f>(J46/H46)*(1/1)*(H48/1)</f>
        <v>7.7874222076645926E-3</v>
      </c>
      <c r="L48" s="689">
        <f>(J47)*(1/H47)*(1/1)*(H48/1)</f>
        <v>1.0557704348752837</v>
      </c>
      <c r="M48" s="60">
        <f>K48</f>
        <v>7.7874222076645926E-3</v>
      </c>
      <c r="N48" s="60">
        <f>M48/I48</f>
        <v>6.7132950066074075E-3</v>
      </c>
      <c r="O48" s="1193"/>
    </row>
    <row r="49" spans="2:16" ht="17.25" thickBot="1" x14ac:dyDescent="0.35">
      <c r="F49" s="72" t="s">
        <v>823</v>
      </c>
      <c r="G49" s="420" t="s">
        <v>580</v>
      </c>
      <c r="H49" s="193">
        <v>121.11</v>
      </c>
      <c r="I49" s="64">
        <v>1.5</v>
      </c>
      <c r="J49" s="649">
        <v>0</v>
      </c>
      <c r="K49" s="683">
        <f>(J46/H46)*(1/1)*(H49/1)</f>
        <v>4.9586472322305931E-2</v>
      </c>
      <c r="L49" s="690">
        <f>(J47)*(1/H47)*(1/1)*(H49/1)</f>
        <v>6.7226265703336283</v>
      </c>
      <c r="M49" s="64">
        <f>K49</f>
        <v>4.9586472322305931E-2</v>
      </c>
      <c r="N49" s="64">
        <f>M49/I49</f>
        <v>3.3057648214870623E-2</v>
      </c>
      <c r="O49" s="1193"/>
    </row>
    <row r="50" spans="2:16" ht="24.75" customHeight="1" thickBot="1" x14ac:dyDescent="0.3">
      <c r="F50" s="863" t="s">
        <v>180</v>
      </c>
      <c r="G50" s="864"/>
      <c r="H50" s="864"/>
      <c r="I50" s="864"/>
      <c r="J50" s="71">
        <f>SUM(J46:J49)</f>
        <v>1.05</v>
      </c>
      <c r="K50" s="687">
        <f>SUM(K46:L47)-SUM(K48:K49)</f>
        <v>2.161808057649095E-6</v>
      </c>
      <c r="L50" s="688">
        <f>SUM(K46:L47)-SUM(L48:L49)</f>
        <v>-7.7210209488708843</v>
      </c>
      <c r="M50" s="815">
        <f>SUM(M46:M49)</f>
        <v>1.0499978381919421</v>
      </c>
      <c r="N50" s="71">
        <f>SUM(N46:N49)</f>
        <v>1.0323948868834498</v>
      </c>
      <c r="O50" s="886"/>
    </row>
    <row r="51" spans="2:16" ht="16.5" thickBot="1" x14ac:dyDescent="0.3"/>
    <row r="52" spans="2:16" x14ac:dyDescent="0.25">
      <c r="F52" s="1225" t="s">
        <v>79</v>
      </c>
      <c r="G52" s="1226"/>
      <c r="H52" s="1226"/>
      <c r="I52" s="1226"/>
      <c r="J52" s="1226"/>
      <c r="K52" s="1226"/>
      <c r="L52" s="1226"/>
      <c r="M52" s="1226"/>
      <c r="N52" s="1226"/>
      <c r="O52" s="1227"/>
    </row>
    <row r="53" spans="2:16" ht="15.75" customHeight="1" thickBot="1" x14ac:dyDescent="0.35">
      <c r="F53" s="1188"/>
      <c r="G53" s="1189"/>
      <c r="H53" s="1189"/>
      <c r="I53" s="1189"/>
      <c r="J53" s="1189"/>
      <c r="K53" s="1189"/>
      <c r="L53" s="1189"/>
      <c r="M53" s="1189"/>
      <c r="N53" s="1189"/>
      <c r="O53" s="1190"/>
    </row>
    <row r="54" spans="2:16" ht="42.75" customHeight="1" thickBot="1" x14ac:dyDescent="0.3">
      <c r="F54" s="783" t="s">
        <v>0</v>
      </c>
      <c r="G54" s="826" t="s">
        <v>1</v>
      </c>
      <c r="H54" s="783" t="s">
        <v>2</v>
      </c>
      <c r="I54" s="783" t="s">
        <v>164</v>
      </c>
      <c r="J54" s="773" t="s">
        <v>779</v>
      </c>
      <c r="K54" s="879" t="s">
        <v>775</v>
      </c>
      <c r="L54" s="880"/>
      <c r="M54" s="783" t="s">
        <v>776</v>
      </c>
      <c r="N54" s="784" t="s">
        <v>777</v>
      </c>
      <c r="O54" s="780" t="s">
        <v>3</v>
      </c>
    </row>
    <row r="55" spans="2:16" s="33" customFormat="1" ht="65.25" customHeight="1" thickBot="1" x14ac:dyDescent="0.3">
      <c r="B55" s="361"/>
      <c r="C55" s="421"/>
      <c r="D55" s="421"/>
      <c r="E55" s="500"/>
      <c r="F55" s="93" t="s">
        <v>80</v>
      </c>
      <c r="G55" s="92" t="s">
        <v>81</v>
      </c>
      <c r="H55" s="811">
        <v>58.44</v>
      </c>
      <c r="I55" s="71">
        <v>2.16</v>
      </c>
      <c r="J55" s="817">
        <v>1</v>
      </c>
      <c r="K55" s="1208">
        <v>0</v>
      </c>
      <c r="L55" s="1209"/>
      <c r="M55" s="817">
        <f>J55</f>
        <v>1</v>
      </c>
      <c r="N55" s="71">
        <f>M55/I55</f>
        <v>0.46296296296296291</v>
      </c>
      <c r="O55" s="974" t="s">
        <v>535</v>
      </c>
      <c r="P55" s="421"/>
    </row>
    <row r="56" spans="2:16" ht="16.5" thickBot="1" x14ac:dyDescent="0.3">
      <c r="F56" s="863" t="s">
        <v>180</v>
      </c>
      <c r="G56" s="864"/>
      <c r="H56" s="864"/>
      <c r="I56" s="864"/>
      <c r="J56" s="71">
        <f>SUM(J55)</f>
        <v>1</v>
      </c>
      <c r="K56" s="1197">
        <f>SUM(K55)</f>
        <v>0</v>
      </c>
      <c r="L56" s="1198"/>
      <c r="M56" s="815">
        <f>SUM(M55)</f>
        <v>1</v>
      </c>
      <c r="N56" s="71">
        <f>SUM(N55)</f>
        <v>0.46296296296296291</v>
      </c>
      <c r="O56" s="976"/>
    </row>
    <row r="57" spans="2:16" ht="16.5" thickBot="1" x14ac:dyDescent="0.3"/>
    <row r="58" spans="2:16" x14ac:dyDescent="0.25">
      <c r="F58" s="1225" t="s">
        <v>82</v>
      </c>
      <c r="G58" s="1226"/>
      <c r="H58" s="1226"/>
      <c r="I58" s="1226"/>
      <c r="J58" s="1226"/>
      <c r="K58" s="1226"/>
      <c r="L58" s="1226"/>
      <c r="M58" s="1226"/>
      <c r="N58" s="1226"/>
      <c r="O58" s="1227"/>
    </row>
    <row r="59" spans="2:16" ht="19.5" thickBot="1" x14ac:dyDescent="0.35">
      <c r="F59" s="91"/>
      <c r="G59" s="13"/>
      <c r="H59" s="14"/>
      <c r="I59" s="822"/>
      <c r="J59" s="822"/>
      <c r="K59" s="822"/>
      <c r="L59" s="10"/>
      <c r="M59" s="15"/>
      <c r="N59" s="15"/>
      <c r="O59" s="11"/>
    </row>
    <row r="60" spans="2:16" ht="35.25" customHeight="1" thickBot="1" x14ac:dyDescent="0.3">
      <c r="F60" s="783" t="s">
        <v>0</v>
      </c>
      <c r="G60" s="826" t="s">
        <v>1</v>
      </c>
      <c r="H60" s="783" t="s">
        <v>2</v>
      </c>
      <c r="I60" s="783" t="s">
        <v>164</v>
      </c>
      <c r="J60" s="773" t="s">
        <v>779</v>
      </c>
      <c r="K60" s="879" t="s">
        <v>775</v>
      </c>
      <c r="L60" s="880"/>
      <c r="M60" s="783" t="s">
        <v>776</v>
      </c>
      <c r="N60" s="784" t="s">
        <v>777</v>
      </c>
      <c r="O60" s="780" t="s">
        <v>3</v>
      </c>
    </row>
    <row r="61" spans="2:16" s="19" customFormat="1" ht="32.25" customHeight="1" thickBot="1" x14ac:dyDescent="0.3">
      <c r="B61" s="24"/>
      <c r="C61" s="613"/>
      <c r="D61" s="823"/>
      <c r="E61" s="820"/>
      <c r="F61" s="794" t="s">
        <v>60</v>
      </c>
      <c r="G61" s="96" t="s">
        <v>61</v>
      </c>
      <c r="H61" s="811">
        <v>58.08</v>
      </c>
      <c r="I61" s="1">
        <v>0.78400000000000003</v>
      </c>
      <c r="J61" s="811">
        <v>5</v>
      </c>
      <c r="K61" s="1210">
        <v>0</v>
      </c>
      <c r="L61" s="1211"/>
      <c r="M61" s="811">
        <f>J61</f>
        <v>5</v>
      </c>
      <c r="N61" s="1">
        <f>M61/I61</f>
        <v>6.3775510204081627</v>
      </c>
      <c r="O61" s="883" t="s">
        <v>755</v>
      </c>
      <c r="P61" s="823"/>
    </row>
    <row r="62" spans="2:16" ht="16.5" thickBot="1" x14ac:dyDescent="0.3">
      <c r="F62" s="863" t="s">
        <v>180</v>
      </c>
      <c r="G62" s="864"/>
      <c r="H62" s="864"/>
      <c r="I62" s="864"/>
      <c r="J62" s="71">
        <f>SUM(J61)</f>
        <v>5</v>
      </c>
      <c r="K62" s="1197">
        <f>SUM(K61)</f>
        <v>0</v>
      </c>
      <c r="L62" s="1198"/>
      <c r="M62" s="815">
        <f>SUM(M61)</f>
        <v>5</v>
      </c>
      <c r="N62" s="71">
        <f>SUM(N61)</f>
        <v>6.3775510204081627</v>
      </c>
      <c r="O62" s="884"/>
    </row>
    <row r="63" spans="2:16" ht="16.5" thickBot="1" x14ac:dyDescent="0.3"/>
    <row r="64" spans="2:16" x14ac:dyDescent="0.25">
      <c r="F64" s="1225" t="s">
        <v>582</v>
      </c>
      <c r="G64" s="1226"/>
      <c r="H64" s="1226"/>
      <c r="I64" s="1226"/>
      <c r="J64" s="1226"/>
      <c r="K64" s="1226"/>
      <c r="L64" s="1226"/>
      <c r="M64" s="1226"/>
      <c r="N64" s="1226"/>
      <c r="O64" s="1227"/>
    </row>
    <row r="65" spans="6:15" ht="17.25" thickBot="1" x14ac:dyDescent="0.3">
      <c r="F65" s="1215" t="s">
        <v>579</v>
      </c>
      <c r="G65" s="1216"/>
      <c r="H65" s="1216"/>
      <c r="I65" s="1216"/>
      <c r="J65" s="1216"/>
      <c r="K65" s="1216"/>
      <c r="L65" s="1216"/>
      <c r="M65" s="1216"/>
      <c r="N65" s="1216"/>
      <c r="O65" s="1217"/>
    </row>
    <row r="66" spans="6:15" ht="35.25" customHeight="1" thickBot="1" x14ac:dyDescent="0.3">
      <c r="F66" s="783" t="s">
        <v>0</v>
      </c>
      <c r="G66" s="783" t="s">
        <v>1</v>
      </c>
      <c r="H66" s="783" t="s">
        <v>2</v>
      </c>
      <c r="I66" s="783" t="s">
        <v>164</v>
      </c>
      <c r="J66" s="773" t="s">
        <v>779</v>
      </c>
      <c r="K66" s="879" t="s">
        <v>775</v>
      </c>
      <c r="L66" s="880"/>
      <c r="M66" s="783" t="s">
        <v>776</v>
      </c>
      <c r="N66" s="784" t="s">
        <v>777</v>
      </c>
      <c r="O66" s="780" t="s">
        <v>3</v>
      </c>
    </row>
    <row r="67" spans="6:15" ht="19.5" customHeight="1" x14ac:dyDescent="0.25">
      <c r="F67" s="95" t="s">
        <v>73</v>
      </c>
      <c r="G67" s="94" t="s">
        <v>74</v>
      </c>
      <c r="H67" s="804">
        <v>122.12</v>
      </c>
      <c r="I67" s="600">
        <v>1.27</v>
      </c>
      <c r="J67" s="600">
        <v>2</v>
      </c>
      <c r="K67" s="1184">
        <f>J67</f>
        <v>2</v>
      </c>
      <c r="L67" s="1185"/>
      <c r="M67" s="603">
        <f>J67-K67</f>
        <v>0</v>
      </c>
      <c r="N67" s="603">
        <f>M67/I67</f>
        <v>0</v>
      </c>
      <c r="O67" s="885" t="s">
        <v>824</v>
      </c>
    </row>
    <row r="68" spans="6:15" ht="28.5" customHeight="1" x14ac:dyDescent="0.25">
      <c r="F68" s="534" t="s">
        <v>45</v>
      </c>
      <c r="G68" s="59" t="s">
        <v>46</v>
      </c>
      <c r="H68" s="76">
        <v>18.015280000000001</v>
      </c>
      <c r="I68" s="770">
        <v>1</v>
      </c>
      <c r="J68" s="770">
        <v>100</v>
      </c>
      <c r="K68" s="1228">
        <f>(J67*((1/H67)*(1/1)*(H68/1)))</f>
        <v>0.29504225352112678</v>
      </c>
      <c r="L68" s="1229"/>
      <c r="M68" s="771">
        <f>J68-K68</f>
        <v>99.704957746478868</v>
      </c>
      <c r="N68" s="616">
        <f>M68/I68</f>
        <v>99.704957746478868</v>
      </c>
      <c r="O68" s="1193"/>
    </row>
    <row r="69" spans="6:15" ht="16.5" x14ac:dyDescent="0.3">
      <c r="F69" s="69" t="s">
        <v>48</v>
      </c>
      <c r="G69" s="419" t="s">
        <v>581</v>
      </c>
      <c r="H69" s="805">
        <v>19.02</v>
      </c>
      <c r="I69" s="770">
        <v>1.1599999999999999</v>
      </c>
      <c r="J69" s="770">
        <v>0</v>
      </c>
      <c r="K69" s="681">
        <f>(J67/H67)*(1/1)*(H69/1)</f>
        <v>0.31149688830658367</v>
      </c>
      <c r="L69" s="682">
        <f>(J68)*(1/H68)*(1/1)*(H69/1)</f>
        <v>105.57704348752837</v>
      </c>
      <c r="M69" s="771">
        <f>K69</f>
        <v>0.31149688830658367</v>
      </c>
      <c r="N69" s="771">
        <f>M69/I69</f>
        <v>0.26853180026429629</v>
      </c>
      <c r="O69" s="1218"/>
    </row>
    <row r="70" spans="6:15" ht="17.25" thickBot="1" x14ac:dyDescent="0.35">
      <c r="F70" s="72" t="s">
        <v>823</v>
      </c>
      <c r="G70" s="420" t="s">
        <v>580</v>
      </c>
      <c r="H70" s="193">
        <v>121.11</v>
      </c>
      <c r="I70" s="649">
        <v>1.5</v>
      </c>
      <c r="J70" s="649">
        <v>0</v>
      </c>
      <c r="K70" s="683">
        <f>(J67/H67)*(1/1)*(H70/1)</f>
        <v>1.9834588928922372</v>
      </c>
      <c r="L70" s="684">
        <f>(J68)*(1/H68)*(1/1)*(H70/1)</f>
        <v>672.26265703336287</v>
      </c>
      <c r="M70" s="650">
        <f>K70</f>
        <v>1.9834588928922372</v>
      </c>
      <c r="N70" s="650">
        <f>M70/I70</f>
        <v>1.3223059285948249</v>
      </c>
      <c r="O70" s="1218"/>
    </row>
    <row r="71" spans="6:15" ht="16.5" thickBot="1" x14ac:dyDescent="0.3">
      <c r="F71" s="863" t="s">
        <v>180</v>
      </c>
      <c r="G71" s="864"/>
      <c r="H71" s="864"/>
      <c r="I71" s="864"/>
      <c r="J71" s="802">
        <f>SUM(J67:J70)</f>
        <v>102</v>
      </c>
      <c r="K71" s="687">
        <f>SUM(K67:L68)-SUM(K69:K70)</f>
        <v>8.6472322305741756E-5</v>
      </c>
      <c r="L71" s="688">
        <f>SUM(K67:L68)-SUM(L69:L70)</f>
        <v>-775.5446582673701</v>
      </c>
      <c r="M71" s="803">
        <f>SUM(M67:M70)</f>
        <v>101.99991352767768</v>
      </c>
      <c r="N71" s="803">
        <f>SUM(N67:N70)</f>
        <v>101.295795475338</v>
      </c>
      <c r="O71" s="886"/>
    </row>
    <row r="72" spans="6:15" ht="16.5" thickBot="1" x14ac:dyDescent="0.3"/>
    <row r="73" spans="6:15" x14ac:dyDescent="0.25">
      <c r="F73" s="1225" t="s">
        <v>87</v>
      </c>
      <c r="G73" s="1226"/>
      <c r="H73" s="1226"/>
      <c r="I73" s="1226"/>
      <c r="J73" s="1226"/>
      <c r="K73" s="1226"/>
      <c r="L73" s="1226"/>
      <c r="M73" s="1226"/>
      <c r="N73" s="1226"/>
      <c r="O73" s="1227"/>
    </row>
    <row r="74" spans="6:15" ht="19.5" thickBot="1" x14ac:dyDescent="0.3">
      <c r="F74" s="1219" t="s">
        <v>138</v>
      </c>
      <c r="G74" s="1220"/>
      <c r="H74" s="1220"/>
      <c r="I74" s="1220"/>
      <c r="J74" s="1220"/>
      <c r="K74" s="1220"/>
      <c r="L74" s="1220"/>
      <c r="M74" s="1220"/>
      <c r="N74" s="1220"/>
      <c r="O74" s="1221"/>
    </row>
    <row r="75" spans="6:15" ht="35.25" customHeight="1" thickBot="1" x14ac:dyDescent="0.3">
      <c r="F75" s="782" t="s">
        <v>0</v>
      </c>
      <c r="G75" s="610" t="s">
        <v>1</v>
      </c>
      <c r="H75" s="782" t="s">
        <v>2</v>
      </c>
      <c r="I75" s="782" t="s">
        <v>164</v>
      </c>
      <c r="J75" s="773" t="s">
        <v>779</v>
      </c>
      <c r="K75" s="879" t="s">
        <v>775</v>
      </c>
      <c r="L75" s="880"/>
      <c r="M75" s="783" t="s">
        <v>776</v>
      </c>
      <c r="N75" s="784" t="s">
        <v>777</v>
      </c>
      <c r="O75" s="779" t="s">
        <v>3</v>
      </c>
    </row>
    <row r="76" spans="6:15" ht="15.75" customHeight="1" x14ac:dyDescent="0.25">
      <c r="F76" s="83" t="s">
        <v>88</v>
      </c>
      <c r="G76" s="63" t="s">
        <v>89</v>
      </c>
      <c r="H76" s="87">
        <v>22.989768999999999</v>
      </c>
      <c r="I76" s="829">
        <v>0.97</v>
      </c>
      <c r="J76" s="422">
        <v>2</v>
      </c>
      <c r="K76" s="1328">
        <f>J76</f>
        <v>2</v>
      </c>
      <c r="L76" s="1329"/>
      <c r="M76" s="786">
        <f>J76-K76</f>
        <v>0</v>
      </c>
      <c r="N76" s="63">
        <f>M76/I76</f>
        <v>0</v>
      </c>
      <c r="O76" s="1058" t="s">
        <v>825</v>
      </c>
    </row>
    <row r="77" spans="6:15" ht="18.75" x14ac:dyDescent="0.25">
      <c r="F77" s="56" t="s">
        <v>45</v>
      </c>
      <c r="G77" s="59" t="s">
        <v>46</v>
      </c>
      <c r="H77" s="692">
        <v>18.015280000000001</v>
      </c>
      <c r="I77" s="437">
        <v>1</v>
      </c>
      <c r="J77" s="788">
        <v>20</v>
      </c>
      <c r="K77" s="1232">
        <f>(J76)*(1/H76)*(2/2)*(H77/1)</f>
        <v>1.5672432376332273</v>
      </c>
      <c r="L77" s="1233"/>
      <c r="M77" s="788">
        <f>J77-K77</f>
        <v>18.432756762366772</v>
      </c>
      <c r="N77" s="60">
        <f>M77/I77</f>
        <v>18.432756762366772</v>
      </c>
      <c r="O77" s="1082"/>
    </row>
    <row r="78" spans="6:15" x14ac:dyDescent="0.25">
      <c r="F78" s="56" t="s">
        <v>83</v>
      </c>
      <c r="G78" s="59" t="s">
        <v>85</v>
      </c>
      <c r="H78" s="692">
        <v>39.997</v>
      </c>
      <c r="I78" s="105">
        <v>2.13</v>
      </c>
      <c r="J78" s="788">
        <v>0</v>
      </c>
      <c r="K78" s="681">
        <f>(J76/H76)*(2/2)*(H78/1)</f>
        <v>3.4795477936294184</v>
      </c>
      <c r="L78" s="682">
        <f>(J77)*(1/H77)*(2/2)*(H78/1)</f>
        <v>44.403417543329887</v>
      </c>
      <c r="M78" s="788">
        <f>K78</f>
        <v>3.4795477936294184</v>
      </c>
      <c r="N78" s="60">
        <f>M78/I78</f>
        <v>1.6335905134410416</v>
      </c>
      <c r="O78" s="1082"/>
    </row>
    <row r="79" spans="6:15" ht="19.5" thickBot="1" x14ac:dyDescent="0.3">
      <c r="F79" s="84" t="s">
        <v>84</v>
      </c>
      <c r="G79" s="86" t="s">
        <v>86</v>
      </c>
      <c r="H79" s="88">
        <v>2.0158900000000002</v>
      </c>
      <c r="I79" s="64">
        <v>1</v>
      </c>
      <c r="J79" s="89">
        <v>0</v>
      </c>
      <c r="K79" s="683">
        <f>(J76/H76)*(1/2)*(H79/1)</f>
        <v>8.7686396500982686E-2</v>
      </c>
      <c r="L79" s="684">
        <f>(J77)*(1/H77)*(1/2)*(H79/1)</f>
        <v>1.1189889915671587</v>
      </c>
      <c r="M79" s="788">
        <f>K79</f>
        <v>8.7686396500982686E-2</v>
      </c>
      <c r="N79" s="60">
        <f>M79/I79</f>
        <v>8.7686396500982686E-2</v>
      </c>
      <c r="O79" s="1082"/>
    </row>
    <row r="80" spans="6:15" ht="16.5" thickBot="1" x14ac:dyDescent="0.3">
      <c r="F80" s="1275" t="s">
        <v>53</v>
      </c>
      <c r="G80" s="1242"/>
      <c r="H80" s="1242"/>
      <c r="I80" s="1242"/>
      <c r="J80" s="813">
        <f>SUM(J76:J79)</f>
        <v>22</v>
      </c>
      <c r="K80" s="687">
        <f>SUM(K76:L77)-SUM(K78:K79)</f>
        <v>9.0475028260428303E-6</v>
      </c>
      <c r="L80" s="688">
        <f>SUM(K76:L77)-SUM(L78:L79)</f>
        <v>-41.955163297263816</v>
      </c>
      <c r="M80" s="813">
        <f>SUM(M76:M79)</f>
        <v>21.999990952497171</v>
      </c>
      <c r="N80" s="813">
        <f>SUM(N76:N79)</f>
        <v>20.154033672308795</v>
      </c>
      <c r="O80" s="1083"/>
    </row>
    <row r="81" spans="3:16" x14ac:dyDescent="0.25">
      <c r="F81" s="1225"/>
      <c r="G81" s="1226"/>
      <c r="H81" s="1226"/>
      <c r="I81" s="1226"/>
      <c r="J81" s="1226"/>
      <c r="K81" s="1226"/>
      <c r="L81" s="1226"/>
      <c r="M81" s="1226"/>
      <c r="N81" s="1226"/>
      <c r="O81" s="1227"/>
    </row>
    <row r="82" spans="3:16" ht="19.5" thickBot="1" x14ac:dyDescent="0.35">
      <c r="F82" s="1178" t="s">
        <v>694</v>
      </c>
      <c r="G82" s="1179"/>
      <c r="H82" s="1179"/>
      <c r="I82" s="1179"/>
      <c r="J82" s="1179"/>
      <c r="K82" s="1179"/>
      <c r="L82" s="1179"/>
      <c r="M82" s="1179"/>
      <c r="N82" s="1179"/>
      <c r="O82" s="1180"/>
    </row>
    <row r="83" spans="3:16" ht="45" customHeight="1" thickBot="1" x14ac:dyDescent="0.3">
      <c r="F83" s="781" t="s">
        <v>0</v>
      </c>
      <c r="G83" s="609" t="s">
        <v>1</v>
      </c>
      <c r="H83" s="781" t="s">
        <v>2</v>
      </c>
      <c r="I83" s="781" t="s">
        <v>164</v>
      </c>
      <c r="J83" s="781" t="s">
        <v>779</v>
      </c>
      <c r="K83" s="879" t="s">
        <v>775</v>
      </c>
      <c r="L83" s="880"/>
      <c r="M83" s="773" t="s">
        <v>776</v>
      </c>
      <c r="N83" s="784" t="s">
        <v>777</v>
      </c>
      <c r="O83" s="53" t="s">
        <v>3</v>
      </c>
    </row>
    <row r="84" spans="3:16" ht="18.75" customHeight="1" thickBot="1" x14ac:dyDescent="0.3">
      <c r="D84" s="536"/>
      <c r="F84" s="68" t="s">
        <v>73</v>
      </c>
      <c r="G84" s="538" t="s">
        <v>74</v>
      </c>
      <c r="H84" s="75">
        <v>122.12</v>
      </c>
      <c r="I84" s="786">
        <v>1.27</v>
      </c>
      <c r="J84" s="63">
        <v>0.5</v>
      </c>
      <c r="K84" s="1324">
        <f>J84</f>
        <v>0.5</v>
      </c>
      <c r="L84" s="1324"/>
      <c r="M84" s="833">
        <f>J84-K84</f>
        <v>0</v>
      </c>
      <c r="N84" s="798">
        <f>M84/I84</f>
        <v>0</v>
      </c>
      <c r="O84" s="1218" t="s">
        <v>845</v>
      </c>
    </row>
    <row r="85" spans="3:16" ht="16.5" thickBot="1" x14ac:dyDescent="0.3">
      <c r="F85" s="69" t="s">
        <v>36</v>
      </c>
      <c r="G85" s="74" t="s">
        <v>37</v>
      </c>
      <c r="H85" s="76">
        <v>98.078999999999994</v>
      </c>
      <c r="I85" s="788">
        <v>1.83</v>
      </c>
      <c r="J85" s="60">
        <v>2</v>
      </c>
      <c r="K85" s="1175" t="s">
        <v>693</v>
      </c>
      <c r="L85" s="1176"/>
      <c r="M85" s="1176"/>
      <c r="N85" s="1177"/>
      <c r="O85" s="1218"/>
      <c r="P85" s="539"/>
    </row>
    <row r="86" spans="3:16" ht="18.75" x14ac:dyDescent="0.25">
      <c r="C86" s="539"/>
      <c r="F86" s="69" t="s">
        <v>5</v>
      </c>
      <c r="G86" s="74" t="s">
        <v>90</v>
      </c>
      <c r="H86" s="76">
        <v>46.07</v>
      </c>
      <c r="I86" s="788">
        <v>0.78900000000000003</v>
      </c>
      <c r="J86" s="60">
        <v>3</v>
      </c>
      <c r="K86" s="1196">
        <f>(J84)*(1/H84)*(1/1)*(H86/1)</f>
        <v>0.18862594169669178</v>
      </c>
      <c r="L86" s="1196"/>
      <c r="M86" s="827">
        <f>J86-K86</f>
        <v>2.8113740583033082</v>
      </c>
      <c r="N86" s="821">
        <f>M86/I86</f>
        <v>3.5632117342247249</v>
      </c>
      <c r="O86" s="1218"/>
      <c r="P86" s="539"/>
    </row>
    <row r="87" spans="3:16" x14ac:dyDescent="0.25">
      <c r="C87" s="701"/>
      <c r="F87" s="69" t="s">
        <v>695</v>
      </c>
      <c r="G87" s="74" t="s">
        <v>780</v>
      </c>
      <c r="H87" s="76">
        <v>150.69999999999999</v>
      </c>
      <c r="I87" s="788">
        <v>1.05</v>
      </c>
      <c r="J87" s="60">
        <v>0</v>
      </c>
      <c r="K87" s="615">
        <f>(J84)*(1/H84)*(1/1)*(H87/1)</f>
        <v>0.61701604978709457</v>
      </c>
      <c r="L87" s="614">
        <f>(J85)*(1/H85)*(1/1)*(H87/1)</f>
        <v>3.0730329632235236</v>
      </c>
      <c r="M87" s="76">
        <f>K87</f>
        <v>0.61701604978709457</v>
      </c>
      <c r="N87" s="692">
        <f>M87/I87</f>
        <v>0.58763433313056623</v>
      </c>
      <c r="O87" s="1218"/>
      <c r="P87" s="539"/>
    </row>
    <row r="88" spans="3:16" ht="19.5" thickBot="1" x14ac:dyDescent="0.3">
      <c r="C88" s="701"/>
      <c r="F88" s="72" t="s">
        <v>182</v>
      </c>
      <c r="G88" s="756" t="s">
        <v>46</v>
      </c>
      <c r="H88" s="193">
        <v>18.015280000000001</v>
      </c>
      <c r="I88" s="89">
        <v>1</v>
      </c>
      <c r="J88" s="64">
        <v>0</v>
      </c>
      <c r="K88" s="693">
        <f>(J84)*(1/H84)*(1/1)*(H88/1)</f>
        <v>7.3760563380281696E-2</v>
      </c>
      <c r="L88" s="691">
        <f>(J85)*(1/H85)*(1/1)*(H88/1)</f>
        <v>0.36736263624221294</v>
      </c>
      <c r="M88" s="78">
        <f>K88</f>
        <v>7.3760563380281696E-2</v>
      </c>
      <c r="N88" s="734">
        <f>M88/I88</f>
        <v>7.3760563380281696E-2</v>
      </c>
      <c r="O88" s="1218"/>
      <c r="P88" s="539"/>
    </row>
    <row r="89" spans="3:16" ht="25.5" customHeight="1" thickBot="1" x14ac:dyDescent="0.3">
      <c r="F89" s="1194" t="s">
        <v>53</v>
      </c>
      <c r="G89" s="1195"/>
      <c r="H89" s="1195"/>
      <c r="I89" s="1195"/>
      <c r="J89" s="830">
        <f>SUM(J84,J86:J88)</f>
        <v>3.5</v>
      </c>
      <c r="K89" s="815">
        <f>SUM(K84,K86)-SUM(K87:K88)</f>
        <v>-2.1506714706844843E-3</v>
      </c>
      <c r="L89" s="815">
        <f>SUM(K84,K86)-SUM(L87:L88)</f>
        <v>-2.7517696577690449</v>
      </c>
      <c r="M89" s="71">
        <f>SUM(M84,M86:M88)</f>
        <v>3.5021506714706843</v>
      </c>
      <c r="N89" s="803">
        <f>SUM(N84,N86:N88)</f>
        <v>4.2246066307355727</v>
      </c>
      <c r="O89" s="886"/>
      <c r="P89" s="536"/>
    </row>
    <row r="90" spans="3:16" ht="16.5" thickBot="1" x14ac:dyDescent="0.3"/>
    <row r="91" spans="3:16" ht="16.5" thickBot="1" x14ac:dyDescent="0.3">
      <c r="F91" s="866" t="s">
        <v>91</v>
      </c>
      <c r="G91" s="867"/>
      <c r="H91" s="867"/>
      <c r="I91" s="867"/>
      <c r="J91" s="867"/>
      <c r="K91" s="867"/>
      <c r="L91" s="867"/>
      <c r="M91" s="867"/>
      <c r="N91" s="867"/>
      <c r="O91" s="868"/>
    </row>
    <row r="92" spans="3:16" ht="16.5" thickBot="1" x14ac:dyDescent="0.3">
      <c r="F92" s="1222" t="s">
        <v>96</v>
      </c>
      <c r="G92" s="1223"/>
      <c r="H92" s="1223"/>
      <c r="I92" s="1223"/>
      <c r="J92" s="1223"/>
      <c r="K92" s="1223"/>
      <c r="L92" s="1223"/>
      <c r="M92" s="1223"/>
      <c r="N92" s="1223"/>
      <c r="O92" s="1224"/>
    </row>
    <row r="93" spans="3:16" ht="19.5" thickBot="1" x14ac:dyDescent="0.35">
      <c r="F93" s="1354" t="s">
        <v>596</v>
      </c>
      <c r="G93" s="1355"/>
      <c r="H93" s="1355"/>
      <c r="I93" s="1355"/>
      <c r="J93" s="1355"/>
      <c r="K93" s="1355"/>
      <c r="L93" s="1355"/>
      <c r="M93" s="1355"/>
      <c r="N93" s="1355"/>
      <c r="O93" s="1356"/>
    </row>
    <row r="94" spans="3:16" ht="45.75" customHeight="1" thickBot="1" x14ac:dyDescent="0.3">
      <c r="F94" s="782" t="s">
        <v>0</v>
      </c>
      <c r="G94" s="610" t="s">
        <v>1</v>
      </c>
      <c r="H94" s="782" t="s">
        <v>2</v>
      </c>
      <c r="I94" s="782" t="s">
        <v>164</v>
      </c>
      <c r="J94" s="773" t="s">
        <v>779</v>
      </c>
      <c r="K94" s="879" t="s">
        <v>775</v>
      </c>
      <c r="L94" s="880"/>
      <c r="M94" s="783" t="s">
        <v>776</v>
      </c>
      <c r="N94" s="784" t="s">
        <v>777</v>
      </c>
      <c r="O94" s="779" t="s">
        <v>3</v>
      </c>
    </row>
    <row r="95" spans="3:16" ht="15.75" customHeight="1" x14ac:dyDescent="0.25">
      <c r="F95" s="68" t="s">
        <v>5</v>
      </c>
      <c r="G95" s="538" t="s">
        <v>90</v>
      </c>
      <c r="H95" s="75">
        <v>46.07</v>
      </c>
      <c r="I95" s="786">
        <v>0.78900000000000003</v>
      </c>
      <c r="J95" s="63">
        <v>1</v>
      </c>
      <c r="K95" s="1325">
        <f>J95</f>
        <v>1</v>
      </c>
      <c r="L95" s="1326"/>
      <c r="M95" s="617">
        <f>J95-K95</f>
        <v>0</v>
      </c>
      <c r="N95" s="797">
        <f>M95/I95</f>
        <v>0</v>
      </c>
      <c r="O95" s="1244" t="s">
        <v>892</v>
      </c>
    </row>
    <row r="96" spans="3:16" x14ac:dyDescent="0.25">
      <c r="C96" s="539"/>
      <c r="F96" s="69" t="s">
        <v>92</v>
      </c>
      <c r="G96" s="788" t="s">
        <v>93</v>
      </c>
      <c r="H96" s="76">
        <v>56.105600000000003</v>
      </c>
      <c r="I96" s="788">
        <v>2.12</v>
      </c>
      <c r="J96" s="60">
        <v>0.5</v>
      </c>
      <c r="K96" s="1327">
        <f>(J96*(1/H96)*(1/1)*(H96/1))</f>
        <v>0.5</v>
      </c>
      <c r="L96" s="1202"/>
      <c r="M96" s="771">
        <f>K96-J96</f>
        <v>0</v>
      </c>
      <c r="N96" s="788">
        <f>M96/I96</f>
        <v>0</v>
      </c>
      <c r="O96" s="1245"/>
    </row>
    <row r="97" spans="2:22" ht="18.75" x14ac:dyDescent="0.25">
      <c r="F97" s="69" t="s">
        <v>45</v>
      </c>
      <c r="G97" s="74" t="s">
        <v>46</v>
      </c>
      <c r="H97" s="76">
        <v>18.015280000000001</v>
      </c>
      <c r="I97" s="788">
        <v>1</v>
      </c>
      <c r="J97" s="60">
        <v>0</v>
      </c>
      <c r="K97" s="695">
        <f>(J95)*(1/H95)*(1/1)*(H97/1)</f>
        <v>0.39104145864988066</v>
      </c>
      <c r="L97" s="682">
        <f>(J96)*(1/H96)*(1/1)*(H97/1)</f>
        <v>0.16054796669138197</v>
      </c>
      <c r="M97" s="771">
        <f>L97</f>
        <v>0.16054796669138197</v>
      </c>
      <c r="N97" s="788">
        <f>M97/I97</f>
        <v>0.16054796669138197</v>
      </c>
      <c r="O97" s="1245"/>
    </row>
    <row r="98" spans="2:22" ht="16.5" thickBot="1" x14ac:dyDescent="0.3">
      <c r="F98" s="72" t="s">
        <v>893</v>
      </c>
      <c r="G98" s="761" t="s">
        <v>778</v>
      </c>
      <c r="H98" s="193">
        <v>84.16</v>
      </c>
      <c r="I98" s="89">
        <v>0.89</v>
      </c>
      <c r="J98" s="64">
        <v>0</v>
      </c>
      <c r="K98" s="696">
        <f>(J95)*(1/H95)*(1/1)*(H98/1)</f>
        <v>1.8267853266767962</v>
      </c>
      <c r="L98" s="684">
        <f>(J96)*(1/H96)*(1/1)*(H98/1)</f>
        <v>0.75001425882621331</v>
      </c>
      <c r="M98" s="771">
        <f>L98</f>
        <v>0.75001425882621331</v>
      </c>
      <c r="N98" s="788">
        <f>M98/I98</f>
        <v>0.84271265036653176</v>
      </c>
      <c r="O98" s="1245"/>
      <c r="P98" s="539"/>
    </row>
    <row r="99" spans="2:22" ht="16.5" thickBot="1" x14ac:dyDescent="0.3">
      <c r="F99" s="1212" t="s">
        <v>53</v>
      </c>
      <c r="G99" s="1213"/>
      <c r="H99" s="1213"/>
      <c r="I99" s="1214"/>
      <c r="J99" s="816">
        <f>SUM(J95:J98)</f>
        <v>1.5</v>
      </c>
      <c r="K99" s="694">
        <f>SUM(K95:L96)-SUM(K97:K98)</f>
        <v>-0.71782678532667665</v>
      </c>
      <c r="L99" s="638">
        <f>SUM(K95:L96)-SUM(L97:L98)</f>
        <v>0.58943777448240475</v>
      </c>
      <c r="M99" s="803">
        <f>SUM(M95:M98)</f>
        <v>0.91056222551759525</v>
      </c>
      <c r="N99" s="815">
        <f>SUM(N95:N98)</f>
        <v>1.0032606170579137</v>
      </c>
      <c r="O99" s="1246"/>
    </row>
    <row r="100" spans="2:22" x14ac:dyDescent="0.25">
      <c r="F100" s="1205"/>
      <c r="G100" s="1206"/>
      <c r="H100" s="1206"/>
      <c r="I100" s="1206"/>
      <c r="J100" s="1206"/>
      <c r="K100" s="1206"/>
      <c r="L100" s="1206"/>
      <c r="M100" s="1206"/>
      <c r="N100" s="1206"/>
      <c r="O100" s="1207"/>
    </row>
    <row r="101" spans="2:22" ht="19.5" thickBot="1" x14ac:dyDescent="0.3">
      <c r="F101" s="1181" t="s">
        <v>131</v>
      </c>
      <c r="G101" s="1182"/>
      <c r="H101" s="1182"/>
      <c r="I101" s="1182"/>
      <c r="J101" s="1182"/>
      <c r="K101" s="1182"/>
      <c r="L101" s="1182"/>
      <c r="M101" s="1182"/>
      <c r="N101" s="1182"/>
      <c r="O101" s="1183"/>
    </row>
    <row r="102" spans="2:22" ht="47.25" customHeight="1" thickBot="1" x14ac:dyDescent="0.3">
      <c r="F102" s="782" t="s">
        <v>0</v>
      </c>
      <c r="G102" s="610" t="s">
        <v>1</v>
      </c>
      <c r="H102" s="782" t="s">
        <v>2</v>
      </c>
      <c r="I102" s="782" t="s">
        <v>164</v>
      </c>
      <c r="J102" s="773" t="s">
        <v>779</v>
      </c>
      <c r="K102" s="879" t="s">
        <v>775</v>
      </c>
      <c r="L102" s="880"/>
      <c r="M102" s="783" t="s">
        <v>776</v>
      </c>
      <c r="N102" s="784" t="s">
        <v>777</v>
      </c>
      <c r="O102" s="780" t="s">
        <v>3</v>
      </c>
    </row>
    <row r="103" spans="2:22" ht="18.75" customHeight="1" x14ac:dyDescent="0.25">
      <c r="F103" s="83" t="s">
        <v>83</v>
      </c>
      <c r="G103" s="63" t="s">
        <v>85</v>
      </c>
      <c r="H103" s="87">
        <v>39.997</v>
      </c>
      <c r="I103" s="63">
        <v>2.13</v>
      </c>
      <c r="J103" s="786">
        <v>0.5</v>
      </c>
      <c r="K103" s="1184">
        <f>J103</f>
        <v>0.5</v>
      </c>
      <c r="L103" s="1185"/>
      <c r="M103" s="786">
        <f>J103-K103</f>
        <v>0</v>
      </c>
      <c r="N103" s="63">
        <f>M103/I103</f>
        <v>0</v>
      </c>
      <c r="O103" s="883" t="s">
        <v>537</v>
      </c>
      <c r="R103" s="80" t="s">
        <v>101</v>
      </c>
      <c r="S103" s="46" t="s">
        <v>102</v>
      </c>
      <c r="T103" s="47">
        <v>74.12</v>
      </c>
      <c r="U103" s="81">
        <v>0.71299999999999997</v>
      </c>
      <c r="V103" s="446">
        <v>0.5</v>
      </c>
    </row>
    <row r="104" spans="2:22" ht="21" customHeight="1" thickBot="1" x14ac:dyDescent="0.3">
      <c r="F104" s="56" t="s">
        <v>94</v>
      </c>
      <c r="G104" s="59" t="s">
        <v>95</v>
      </c>
      <c r="H104" s="692">
        <v>60.1</v>
      </c>
      <c r="I104" s="60">
        <v>0.78600000000000003</v>
      </c>
      <c r="J104" s="788">
        <v>1</v>
      </c>
      <c r="K104" s="1201">
        <f>(J103*(1/H103)*(1/2)*(H104/1))</f>
        <v>0.37565317398804909</v>
      </c>
      <c r="L104" s="1202"/>
      <c r="M104" s="788">
        <f>J104-K104</f>
        <v>0.62434682601195091</v>
      </c>
      <c r="N104" s="60">
        <f>M104/I104</f>
        <v>0.79433438423912328</v>
      </c>
      <c r="O104" s="1039"/>
      <c r="R104" s="82" t="s">
        <v>103</v>
      </c>
      <c r="S104" s="42" t="s">
        <v>104</v>
      </c>
      <c r="T104" s="45">
        <v>76.138999999999996</v>
      </c>
      <c r="U104" s="442">
        <v>1.26</v>
      </c>
      <c r="V104" s="222">
        <v>0.5</v>
      </c>
    </row>
    <row r="105" spans="2:22" s="8" customFormat="1" ht="45.75" customHeight="1" x14ac:dyDescent="0.25">
      <c r="B105" s="6"/>
      <c r="C105" s="6"/>
      <c r="D105" s="6"/>
      <c r="E105" s="838"/>
      <c r="F105" s="554" t="s">
        <v>60</v>
      </c>
      <c r="G105" s="59" t="s">
        <v>61</v>
      </c>
      <c r="H105" s="325">
        <v>58.08</v>
      </c>
      <c r="I105" s="60">
        <v>0.78400000000000003</v>
      </c>
      <c r="J105" s="788">
        <v>0</v>
      </c>
      <c r="K105" s="697">
        <f>(J103*(1/H103)*(1/2)*(H105/1))</f>
        <v>0.36302722704202817</v>
      </c>
      <c r="L105" s="674">
        <f>(J104)*(1/H104)*(1/1)*(H105/1)</f>
        <v>0.96638935108153068</v>
      </c>
      <c r="M105" s="788">
        <f>K105</f>
        <v>0.36302722704202817</v>
      </c>
      <c r="N105" s="60">
        <f>M105/I105</f>
        <v>0.46304493245156653</v>
      </c>
      <c r="O105" s="1039"/>
      <c r="P105" s="6"/>
      <c r="R105" s="1319" t="s">
        <v>600</v>
      </c>
      <c r="S105" s="1319"/>
      <c r="T105" s="1319"/>
      <c r="U105" s="1319"/>
      <c r="V105" s="1319"/>
    </row>
    <row r="106" spans="2:22" x14ac:dyDescent="0.25">
      <c r="F106" s="56" t="s">
        <v>88</v>
      </c>
      <c r="G106" s="60" t="s">
        <v>89</v>
      </c>
      <c r="H106" s="692">
        <v>22.989768999999999</v>
      </c>
      <c r="I106" s="60">
        <v>0.97</v>
      </c>
      <c r="J106" s="788">
        <v>0</v>
      </c>
      <c r="K106" s="681">
        <f>(J103*(1/H103)*(2/2)*(H106/1))</f>
        <v>0.28739366702502689</v>
      </c>
      <c r="L106" s="682">
        <f>(J104)*(1/H104)*(2/1)*(H106/1)</f>
        <v>0.76505054908485848</v>
      </c>
      <c r="M106" s="788">
        <f>K106</f>
        <v>0.28739366702502689</v>
      </c>
      <c r="N106" s="60">
        <f>M106/I106</f>
        <v>0.29628213095363598</v>
      </c>
      <c r="O106" s="1039"/>
      <c r="R106" s="447"/>
      <c r="S106" s="447"/>
      <c r="T106" s="447"/>
      <c r="U106" s="447"/>
      <c r="V106" s="447"/>
    </row>
    <row r="107" spans="2:22" ht="19.5" thickBot="1" x14ac:dyDescent="0.3">
      <c r="F107" s="57" t="s">
        <v>45</v>
      </c>
      <c r="G107" s="86" t="s">
        <v>46</v>
      </c>
      <c r="H107" s="734">
        <v>18.015280000000001</v>
      </c>
      <c r="I107" s="64">
        <v>1</v>
      </c>
      <c r="J107" s="488">
        <v>0</v>
      </c>
      <c r="K107" s="683">
        <f>(J103*(1/H103)*(2/2)*(H107/1))</f>
        <v>0.22520789059179439</v>
      </c>
      <c r="L107" s="684">
        <f>(J104)*(1/H104)*(2/1)*(H107/1)</f>
        <v>0.59951014975041594</v>
      </c>
      <c r="M107" s="488">
        <f>K107</f>
        <v>0.22520789059179439</v>
      </c>
      <c r="N107" s="474">
        <f>M107/I107</f>
        <v>0.22520789059179439</v>
      </c>
      <c r="O107" s="1039"/>
      <c r="R107" s="447"/>
      <c r="S107" s="447"/>
      <c r="T107" s="447"/>
      <c r="U107" s="447"/>
      <c r="V107" s="447"/>
    </row>
    <row r="108" spans="2:22" ht="16.5" thickBot="1" x14ac:dyDescent="0.3">
      <c r="F108" s="1330" t="s">
        <v>53</v>
      </c>
      <c r="G108" s="1331"/>
      <c r="H108" s="1331"/>
      <c r="I108" s="1332"/>
      <c r="J108" s="802">
        <f>SUM(J103:J107)</f>
        <v>1.5</v>
      </c>
      <c r="K108" s="694">
        <f>SUM(K103:L104)-SUM(K105:K107)</f>
        <v>2.4389329199681065E-5</v>
      </c>
      <c r="L108" s="638">
        <f>SUM(K103:L104)-SUM(L105:L107)</f>
        <v>-1.4552968759287559</v>
      </c>
      <c r="M108" s="815">
        <f>SUM(M103:M107)</f>
        <v>1.4999756106708004</v>
      </c>
      <c r="N108" s="71">
        <f>SUM(N103:N107)</f>
        <v>1.7788693382361205</v>
      </c>
      <c r="O108" s="884"/>
    </row>
    <row r="109" spans="2:22" x14ac:dyDescent="0.25">
      <c r="F109" s="1225"/>
      <c r="G109" s="1226"/>
      <c r="H109" s="1226"/>
      <c r="I109" s="1226"/>
      <c r="J109" s="1226"/>
      <c r="K109" s="1226"/>
      <c r="L109" s="1226"/>
      <c r="M109" s="1226"/>
      <c r="N109" s="1226"/>
      <c r="O109" s="1227"/>
    </row>
    <row r="110" spans="2:22" ht="19.5" thickBot="1" x14ac:dyDescent="0.35">
      <c r="F110" s="1178" t="s">
        <v>599</v>
      </c>
      <c r="G110" s="1179"/>
      <c r="H110" s="1179"/>
      <c r="I110" s="1179"/>
      <c r="J110" s="1179"/>
      <c r="K110" s="1179"/>
      <c r="L110" s="1179"/>
      <c r="M110" s="1179"/>
      <c r="N110" s="1179"/>
      <c r="O110" s="1180"/>
    </row>
    <row r="111" spans="2:22" ht="52.5" customHeight="1" thickBot="1" x14ac:dyDescent="0.3">
      <c r="F111" s="773" t="s">
        <v>0</v>
      </c>
      <c r="G111" s="773" t="s">
        <v>1</v>
      </c>
      <c r="H111" s="773" t="s">
        <v>2</v>
      </c>
      <c r="I111" s="773" t="s">
        <v>164</v>
      </c>
      <c r="J111" s="773" t="s">
        <v>779</v>
      </c>
      <c r="K111" s="879" t="s">
        <v>775</v>
      </c>
      <c r="L111" s="880"/>
      <c r="M111" s="783" t="s">
        <v>776</v>
      </c>
      <c r="N111" s="784" t="s">
        <v>777</v>
      </c>
      <c r="O111" s="53" t="s">
        <v>3</v>
      </c>
    </row>
    <row r="112" spans="2:22" ht="18.75" customHeight="1" x14ac:dyDescent="0.25">
      <c r="F112" s="430" t="s">
        <v>97</v>
      </c>
      <c r="G112" s="833" t="s">
        <v>98</v>
      </c>
      <c r="H112" s="805">
        <v>74.12</v>
      </c>
      <c r="I112" s="833">
        <v>0.78100000000000003</v>
      </c>
      <c r="J112" s="641">
        <v>1</v>
      </c>
      <c r="K112" s="1203">
        <f>J112</f>
        <v>1</v>
      </c>
      <c r="L112" s="1204"/>
      <c r="M112" s="87">
        <f>J112-K112</f>
        <v>0</v>
      </c>
      <c r="N112" s="75">
        <f>M112/I112</f>
        <v>0</v>
      </c>
      <c r="O112" s="1244" t="s">
        <v>827</v>
      </c>
    </row>
    <row r="113" spans="3:16" x14ac:dyDescent="0.25">
      <c r="F113" s="289" t="s">
        <v>432</v>
      </c>
      <c r="G113" s="76" t="s">
        <v>93</v>
      </c>
      <c r="H113" s="76">
        <v>56.105600000000003</v>
      </c>
      <c r="I113" s="60">
        <v>2.12</v>
      </c>
      <c r="J113" s="799">
        <v>0.5</v>
      </c>
      <c r="K113" s="1199">
        <f>(J113)*(1/H113)*(1/1)*(H113/1)</f>
        <v>0.5</v>
      </c>
      <c r="L113" s="1200"/>
      <c r="M113" s="692">
        <f>J113-K113</f>
        <v>0</v>
      </c>
      <c r="N113" s="76">
        <f>M113/I113</f>
        <v>0</v>
      </c>
      <c r="O113" s="1245"/>
    </row>
    <row r="114" spans="3:16" x14ac:dyDescent="0.25">
      <c r="F114" s="289" t="s">
        <v>597</v>
      </c>
      <c r="G114" s="204" t="s">
        <v>894</v>
      </c>
      <c r="H114" s="76">
        <v>59</v>
      </c>
      <c r="I114" s="76">
        <v>0.69</v>
      </c>
      <c r="J114" s="799">
        <v>0</v>
      </c>
      <c r="K114" s="792">
        <f>(J112/H112)*(1/1)*(H114/1)</f>
        <v>0.79600647598488927</v>
      </c>
      <c r="L114" s="800">
        <f>(J113/H113)*(1/1)*(H114/1)</f>
        <v>0.52579421662008774</v>
      </c>
      <c r="M114" s="692">
        <f>L114</f>
        <v>0.52579421662008774</v>
      </c>
      <c r="N114" s="76">
        <f>M114/I114</f>
        <v>0.76202060379722869</v>
      </c>
      <c r="O114" s="1245"/>
    </row>
    <row r="115" spans="3:16" ht="19.5" thickBot="1" x14ac:dyDescent="0.35">
      <c r="C115" s="539"/>
      <c r="F115" s="72" t="s">
        <v>598</v>
      </c>
      <c r="G115" s="836" t="s">
        <v>895</v>
      </c>
      <c r="H115" s="193">
        <v>71</v>
      </c>
      <c r="I115" s="64">
        <v>2.14</v>
      </c>
      <c r="J115" s="649">
        <v>0</v>
      </c>
      <c r="K115" s="444">
        <f>(J112/H112)*(1/1)*(H115/1)</f>
        <v>0.95790609821910411</v>
      </c>
      <c r="L115" s="445">
        <f>(J113/H113)*(1/1)*(H115/1)</f>
        <v>0.63273541322078364</v>
      </c>
      <c r="M115" s="692">
        <f>L115</f>
        <v>0.63273541322078364</v>
      </c>
      <c r="N115" s="76">
        <f>M115/I115</f>
        <v>0.29567075384148767</v>
      </c>
      <c r="O115" s="1245"/>
    </row>
    <row r="116" spans="3:16" ht="16.5" thickBot="1" x14ac:dyDescent="0.3">
      <c r="F116" s="863" t="s">
        <v>53</v>
      </c>
      <c r="G116" s="864"/>
      <c r="H116" s="864"/>
      <c r="I116" s="865"/>
      <c r="J116" s="89">
        <f>SUM(J112:J115)</f>
        <v>1.5</v>
      </c>
      <c r="K116" s="767">
        <f>SUM(K112:L113)-SUM(K114:K115)</f>
        <v>-0.25391257420399338</v>
      </c>
      <c r="L116" s="818">
        <f>SUM(K112:L113)-SUM(L114:L115)</f>
        <v>0.34147037015912862</v>
      </c>
      <c r="M116" s="817">
        <f>SUM(M114:M115)</f>
        <v>1.1585296298408714</v>
      </c>
      <c r="N116" s="830">
        <f>SUM(N112:N115)</f>
        <v>1.0576913576387164</v>
      </c>
      <c r="O116" s="1246"/>
    </row>
    <row r="117" spans="3:16" ht="16.5" thickBot="1" x14ac:dyDescent="0.3"/>
    <row r="118" spans="3:16" ht="21.75" customHeight="1" thickBot="1" x14ac:dyDescent="0.35">
      <c r="F118" s="1320" t="s">
        <v>601</v>
      </c>
      <c r="G118" s="1321"/>
      <c r="H118" s="1321"/>
      <c r="I118" s="1321"/>
      <c r="J118" s="1321"/>
      <c r="K118" s="1321"/>
      <c r="L118" s="1321"/>
      <c r="M118" s="1321"/>
      <c r="N118" s="1321"/>
      <c r="O118" s="1322"/>
    </row>
    <row r="119" spans="3:16" ht="42.75" customHeight="1" thickBot="1" x14ac:dyDescent="0.3">
      <c r="F119" s="773" t="s">
        <v>0</v>
      </c>
      <c r="G119" s="824" t="s">
        <v>1</v>
      </c>
      <c r="H119" s="773" t="s">
        <v>2</v>
      </c>
      <c r="I119" s="773" t="s">
        <v>164</v>
      </c>
      <c r="J119" s="773" t="s">
        <v>779</v>
      </c>
      <c r="K119" s="879" t="s">
        <v>775</v>
      </c>
      <c r="L119" s="880"/>
      <c r="M119" s="773" t="s">
        <v>776</v>
      </c>
      <c r="N119" s="769" t="s">
        <v>777</v>
      </c>
      <c r="O119" s="53" t="s">
        <v>3</v>
      </c>
    </row>
    <row r="120" spans="3:16" ht="18.75" customHeight="1" x14ac:dyDescent="0.25">
      <c r="F120" s="68" t="s">
        <v>99</v>
      </c>
      <c r="G120" s="73" t="s">
        <v>100</v>
      </c>
      <c r="H120" s="75">
        <v>76.09</v>
      </c>
      <c r="I120" s="797">
        <v>1.04</v>
      </c>
      <c r="J120" s="63">
        <v>0.5</v>
      </c>
      <c r="K120" s="1323">
        <f>J120</f>
        <v>0.5</v>
      </c>
      <c r="L120" s="1323"/>
      <c r="M120" s="63">
        <f>J120-K120</f>
        <v>0</v>
      </c>
      <c r="N120" s="797">
        <f>M120/I120</f>
        <v>0</v>
      </c>
      <c r="O120" s="883" t="s">
        <v>828</v>
      </c>
    </row>
    <row r="121" spans="3:16" x14ac:dyDescent="0.25">
      <c r="C121" s="539"/>
      <c r="F121" s="69" t="s">
        <v>286</v>
      </c>
      <c r="G121" s="74" t="s">
        <v>85</v>
      </c>
      <c r="H121" s="76">
        <v>39.997</v>
      </c>
      <c r="I121" s="788">
        <v>2.13</v>
      </c>
      <c r="J121" s="60">
        <v>1</v>
      </c>
      <c r="K121" s="980">
        <f>(J120)*(1/H120)*(2/1)*(H121/1)</f>
        <v>0.52565383098961749</v>
      </c>
      <c r="L121" s="980"/>
      <c r="M121" s="60">
        <f>J121-K121</f>
        <v>0.47434616901038251</v>
      </c>
      <c r="N121" s="788">
        <f>M121/I121</f>
        <v>0.22269773192975706</v>
      </c>
      <c r="O121" s="1039"/>
    </row>
    <row r="122" spans="3:16" ht="18.75" x14ac:dyDescent="0.3">
      <c r="F122" s="70" t="s">
        <v>826</v>
      </c>
      <c r="G122" s="448" t="s">
        <v>602</v>
      </c>
      <c r="H122" s="78">
        <v>120</v>
      </c>
      <c r="I122" s="488">
        <v>1.06</v>
      </c>
      <c r="J122" s="474">
        <v>0</v>
      </c>
      <c r="K122" s="218">
        <f>(J120/H120)*(1/1)*(H122/1)</f>
        <v>0.78853988697594946</v>
      </c>
      <c r="L122" s="677">
        <f>(J121/H121)*(1/2)*(H122/1)</f>
        <v>1.5001125084381328</v>
      </c>
      <c r="M122" s="474">
        <f>K122</f>
        <v>0.78853988697594946</v>
      </c>
      <c r="N122" s="488">
        <f>M122/I122</f>
        <v>0.74390555375089562</v>
      </c>
      <c r="O122" s="1039"/>
      <c r="P122" s="539"/>
    </row>
    <row r="123" spans="3:16" ht="19.5" thickBot="1" x14ac:dyDescent="0.3">
      <c r="F123" s="72" t="s">
        <v>45</v>
      </c>
      <c r="G123" s="77" t="s">
        <v>46</v>
      </c>
      <c r="H123" s="193">
        <v>18.015280000000001</v>
      </c>
      <c r="I123" s="488">
        <v>1</v>
      </c>
      <c r="J123" s="474">
        <v>0</v>
      </c>
      <c r="K123" s="218">
        <f>(J120/H120)*(2/1)*(H123/1)</f>
        <v>0.23676278091733474</v>
      </c>
      <c r="L123" s="677">
        <f>(J121/H121)*(2/2)*(H123/1)</f>
        <v>0.45041578118358877</v>
      </c>
      <c r="M123" s="474">
        <f>K123</f>
        <v>0.23676278091733474</v>
      </c>
      <c r="N123" s="488">
        <f>M123/I123</f>
        <v>0.23676278091733474</v>
      </c>
      <c r="O123" s="1039"/>
    </row>
    <row r="124" spans="3:16" ht="16.5" thickBot="1" x14ac:dyDescent="0.3">
      <c r="F124" s="863" t="s">
        <v>53</v>
      </c>
      <c r="G124" s="864"/>
      <c r="H124" s="864"/>
      <c r="I124" s="864"/>
      <c r="J124" s="71">
        <f>SUM(J120:J123)</f>
        <v>1.5</v>
      </c>
      <c r="K124" s="619">
        <f>SUM(K120:L121)-SUM(K122:K123)</f>
        <v>3.5116309633331788E-4</v>
      </c>
      <c r="L124" s="815">
        <f>SUM(K120:L121)-SUM(L122:L123)</f>
        <v>-0.92487445863210405</v>
      </c>
      <c r="M124" s="71">
        <f>SUM(M120:M123)</f>
        <v>1.4996488369036667</v>
      </c>
      <c r="N124" s="803">
        <f>SUM(N120:N123)</f>
        <v>1.2033660665979875</v>
      </c>
      <c r="O124" s="884"/>
    </row>
    <row r="125" spans="3:16" ht="16.5" thickBot="1" x14ac:dyDescent="0.3"/>
    <row r="126" spans="3:16" ht="16.5" thickBot="1" x14ac:dyDescent="0.3">
      <c r="F126" s="1225" t="s">
        <v>105</v>
      </c>
      <c r="G126" s="1226"/>
      <c r="H126" s="1226"/>
      <c r="I126" s="1226"/>
      <c r="J126" s="1226"/>
      <c r="K126" s="1226"/>
      <c r="L126" s="1226"/>
      <c r="M126" s="1226"/>
      <c r="N126" s="1226"/>
      <c r="O126" s="1227"/>
    </row>
    <row r="127" spans="3:16" ht="16.5" thickBot="1" x14ac:dyDescent="0.3">
      <c r="F127" s="1250" t="s">
        <v>697</v>
      </c>
      <c r="G127" s="1251"/>
      <c r="H127" s="1251"/>
      <c r="I127" s="1251"/>
      <c r="J127" s="1251"/>
      <c r="K127" s="1251"/>
      <c r="L127" s="1251"/>
      <c r="M127" s="1251"/>
      <c r="N127" s="1251"/>
      <c r="O127" s="1252"/>
    </row>
    <row r="128" spans="3:16" ht="47.25" customHeight="1" thickBot="1" x14ac:dyDescent="0.3">
      <c r="F128" s="783" t="s">
        <v>0</v>
      </c>
      <c r="G128" s="826" t="s">
        <v>1</v>
      </c>
      <c r="H128" s="783" t="s">
        <v>2</v>
      </c>
      <c r="I128" s="783" t="s">
        <v>164</v>
      </c>
      <c r="J128" s="773" t="s">
        <v>779</v>
      </c>
      <c r="K128" s="879" t="s">
        <v>775</v>
      </c>
      <c r="L128" s="880"/>
      <c r="M128" s="783" t="s">
        <v>776</v>
      </c>
      <c r="N128" s="784" t="s">
        <v>777</v>
      </c>
      <c r="O128" s="780" t="s">
        <v>3</v>
      </c>
    </row>
    <row r="129" spans="2:17" ht="18.75" customHeight="1" x14ac:dyDescent="0.25">
      <c r="F129" s="328" t="s">
        <v>7</v>
      </c>
      <c r="G129" s="94" t="s">
        <v>90</v>
      </c>
      <c r="H129" s="443">
        <v>46.07</v>
      </c>
      <c r="I129" s="829">
        <v>0.78900000000000003</v>
      </c>
      <c r="J129" s="524">
        <v>0.5</v>
      </c>
      <c r="K129" s="977">
        <f>J129</f>
        <v>0.5</v>
      </c>
      <c r="L129" s="979"/>
      <c r="M129" s="829">
        <f>J129-K129</f>
        <v>0</v>
      </c>
      <c r="N129" s="524">
        <f>M129/I129</f>
        <v>0</v>
      </c>
      <c r="O129" s="883" t="s">
        <v>898</v>
      </c>
    </row>
    <row r="130" spans="2:17" x14ac:dyDescent="0.25">
      <c r="C130" s="539"/>
      <c r="F130" s="56" t="s">
        <v>88</v>
      </c>
      <c r="G130" s="60" t="s">
        <v>89</v>
      </c>
      <c r="H130" s="692">
        <v>22.989768999999999</v>
      </c>
      <c r="I130" s="60">
        <v>0.97</v>
      </c>
      <c r="J130" s="808">
        <v>0.8</v>
      </c>
      <c r="K130" s="1247">
        <f>(J129)*(1/H129)*(2/2)*(H130/1)</f>
        <v>0.24950910570870413</v>
      </c>
      <c r="L130" s="1249"/>
      <c r="M130" s="60">
        <f>J130-K130</f>
        <v>0.55049089429129594</v>
      </c>
      <c r="N130" s="788">
        <f>M130/I130</f>
        <v>0.56751638586731545</v>
      </c>
      <c r="O130" s="1039"/>
    </row>
    <row r="131" spans="2:17" x14ac:dyDescent="0.25">
      <c r="F131" s="57" t="s">
        <v>107</v>
      </c>
      <c r="G131" s="537" t="s">
        <v>108</v>
      </c>
      <c r="H131" s="76">
        <v>318.32</v>
      </c>
      <c r="I131" s="474">
        <v>1.28</v>
      </c>
      <c r="J131" s="808">
        <v>0.5</v>
      </c>
      <c r="K131" s="1247" t="s">
        <v>702</v>
      </c>
      <c r="L131" s="1248"/>
      <c r="M131" s="1248"/>
      <c r="N131" s="1249"/>
      <c r="O131" s="1039"/>
    </row>
    <row r="132" spans="2:17" ht="18.75" x14ac:dyDescent="0.25">
      <c r="E132" s="839"/>
      <c r="F132" s="69" t="s">
        <v>896</v>
      </c>
      <c r="G132" s="59" t="s">
        <v>106</v>
      </c>
      <c r="H132" s="821">
        <v>68.05</v>
      </c>
      <c r="I132" s="60">
        <v>0.86799999999999999</v>
      </c>
      <c r="J132" s="788">
        <v>0</v>
      </c>
      <c r="K132" s="60">
        <f>(J129/H129)*(2/2)*(H132/1)</f>
        <v>0.73855003255914908</v>
      </c>
      <c r="L132" s="60">
        <f>(J130/H130)*(2/2)*(H132/1)</f>
        <v>2.3680098743053919</v>
      </c>
      <c r="M132" s="60">
        <f>K132</f>
        <v>0.73855003255914908</v>
      </c>
      <c r="N132" s="788">
        <f>M132/I132</f>
        <v>0.85086409281007958</v>
      </c>
      <c r="O132" s="1039"/>
      <c r="P132" s="539"/>
    </row>
    <row r="133" spans="2:17" ht="16.5" thickBot="1" x14ac:dyDescent="0.3">
      <c r="E133" s="839"/>
      <c r="F133" s="328" t="s">
        <v>84</v>
      </c>
      <c r="G133" s="544" t="s">
        <v>699</v>
      </c>
      <c r="H133" s="812">
        <v>2.0158900000000002</v>
      </c>
      <c r="I133" s="833">
        <v>0.7</v>
      </c>
      <c r="J133" s="798">
        <v>0</v>
      </c>
      <c r="K133" s="60">
        <f>(J129/H129)*(1/2)*(H133/1)</f>
        <v>1.0939277186889517E-2</v>
      </c>
      <c r="L133" s="60">
        <f>(J130/H130)*(1/2)*(H133/1)</f>
        <v>3.5074558600393074E-2</v>
      </c>
      <c r="M133" s="833">
        <f>K133</f>
        <v>1.0939277186889517E-2</v>
      </c>
      <c r="N133" s="798">
        <f>M133/I133</f>
        <v>1.5627538838413595E-2</v>
      </c>
      <c r="O133" s="1039"/>
    </row>
    <row r="134" spans="2:17" ht="16.5" thickBot="1" x14ac:dyDescent="0.3">
      <c r="F134" s="1272" t="s">
        <v>53</v>
      </c>
      <c r="G134" s="1273"/>
      <c r="H134" s="1273"/>
      <c r="I134" s="1274"/>
      <c r="J134" s="71">
        <f>SUM(J129:J133)</f>
        <v>1.8</v>
      </c>
      <c r="K134" s="802">
        <f>SUM(K129:L130)-SUM(K132:K133)</f>
        <v>1.9795962665547506E-5</v>
      </c>
      <c r="L134" s="802">
        <f>SUM(K129:L130)-SUM(L132:L133)</f>
        <v>-1.6535753271970806</v>
      </c>
      <c r="M134" s="802">
        <f>SUM(M129:M130:M132:M133)</f>
        <v>1.2999802040373345</v>
      </c>
      <c r="N134" s="802">
        <f>SUM(N129:N130:N132:N133)</f>
        <v>1.4340080175158085</v>
      </c>
      <c r="O134" s="884"/>
    </row>
    <row r="135" spans="2:17" ht="16.5" thickBot="1" x14ac:dyDescent="0.3">
      <c r="F135" s="1276" t="s">
        <v>75</v>
      </c>
      <c r="G135" s="1277"/>
      <c r="H135" s="1277"/>
      <c r="I135" s="1277"/>
      <c r="J135" s="1277"/>
      <c r="K135" s="1277"/>
      <c r="L135" s="1277"/>
      <c r="M135" s="1277"/>
      <c r="N135" s="1277"/>
      <c r="O135" s="1278"/>
    </row>
    <row r="136" spans="2:17" ht="16.5" thickBot="1" x14ac:dyDescent="0.3">
      <c r="F136" s="1253" t="s">
        <v>700</v>
      </c>
      <c r="G136" s="1254"/>
      <c r="H136" s="1254"/>
      <c r="I136" s="1254"/>
      <c r="J136" s="1254"/>
      <c r="K136" s="1254"/>
      <c r="L136" s="1254"/>
      <c r="M136" s="1254"/>
      <c r="N136" s="1254"/>
      <c r="O136" s="1255"/>
    </row>
    <row r="137" spans="2:17" ht="45" customHeight="1" thickBot="1" x14ac:dyDescent="0.3">
      <c r="F137" s="773" t="s">
        <v>0</v>
      </c>
      <c r="G137" s="824" t="s">
        <v>1</v>
      </c>
      <c r="H137" s="773" t="s">
        <v>2</v>
      </c>
      <c r="I137" s="773" t="s">
        <v>164</v>
      </c>
      <c r="J137" s="773" t="s">
        <v>779</v>
      </c>
      <c r="K137" s="879" t="s">
        <v>775</v>
      </c>
      <c r="L137" s="880"/>
      <c r="M137" s="773" t="s">
        <v>776</v>
      </c>
      <c r="N137" s="769" t="s">
        <v>777</v>
      </c>
      <c r="O137" s="53" t="s">
        <v>3</v>
      </c>
      <c r="Q137" s="1261"/>
    </row>
    <row r="138" spans="2:17" ht="18.75" customHeight="1" x14ac:dyDescent="0.25">
      <c r="F138" s="68" t="s">
        <v>109</v>
      </c>
      <c r="G138" s="545" t="s">
        <v>95</v>
      </c>
      <c r="H138" s="75">
        <v>60.1</v>
      </c>
      <c r="I138" s="63">
        <v>0.78600000000000003</v>
      </c>
      <c r="J138" s="786">
        <v>0.5</v>
      </c>
      <c r="K138" s="977">
        <f>J138</f>
        <v>0.5</v>
      </c>
      <c r="L138" s="979"/>
      <c r="M138" s="786">
        <f>J138-K138</f>
        <v>0</v>
      </c>
      <c r="N138" s="63">
        <f>M138/I138</f>
        <v>0</v>
      </c>
      <c r="O138" s="883" t="s">
        <v>899</v>
      </c>
      <c r="Q138" s="1261"/>
    </row>
    <row r="139" spans="2:17" x14ac:dyDescent="0.25">
      <c r="F139" s="69" t="s">
        <v>88</v>
      </c>
      <c r="G139" s="771" t="s">
        <v>89</v>
      </c>
      <c r="H139" s="76">
        <v>22.989768999999999</v>
      </c>
      <c r="I139" s="60">
        <v>0.97</v>
      </c>
      <c r="J139" s="788">
        <v>0.8</v>
      </c>
      <c r="K139" s="881">
        <f>(J138)*(1/H138)*(2/2)*(H139/1)</f>
        <v>0.19126263727121462</v>
      </c>
      <c r="L139" s="882"/>
      <c r="M139" s="788">
        <f>J139-K139</f>
        <v>0.60873736272878542</v>
      </c>
      <c r="N139" s="60">
        <f>M139/I139</f>
        <v>0.62756429147297466</v>
      </c>
      <c r="O139" s="1039"/>
    </row>
    <row r="140" spans="2:17" x14ac:dyDescent="0.25">
      <c r="C140" s="539"/>
      <c r="F140" s="69" t="s">
        <v>107</v>
      </c>
      <c r="G140" s="771" t="s">
        <v>698</v>
      </c>
      <c r="H140" s="76">
        <v>318.32</v>
      </c>
      <c r="I140" s="60">
        <v>1.28</v>
      </c>
      <c r="J140" s="488">
        <v>0.5</v>
      </c>
      <c r="K140" s="1247" t="s">
        <v>702</v>
      </c>
      <c r="L140" s="1248"/>
      <c r="M140" s="1248"/>
      <c r="N140" s="1249"/>
      <c r="O140" s="1039"/>
    </row>
    <row r="141" spans="2:17" ht="18.75" x14ac:dyDescent="0.25">
      <c r="F141" s="69" t="s">
        <v>897</v>
      </c>
      <c r="G141" s="543" t="s">
        <v>701</v>
      </c>
      <c r="H141" s="76">
        <v>82.08</v>
      </c>
      <c r="I141" s="60">
        <v>0.86599999999999999</v>
      </c>
      <c r="J141" s="488">
        <v>0</v>
      </c>
      <c r="K141" s="60">
        <f>(J138/H138)*(2/2)*(H141/1)</f>
        <v>0.68286189683860232</v>
      </c>
      <c r="L141" s="60">
        <f>(J139/H139)*(2/2)*(H141/1)</f>
        <v>2.8562270460394794</v>
      </c>
      <c r="M141" s="488">
        <f>K141</f>
        <v>0.68286189683860232</v>
      </c>
      <c r="N141" s="474">
        <f>M141/I141</f>
        <v>0.78852413029861701</v>
      </c>
      <c r="O141" s="1039"/>
      <c r="P141" s="539"/>
    </row>
    <row r="142" spans="2:17" s="8" customFormat="1" ht="47.25" customHeight="1" thickBot="1" x14ac:dyDescent="0.3">
      <c r="B142" s="6"/>
      <c r="C142" s="6"/>
      <c r="D142" s="6"/>
      <c r="E142" s="838"/>
      <c r="F142" s="673" t="s">
        <v>84</v>
      </c>
      <c r="G142" s="546" t="s">
        <v>699</v>
      </c>
      <c r="H142" s="193">
        <v>2.0158900000000002</v>
      </c>
      <c r="I142" s="64">
        <v>0.7</v>
      </c>
      <c r="J142" s="89">
        <v>0</v>
      </c>
      <c r="K142" s="60">
        <f>(J138/H138)*(1/2)*(H142/1)</f>
        <v>8.3855657237936771E-3</v>
      </c>
      <c r="L142" s="60">
        <f>(J139/H139)*(1/2)*(H142/1)</f>
        <v>3.5074558600393074E-2</v>
      </c>
      <c r="M142" s="488">
        <f>K142</f>
        <v>8.3855657237936771E-3</v>
      </c>
      <c r="N142" s="474">
        <f>M142/I142</f>
        <v>1.1979379605419539E-2</v>
      </c>
      <c r="O142" s="1039"/>
      <c r="P142" s="6"/>
    </row>
    <row r="143" spans="2:17" ht="16.5" thickBot="1" x14ac:dyDescent="0.3">
      <c r="F143" s="1272" t="s">
        <v>53</v>
      </c>
      <c r="G143" s="1273"/>
      <c r="H143" s="1273"/>
      <c r="I143" s="1274"/>
      <c r="J143" s="71">
        <f>SUM(J138:J142)</f>
        <v>1.8</v>
      </c>
      <c r="K143" s="71">
        <f>SUM(K138:L139)-SUM(K141:K142)</f>
        <v>1.5174708818621596E-5</v>
      </c>
      <c r="L143" s="71">
        <f>SUM(K138:L139)-SUM(L141:L142)</f>
        <v>-2.2000389673686578</v>
      </c>
      <c r="M143" s="71">
        <f>SUM(M138:M139:M141:M142)</f>
        <v>1.2999848252911814</v>
      </c>
      <c r="N143" s="71">
        <f>SUM(N138:N139:N141:N142)</f>
        <v>1.4280678013770112</v>
      </c>
      <c r="O143" s="884"/>
    </row>
    <row r="144" spans="2:17" ht="16.5" thickBot="1" x14ac:dyDescent="0.3">
      <c r="F144" s="1225" t="s">
        <v>76</v>
      </c>
      <c r="G144" s="1226"/>
      <c r="H144" s="1226"/>
      <c r="I144" s="1226"/>
      <c r="J144" s="1226"/>
      <c r="K144" s="1226"/>
      <c r="L144" s="1226"/>
      <c r="M144" s="1226"/>
      <c r="N144" s="1226"/>
      <c r="O144" s="1227"/>
    </row>
    <row r="145" spans="3:16" ht="16.5" thickBot="1" x14ac:dyDescent="0.3">
      <c r="F145" s="1250" t="s">
        <v>703</v>
      </c>
      <c r="G145" s="1251"/>
      <c r="H145" s="1251"/>
      <c r="I145" s="1251"/>
      <c r="J145" s="1251"/>
      <c r="K145" s="1251"/>
      <c r="L145" s="1251"/>
      <c r="M145" s="1251"/>
      <c r="N145" s="1251"/>
      <c r="O145" s="1252"/>
    </row>
    <row r="146" spans="3:16" ht="35.25" customHeight="1" thickBot="1" x14ac:dyDescent="0.3">
      <c r="F146" s="782" t="s">
        <v>0</v>
      </c>
      <c r="G146" s="610" t="s">
        <v>1</v>
      </c>
      <c r="H146" s="782" t="s">
        <v>2</v>
      </c>
      <c r="I146" s="782" t="s">
        <v>164</v>
      </c>
      <c r="J146" s="773" t="s">
        <v>779</v>
      </c>
      <c r="K146" s="879" t="s">
        <v>775</v>
      </c>
      <c r="L146" s="880"/>
      <c r="M146" s="783" t="s">
        <v>776</v>
      </c>
      <c r="N146" s="784" t="s">
        <v>777</v>
      </c>
      <c r="O146" s="779" t="s">
        <v>3</v>
      </c>
    </row>
    <row r="147" spans="3:16" ht="18.75" customHeight="1" x14ac:dyDescent="0.25">
      <c r="F147" s="83" t="s">
        <v>110</v>
      </c>
      <c r="G147" s="63" t="s">
        <v>111</v>
      </c>
      <c r="H147" s="75">
        <v>74.12</v>
      </c>
      <c r="I147" s="63">
        <v>0.78859999999999997</v>
      </c>
      <c r="J147" s="63">
        <v>0.5</v>
      </c>
      <c r="K147" s="977">
        <f>J147</f>
        <v>0.5</v>
      </c>
      <c r="L147" s="979"/>
      <c r="M147" s="786">
        <f>J147-K147</f>
        <v>0</v>
      </c>
      <c r="N147" s="785">
        <f>M147/I147</f>
        <v>0</v>
      </c>
      <c r="O147" s="883" t="s">
        <v>901</v>
      </c>
    </row>
    <row r="148" spans="3:16" x14ac:dyDescent="0.25">
      <c r="D148" s="536"/>
      <c r="F148" s="56" t="s">
        <v>88</v>
      </c>
      <c r="G148" s="60" t="s">
        <v>89</v>
      </c>
      <c r="H148" s="76">
        <v>22.989768999999999</v>
      </c>
      <c r="I148" s="60">
        <v>0.97</v>
      </c>
      <c r="J148" s="60">
        <v>0.8</v>
      </c>
      <c r="K148" s="881">
        <f>(J147)*(1/H147)*(2/2)*(H148/1)</f>
        <v>0.15508478818132757</v>
      </c>
      <c r="L148" s="882"/>
      <c r="M148" s="788">
        <f>J148-K148</f>
        <v>0.64491521181867251</v>
      </c>
      <c r="N148" s="770">
        <f>M148/I148</f>
        <v>0.66486104311203353</v>
      </c>
      <c r="O148" s="1039"/>
    </row>
    <row r="149" spans="3:16" x14ac:dyDescent="0.25">
      <c r="C149" s="539"/>
      <c r="D149" s="536"/>
      <c r="F149" s="57" t="s">
        <v>107</v>
      </c>
      <c r="G149" s="537" t="s">
        <v>108</v>
      </c>
      <c r="H149" s="78">
        <v>318.32</v>
      </c>
      <c r="I149" s="474">
        <v>1.28</v>
      </c>
      <c r="J149" s="474">
        <v>0.5</v>
      </c>
      <c r="K149" s="1370" t="s">
        <v>702</v>
      </c>
      <c r="L149" s="1370"/>
      <c r="M149" s="1370"/>
      <c r="N149" s="1370"/>
      <c r="O149" s="1039"/>
    </row>
    <row r="150" spans="3:16" x14ac:dyDescent="0.25">
      <c r="D150" s="536"/>
      <c r="F150" s="56" t="s">
        <v>900</v>
      </c>
      <c r="G150" s="547" t="s">
        <v>704</v>
      </c>
      <c r="H150" s="76">
        <v>96.1</v>
      </c>
      <c r="I150" s="60">
        <v>0.78659999999999997</v>
      </c>
      <c r="J150" s="60">
        <v>0</v>
      </c>
      <c r="K150" s="166">
        <f>(J147/H147)*(2/2)*(H150/1)</f>
        <v>0.64827307069616824</v>
      </c>
      <c r="L150" s="166">
        <f>(J148/H148)*(2/2)*(H150/1)</f>
        <v>3.3440962368956382</v>
      </c>
      <c r="M150" s="542">
        <f>K150</f>
        <v>0.64827307069616824</v>
      </c>
      <c r="N150" s="698">
        <f>M150/I150</f>
        <v>0.82414578018836548</v>
      </c>
      <c r="O150" s="1039"/>
      <c r="P150" s="539"/>
    </row>
    <row r="151" spans="3:16" ht="16.5" thickBot="1" x14ac:dyDescent="0.3">
      <c r="D151" s="536"/>
      <c r="F151" s="57" t="s">
        <v>84</v>
      </c>
      <c r="G151" s="64" t="s">
        <v>696</v>
      </c>
      <c r="H151" s="193">
        <v>2.0158900000000002</v>
      </c>
      <c r="I151" s="64">
        <v>0.7</v>
      </c>
      <c r="J151" s="64">
        <v>0</v>
      </c>
      <c r="K151" s="166">
        <f>(J147/H147)*(1/2)*(H151/1)</f>
        <v>6.7994131138694007E-3</v>
      </c>
      <c r="L151" s="166">
        <f>(J148/H148)*(1/2)*(H151/1)</f>
        <v>3.5074558600393074E-2</v>
      </c>
      <c r="M151" s="542">
        <f>K151</f>
        <v>6.7994131138694007E-3</v>
      </c>
      <c r="N151" s="698">
        <f>M151/I151</f>
        <v>9.713447305527716E-3</v>
      </c>
      <c r="O151" s="1039"/>
    </row>
    <row r="152" spans="3:16" ht="32.25" customHeight="1" thickBot="1" x14ac:dyDescent="0.3">
      <c r="F152" s="1236" t="s">
        <v>53</v>
      </c>
      <c r="G152" s="1237"/>
      <c r="H152" s="1237"/>
      <c r="I152" s="1238"/>
      <c r="J152" s="802">
        <f>SUM(J147:J151)</f>
        <v>1.8</v>
      </c>
      <c r="K152" s="802">
        <f>SUM(K147:L148)-SUM(K150:K151)</f>
        <v>1.2304371289850735E-5</v>
      </c>
      <c r="L152" s="802">
        <f>SUM(K147:L148)-SUM(L150:L151)</f>
        <v>-2.7240860073147033</v>
      </c>
      <c r="M152" s="802">
        <f>SUM(M147:M148:M150:M151)</f>
        <v>1.29998769562871</v>
      </c>
      <c r="N152" s="802">
        <f>SUM(N147:N148:N150:N151)</f>
        <v>1.4987202706059268</v>
      </c>
      <c r="O152" s="884"/>
    </row>
    <row r="153" spans="3:16" ht="16.5" thickBot="1" x14ac:dyDescent="0.3"/>
    <row r="154" spans="3:16" x14ac:dyDescent="0.25">
      <c r="F154" s="1225" t="s">
        <v>112</v>
      </c>
      <c r="G154" s="1226"/>
      <c r="H154" s="1226"/>
      <c r="I154" s="1226"/>
      <c r="J154" s="1226"/>
      <c r="K154" s="1226"/>
      <c r="L154" s="1226"/>
      <c r="M154" s="1226"/>
      <c r="N154" s="1226"/>
      <c r="O154" s="1227"/>
    </row>
    <row r="155" spans="3:16" ht="19.5" thickBot="1" x14ac:dyDescent="0.3">
      <c r="F155" s="1239" t="s">
        <v>117</v>
      </c>
      <c r="G155" s="1240"/>
      <c r="H155" s="1240"/>
      <c r="I155" s="1240"/>
      <c r="J155" s="1240"/>
      <c r="K155" s="1240"/>
      <c r="L155" s="1240"/>
      <c r="M155" s="1240"/>
      <c r="N155" s="1240"/>
      <c r="O155" s="1241"/>
    </row>
    <row r="156" spans="3:16" ht="35.25" customHeight="1" thickBot="1" x14ac:dyDescent="0.3">
      <c r="F156" s="782" t="s">
        <v>0</v>
      </c>
      <c r="G156" s="610" t="s">
        <v>1</v>
      </c>
      <c r="H156" s="782" t="s">
        <v>2</v>
      </c>
      <c r="I156" s="782" t="s">
        <v>164</v>
      </c>
      <c r="J156" s="773" t="s">
        <v>779</v>
      </c>
      <c r="K156" s="879" t="s">
        <v>775</v>
      </c>
      <c r="L156" s="880"/>
      <c r="M156" s="783" t="s">
        <v>776</v>
      </c>
      <c r="N156" s="784" t="s">
        <v>777</v>
      </c>
      <c r="O156" s="779" t="s">
        <v>3</v>
      </c>
    </row>
    <row r="157" spans="3:16" ht="15.75" customHeight="1" x14ac:dyDescent="0.25">
      <c r="F157" s="295" t="s">
        <v>113</v>
      </c>
      <c r="G157" s="85" t="s">
        <v>114</v>
      </c>
      <c r="H157" s="87">
        <v>158.03399999999999</v>
      </c>
      <c r="I157" s="75">
        <v>2.7</v>
      </c>
      <c r="J157" s="87">
        <v>1</v>
      </c>
      <c r="K157" s="1234">
        <f>J157</f>
        <v>1</v>
      </c>
      <c r="L157" s="1235"/>
      <c r="M157" s="87">
        <f>J157-K157</f>
        <v>0</v>
      </c>
      <c r="N157" s="75">
        <f t="shared" ref="N157:N162" si="0">M157/I157</f>
        <v>0</v>
      </c>
      <c r="O157" s="1258" t="s">
        <v>705</v>
      </c>
    </row>
    <row r="158" spans="3:16" ht="18.75" x14ac:dyDescent="0.25">
      <c r="F158" s="56" t="s">
        <v>5</v>
      </c>
      <c r="G158" s="59" t="s">
        <v>90</v>
      </c>
      <c r="H158" s="692">
        <v>46.07</v>
      </c>
      <c r="I158" s="60">
        <v>0.78900000000000003</v>
      </c>
      <c r="J158" s="788">
        <v>1</v>
      </c>
      <c r="K158" s="1368">
        <f>(J157*(1/H157)*(3/4)*(H158/1))</f>
        <v>0.21863965982003875</v>
      </c>
      <c r="L158" s="1369"/>
      <c r="M158" s="692">
        <f>J158-K158</f>
        <v>0.78136034017996125</v>
      </c>
      <c r="N158" s="76">
        <f t="shared" si="0"/>
        <v>0.99031728793404461</v>
      </c>
      <c r="O158" s="1259"/>
    </row>
    <row r="159" spans="3:16" x14ac:dyDescent="0.25">
      <c r="F159" s="56" t="s">
        <v>62</v>
      </c>
      <c r="G159" s="59" t="s">
        <v>64</v>
      </c>
      <c r="H159" s="692">
        <v>60.052</v>
      </c>
      <c r="I159" s="60">
        <v>1.05</v>
      </c>
      <c r="J159" s="788">
        <v>0</v>
      </c>
      <c r="K159" s="681">
        <f>(J157*(1/H157)*(3/4)*(H159/1))</f>
        <v>0.28499563385094351</v>
      </c>
      <c r="L159" s="682">
        <f>(J158)*(1/H158)*(3/3)*(H159/1)</f>
        <v>1.3034946820056437</v>
      </c>
      <c r="M159" s="692">
        <f>K159</f>
        <v>0.28499563385094351</v>
      </c>
      <c r="N159" s="60">
        <f t="shared" si="0"/>
        <v>0.27142441319137478</v>
      </c>
      <c r="O159" s="1259"/>
    </row>
    <row r="160" spans="3:16" x14ac:dyDescent="0.25">
      <c r="F160" s="56" t="s">
        <v>115</v>
      </c>
      <c r="G160" s="59" t="s">
        <v>116</v>
      </c>
      <c r="H160" s="692">
        <v>86.936800000000005</v>
      </c>
      <c r="I160" s="60">
        <v>5.03</v>
      </c>
      <c r="J160" s="788">
        <v>0</v>
      </c>
      <c r="K160" s="681">
        <f>(J157*(1/H157)*(4/4)*(H160/1))</f>
        <v>0.55011453231583085</v>
      </c>
      <c r="L160" s="682">
        <f>(J158)*(1/H158)*(4/3)*(H160/1)</f>
        <v>2.5160784313725491</v>
      </c>
      <c r="M160" s="788">
        <f>K160</f>
        <v>0.55011453231583085</v>
      </c>
      <c r="N160" s="60">
        <f t="shared" si="0"/>
        <v>0.10936670622581129</v>
      </c>
      <c r="O160" s="1259"/>
      <c r="P160" s="1262"/>
    </row>
    <row r="161" spans="2:16" x14ac:dyDescent="0.25">
      <c r="F161" s="56" t="s">
        <v>92</v>
      </c>
      <c r="G161" s="60" t="s">
        <v>93</v>
      </c>
      <c r="H161" s="692">
        <v>56.105600000000003</v>
      </c>
      <c r="I161" s="60">
        <v>2.12</v>
      </c>
      <c r="J161" s="788">
        <v>0</v>
      </c>
      <c r="K161" s="681">
        <f>(J157*(1/H157)*(4/4)*(H161/1))</f>
        <v>0.35502233696546315</v>
      </c>
      <c r="L161" s="682">
        <f>(J158)*(1/H158)*(4/3)*(H161/1)</f>
        <v>1.6237783083713191</v>
      </c>
      <c r="M161" s="788">
        <f>K161</f>
        <v>0.35502233696546315</v>
      </c>
      <c r="N161" s="60">
        <f t="shared" si="0"/>
        <v>0.16746336649314297</v>
      </c>
      <c r="O161" s="1259"/>
      <c r="P161" s="1262"/>
    </row>
    <row r="162" spans="2:16" ht="19.5" thickBot="1" x14ac:dyDescent="0.3">
      <c r="F162" s="57" t="s">
        <v>45</v>
      </c>
      <c r="G162" s="86" t="s">
        <v>46</v>
      </c>
      <c r="H162" s="734">
        <v>18.015280000000001</v>
      </c>
      <c r="I162" s="64">
        <v>1</v>
      </c>
      <c r="J162" s="488">
        <v>0</v>
      </c>
      <c r="K162" s="683">
        <f>(J157*(1/H157)*(1/4)*(H162/1))</f>
        <v>2.8499057164913882E-2</v>
      </c>
      <c r="L162" s="682">
        <f>(J158)*(1/H158)*(1/3)*(H162/1)</f>
        <v>0.13034715288329354</v>
      </c>
      <c r="M162" s="488">
        <f>K162</f>
        <v>2.8499057164913882E-2</v>
      </c>
      <c r="N162" s="474">
        <f t="shared" si="0"/>
        <v>2.8499057164913882E-2</v>
      </c>
      <c r="O162" s="1259"/>
      <c r="P162" s="1262"/>
    </row>
    <row r="163" spans="2:16" ht="16.5" thickBot="1" x14ac:dyDescent="0.3">
      <c r="F163" s="1275" t="s">
        <v>53</v>
      </c>
      <c r="G163" s="1242"/>
      <c r="H163" s="1242"/>
      <c r="I163" s="1243"/>
      <c r="J163" s="802">
        <f>SUM(J157:J162)</f>
        <v>2</v>
      </c>
      <c r="K163" s="630">
        <f>SUM(K157:L158)-SUM(K159:K162)</f>
        <v>8.0995228872726699E-6</v>
      </c>
      <c r="L163" s="631">
        <f>SUM(K157:L158)-SUM(L159:L162)</f>
        <v>-4.3550589148127656</v>
      </c>
      <c r="M163" s="815">
        <f>SUM(M157:M162)</f>
        <v>1.9999919004771127</v>
      </c>
      <c r="N163" s="71">
        <f>SUM(N157:N162)</f>
        <v>1.5670708310092876</v>
      </c>
      <c r="O163" s="1260"/>
      <c r="P163" s="1262"/>
    </row>
    <row r="164" spans="2:16" x14ac:dyDescent="0.25">
      <c r="F164" s="1225"/>
      <c r="G164" s="1226"/>
      <c r="H164" s="1226"/>
      <c r="I164" s="1226"/>
      <c r="J164" s="1226"/>
      <c r="K164" s="1206"/>
      <c r="L164" s="1206"/>
      <c r="M164" s="1226"/>
      <c r="N164" s="1226"/>
      <c r="O164" s="1227"/>
      <c r="P164" s="1262"/>
    </row>
    <row r="165" spans="2:16" s="16" customFormat="1" ht="15.75" customHeight="1" thickBot="1" x14ac:dyDescent="0.3">
      <c r="B165" s="12"/>
      <c r="C165" s="12"/>
      <c r="D165" s="795"/>
      <c r="E165" s="840"/>
      <c r="F165" s="1239" t="s">
        <v>120</v>
      </c>
      <c r="G165" s="1240"/>
      <c r="H165" s="1240"/>
      <c r="I165" s="1240"/>
      <c r="J165" s="1240"/>
      <c r="K165" s="1240"/>
      <c r="L165" s="1240"/>
      <c r="M165" s="1240"/>
      <c r="N165" s="1240"/>
      <c r="O165" s="1241"/>
      <c r="P165" s="1262"/>
    </row>
    <row r="166" spans="2:16" s="16" customFormat="1" ht="35.25" customHeight="1" thickBot="1" x14ac:dyDescent="0.3">
      <c r="B166" s="12"/>
      <c r="C166" s="12"/>
      <c r="D166" s="795"/>
      <c r="E166" s="840"/>
      <c r="F166" s="782" t="s">
        <v>0</v>
      </c>
      <c r="G166" s="610" t="s">
        <v>1</v>
      </c>
      <c r="H166" s="782" t="s">
        <v>2</v>
      </c>
      <c r="I166" s="782" t="s">
        <v>164</v>
      </c>
      <c r="J166" s="773" t="s">
        <v>754</v>
      </c>
      <c r="K166" s="879" t="s">
        <v>775</v>
      </c>
      <c r="L166" s="880"/>
      <c r="M166" s="783" t="s">
        <v>776</v>
      </c>
      <c r="N166" s="784" t="s">
        <v>777</v>
      </c>
      <c r="O166" s="780" t="s">
        <v>3</v>
      </c>
      <c r="P166" s="1262"/>
    </row>
    <row r="167" spans="2:16" ht="15.75" customHeight="1" x14ac:dyDescent="0.25">
      <c r="F167" s="452" t="s">
        <v>113</v>
      </c>
      <c r="G167" s="538" t="s">
        <v>114</v>
      </c>
      <c r="H167" s="75">
        <v>158.03399999999999</v>
      </c>
      <c r="I167" s="87">
        <v>2.7</v>
      </c>
      <c r="J167" s="777">
        <v>1</v>
      </c>
      <c r="K167" s="1234">
        <f>J167</f>
        <v>1</v>
      </c>
      <c r="L167" s="1235"/>
      <c r="M167" s="786">
        <f>J167-K167</f>
        <v>0</v>
      </c>
      <c r="N167" s="63">
        <f t="shared" ref="N167:N172" si="1">M167/I167</f>
        <v>0</v>
      </c>
      <c r="O167" s="883" t="s">
        <v>538</v>
      </c>
    </row>
    <row r="168" spans="2:16" ht="18.75" x14ac:dyDescent="0.25">
      <c r="F168" s="453" t="s">
        <v>94</v>
      </c>
      <c r="G168" s="74" t="s">
        <v>95</v>
      </c>
      <c r="H168" s="76">
        <v>60.1</v>
      </c>
      <c r="I168" s="788">
        <v>0.78600000000000003</v>
      </c>
      <c r="J168" s="770">
        <v>1</v>
      </c>
      <c r="K168" s="1201">
        <f>(J167*(1/H167)*(3/4)*(H168/1))</f>
        <v>0.28522343293215385</v>
      </c>
      <c r="L168" s="1202"/>
      <c r="M168" s="788">
        <f>J168-K168</f>
        <v>0.71477656706784609</v>
      </c>
      <c r="N168" s="60">
        <f t="shared" si="1"/>
        <v>0.90938494537893899</v>
      </c>
      <c r="O168" s="1039"/>
    </row>
    <row r="169" spans="2:16" x14ac:dyDescent="0.25">
      <c r="F169" s="453" t="s">
        <v>118</v>
      </c>
      <c r="G169" s="74" t="s">
        <v>119</v>
      </c>
      <c r="H169" s="76">
        <v>74.08</v>
      </c>
      <c r="I169" s="788">
        <v>1</v>
      </c>
      <c r="J169" s="770">
        <v>0</v>
      </c>
      <c r="K169" s="681">
        <f>(J167*(1/H167)*(3/4)*(H169/1))</f>
        <v>0.35156991533467485</v>
      </c>
      <c r="L169" s="682">
        <f>($J$168)*(1/$H$168)*(3/3)*(H169/1)</f>
        <v>1.2326123128119799</v>
      </c>
      <c r="M169" s="788">
        <f>K169</f>
        <v>0.35156991533467485</v>
      </c>
      <c r="N169" s="60">
        <f t="shared" si="1"/>
        <v>0.35156991533467485</v>
      </c>
      <c r="O169" s="1039"/>
    </row>
    <row r="170" spans="2:16" x14ac:dyDescent="0.25">
      <c r="F170" s="453" t="s">
        <v>115</v>
      </c>
      <c r="G170" s="74" t="s">
        <v>116</v>
      </c>
      <c r="H170" s="76">
        <v>86.936800000000005</v>
      </c>
      <c r="I170" s="788">
        <v>5.03</v>
      </c>
      <c r="J170" s="770">
        <v>0</v>
      </c>
      <c r="K170" s="681">
        <f>(J167*(1/H167)*(4/4)*(H170/1))</f>
        <v>0.55011453231583085</v>
      </c>
      <c r="L170" s="682">
        <f>($J$168)*(1/$H$168)*(4/3)*(H170/1)</f>
        <v>1.92871436494731</v>
      </c>
      <c r="M170" s="788">
        <f>K170</f>
        <v>0.55011453231583085</v>
      </c>
      <c r="N170" s="60">
        <f t="shared" si="1"/>
        <v>0.10936670622581129</v>
      </c>
      <c r="O170" s="1039"/>
    </row>
    <row r="171" spans="2:16" x14ac:dyDescent="0.25">
      <c r="F171" s="453" t="s">
        <v>92</v>
      </c>
      <c r="G171" s="788" t="s">
        <v>93</v>
      </c>
      <c r="H171" s="76">
        <v>56.105600000000003</v>
      </c>
      <c r="I171" s="788">
        <v>2.12</v>
      </c>
      <c r="J171" s="770">
        <v>0</v>
      </c>
      <c r="K171" s="681">
        <f>(J167*(1/H167)*(4/4)*(H171/1))</f>
        <v>0.35502233696546315</v>
      </c>
      <c r="L171" s="682">
        <f>($J$168)*(1/$H$168)*(4/3)*(H171/1)</f>
        <v>1.2447165834719911</v>
      </c>
      <c r="M171" s="788">
        <f>K171</f>
        <v>0.35502233696546315</v>
      </c>
      <c r="N171" s="60">
        <f t="shared" si="1"/>
        <v>0.16746336649314297</v>
      </c>
      <c r="O171" s="1039"/>
    </row>
    <row r="172" spans="2:16" ht="19.5" thickBot="1" x14ac:dyDescent="0.3">
      <c r="F172" s="454" t="s">
        <v>45</v>
      </c>
      <c r="G172" s="77" t="s">
        <v>46</v>
      </c>
      <c r="H172" s="193">
        <v>18.015280000000001</v>
      </c>
      <c r="I172" s="488">
        <v>1</v>
      </c>
      <c r="J172" s="225">
        <v>0</v>
      </c>
      <c r="K172" s="683">
        <f>(J167*(1/H167)*(1/4)*(H172/1))</f>
        <v>2.8499057164913882E-2</v>
      </c>
      <c r="L172" s="682">
        <f>($J$168)*(1/$H$168)*(1/3)*(H172/1)</f>
        <v>9.9918358291735995E-2</v>
      </c>
      <c r="M172" s="488">
        <f>K172</f>
        <v>2.8499057164913882E-2</v>
      </c>
      <c r="N172" s="474">
        <f t="shared" si="1"/>
        <v>2.8499057164913882E-2</v>
      </c>
      <c r="O172" s="1039"/>
    </row>
    <row r="173" spans="2:16" ht="16.5" thickBot="1" x14ac:dyDescent="0.3">
      <c r="F173" s="1212" t="s">
        <v>53</v>
      </c>
      <c r="G173" s="1242"/>
      <c r="H173" s="1242"/>
      <c r="I173" s="1243"/>
      <c r="J173" s="802">
        <f>SUM(J167:J172)</f>
        <v>2</v>
      </c>
      <c r="K173" s="630">
        <f>SUM(K167:L168)-SUM(K169:K172)</f>
        <v>1.7591151270979211E-5</v>
      </c>
      <c r="L173" s="631">
        <f>SUM(K167:L168)-SUM(L169:L172)</f>
        <v>-3.2207381865908622</v>
      </c>
      <c r="M173" s="815">
        <f>SUM(M167:M172)</f>
        <v>1.9999824088487286</v>
      </c>
      <c r="N173" s="71">
        <f>SUM(N167:N172)</f>
        <v>1.5662839905974819</v>
      </c>
      <c r="O173" s="884"/>
    </row>
    <row r="174" spans="2:16" x14ac:dyDescent="0.25">
      <c r="F174" s="1225"/>
      <c r="G174" s="1226"/>
      <c r="H174" s="1226"/>
      <c r="I174" s="1226"/>
      <c r="J174" s="1226"/>
      <c r="K174" s="1206"/>
      <c r="L174" s="1206"/>
      <c r="M174" s="1226"/>
      <c r="N174" s="1226"/>
      <c r="O174" s="1227"/>
    </row>
    <row r="175" spans="2:16" ht="19.5" thickBot="1" x14ac:dyDescent="0.3">
      <c r="F175" s="1239" t="s">
        <v>123</v>
      </c>
      <c r="G175" s="1240"/>
      <c r="H175" s="1240"/>
      <c r="I175" s="1240"/>
      <c r="J175" s="1240"/>
      <c r="K175" s="1240"/>
      <c r="L175" s="1240"/>
      <c r="M175" s="1240"/>
      <c r="N175" s="1240"/>
      <c r="O175" s="1241"/>
    </row>
    <row r="176" spans="2:16" ht="35.25" customHeight="1" thickBot="1" x14ac:dyDescent="0.3">
      <c r="F176" s="782" t="s">
        <v>0</v>
      </c>
      <c r="G176" s="610" t="s">
        <v>1</v>
      </c>
      <c r="H176" s="782" t="s">
        <v>2</v>
      </c>
      <c r="I176" s="782" t="s">
        <v>164</v>
      </c>
      <c r="J176" s="773" t="s">
        <v>754</v>
      </c>
      <c r="K176" s="879" t="s">
        <v>775</v>
      </c>
      <c r="L176" s="880"/>
      <c r="M176" s="783" t="s">
        <v>776</v>
      </c>
      <c r="N176" s="784" t="s">
        <v>777</v>
      </c>
      <c r="O176" s="779" t="s">
        <v>3</v>
      </c>
    </row>
    <row r="177" spans="3:15" ht="15.75" customHeight="1" x14ac:dyDescent="0.25">
      <c r="F177" s="295" t="s">
        <v>113</v>
      </c>
      <c r="G177" s="85" t="s">
        <v>114</v>
      </c>
      <c r="H177" s="87">
        <v>158.03399999999999</v>
      </c>
      <c r="I177" s="75">
        <v>2.7</v>
      </c>
      <c r="J177" s="87">
        <v>1</v>
      </c>
      <c r="K177" s="1256">
        <f>J177</f>
        <v>1</v>
      </c>
      <c r="L177" s="1257"/>
      <c r="M177" s="786">
        <f>J177-K177</f>
        <v>0</v>
      </c>
      <c r="N177" s="63">
        <f t="shared" ref="N177:N182" si="2">M177/I177</f>
        <v>0</v>
      </c>
      <c r="O177" s="883" t="s">
        <v>539</v>
      </c>
    </row>
    <row r="178" spans="3:15" ht="18.75" x14ac:dyDescent="0.25">
      <c r="F178" s="56" t="s">
        <v>97</v>
      </c>
      <c r="G178" s="60" t="s">
        <v>98</v>
      </c>
      <c r="H178" s="692">
        <v>74.12</v>
      </c>
      <c r="I178" s="60">
        <v>0.78100000000000003</v>
      </c>
      <c r="J178" s="788">
        <v>1</v>
      </c>
      <c r="K178" s="1232">
        <f>(J177)*(1/H177)*(3/4)*(H178/1)</f>
        <v>0.35175974790235015</v>
      </c>
      <c r="L178" s="1233"/>
      <c r="M178" s="788">
        <f>J178-K178</f>
        <v>0.64824025209764979</v>
      </c>
      <c r="N178" s="60">
        <f t="shared" si="2"/>
        <v>0.83001312688559514</v>
      </c>
      <c r="O178" s="1039"/>
    </row>
    <row r="179" spans="3:15" ht="18.75" x14ac:dyDescent="0.25">
      <c r="F179" s="56" t="s">
        <v>121</v>
      </c>
      <c r="G179" s="330" t="s">
        <v>122</v>
      </c>
      <c r="H179" s="692">
        <v>88.11</v>
      </c>
      <c r="I179" s="60">
        <v>0.96</v>
      </c>
      <c r="J179" s="788">
        <v>0</v>
      </c>
      <c r="K179" s="681">
        <f>(J177*(1/H177)*(3/4)*(H179/1))</f>
        <v>0.41815368844678996</v>
      </c>
      <c r="L179" s="682">
        <f>(J178)*(1/H178)*(3/3)*(H179/1)</f>
        <v>1.1887479762547219</v>
      </c>
      <c r="M179" s="788">
        <f>K179</f>
        <v>0.41815368844678996</v>
      </c>
      <c r="N179" s="60">
        <f t="shared" si="2"/>
        <v>0.43557675879873958</v>
      </c>
      <c r="O179" s="1039"/>
    </row>
    <row r="180" spans="3:15" x14ac:dyDescent="0.25">
      <c r="F180" s="56" t="s">
        <v>92</v>
      </c>
      <c r="G180" s="60" t="s">
        <v>93</v>
      </c>
      <c r="H180" s="692">
        <v>56.105600000000003</v>
      </c>
      <c r="I180" s="60">
        <v>2.12</v>
      </c>
      <c r="J180" s="788">
        <v>0</v>
      </c>
      <c r="K180" s="681">
        <f>(J177*(1/H177)*(4/4)*(H180/1))</f>
        <v>0.35502233696546315</v>
      </c>
      <c r="L180" s="682">
        <f>(J178)*(1/H178)*(4/3)*(H180/1)</f>
        <v>1.009275049469329</v>
      </c>
      <c r="M180" s="788">
        <f>K180</f>
        <v>0.35502233696546315</v>
      </c>
      <c r="N180" s="60">
        <f t="shared" si="2"/>
        <v>0.16746336649314297</v>
      </c>
      <c r="O180" s="1039"/>
    </row>
    <row r="181" spans="3:15" x14ac:dyDescent="0.25">
      <c r="F181" s="56" t="s">
        <v>115</v>
      </c>
      <c r="G181" s="59" t="s">
        <v>116</v>
      </c>
      <c r="H181" s="692">
        <v>86.936800000000005</v>
      </c>
      <c r="I181" s="60">
        <v>5.03</v>
      </c>
      <c r="J181" s="788">
        <v>0</v>
      </c>
      <c r="K181" s="681">
        <f>(J177*(1/H177)*(4/4)*(H181/1))</f>
        <v>0.55011453231583085</v>
      </c>
      <c r="L181" s="682">
        <f>(J178)*(1/H178)*(4/3)*(H181/1)</f>
        <v>1.5638927864723871</v>
      </c>
      <c r="M181" s="788">
        <f>K181</f>
        <v>0.55011453231583085</v>
      </c>
      <c r="N181" s="60">
        <f t="shared" si="2"/>
        <v>0.10936670622581129</v>
      </c>
      <c r="O181" s="1039"/>
    </row>
    <row r="182" spans="3:15" ht="19.5" thickBot="1" x14ac:dyDescent="0.3">
      <c r="F182" s="57" t="s">
        <v>45</v>
      </c>
      <c r="G182" s="324" t="s">
        <v>46</v>
      </c>
      <c r="H182" s="734">
        <v>18.015280000000001</v>
      </c>
      <c r="I182" s="474">
        <v>1</v>
      </c>
      <c r="J182" s="488">
        <v>0</v>
      </c>
      <c r="K182" s="683">
        <f>(J177*(1/H177)*(1/4)*(H182/1))</f>
        <v>2.8499057164913882E-2</v>
      </c>
      <c r="L182" s="682">
        <f>(J178)*(1/H178)*(1/3)*(H182/1)</f>
        <v>8.1018528512322358E-2</v>
      </c>
      <c r="M182" s="488">
        <f>K182</f>
        <v>2.8499057164913882E-2</v>
      </c>
      <c r="N182" s="474">
        <f t="shared" si="2"/>
        <v>2.8499057164913882E-2</v>
      </c>
      <c r="O182" s="1039"/>
    </row>
    <row r="183" spans="3:15" ht="16.5" thickBot="1" x14ac:dyDescent="0.3">
      <c r="F183" s="1236" t="s">
        <v>53</v>
      </c>
      <c r="G183" s="1237"/>
      <c r="H183" s="1237"/>
      <c r="I183" s="1238"/>
      <c r="J183" s="71">
        <f>SUM(J177:J182)</f>
        <v>2</v>
      </c>
      <c r="K183" s="630">
        <f>SUM(K177:L178)-SUM(K179:K182)</f>
        <v>-2.9866990647553493E-5</v>
      </c>
      <c r="L183" s="631">
        <f>SUM(K177:L178)-SUM(L179:L182)</f>
        <v>-2.4911745928064102</v>
      </c>
      <c r="M183" s="815">
        <f>SUM(M177:M182)</f>
        <v>2.0000298669906473</v>
      </c>
      <c r="N183" s="71">
        <f>SUM(N177:N182)</f>
        <v>1.5709190155682029</v>
      </c>
      <c r="O183" s="884"/>
    </row>
    <row r="185" spans="3:15" ht="16.5" thickBot="1" x14ac:dyDescent="0.3"/>
    <row r="186" spans="3:15" x14ac:dyDescent="0.25">
      <c r="D186" s="841"/>
      <c r="F186" s="1225" t="s">
        <v>124</v>
      </c>
      <c r="G186" s="1226"/>
      <c r="H186" s="1226"/>
      <c r="I186" s="1226"/>
      <c r="J186" s="1226"/>
      <c r="K186" s="1226"/>
      <c r="L186" s="1226"/>
      <c r="M186" s="1226"/>
      <c r="N186" s="1226"/>
      <c r="O186" s="1227"/>
    </row>
    <row r="187" spans="3:15" ht="21" customHeight="1" thickBot="1" x14ac:dyDescent="0.3">
      <c r="F187" s="1357" t="s">
        <v>706</v>
      </c>
      <c r="G187" s="1358"/>
      <c r="H187" s="1358"/>
      <c r="I187" s="1358"/>
      <c r="J187" s="1358"/>
      <c r="K187" s="1358"/>
      <c r="L187" s="1358"/>
      <c r="M187" s="1358"/>
      <c r="N187" s="1358"/>
      <c r="O187" s="1359"/>
    </row>
    <row r="188" spans="3:15" ht="62.25" customHeight="1" thickBot="1" x14ac:dyDescent="0.3">
      <c r="F188" s="768" t="s">
        <v>0</v>
      </c>
      <c r="G188" s="773" t="s">
        <v>1</v>
      </c>
      <c r="H188" s="773" t="s">
        <v>2</v>
      </c>
      <c r="I188" s="773" t="s">
        <v>164</v>
      </c>
      <c r="J188" s="773" t="s">
        <v>754</v>
      </c>
      <c r="K188" s="879" t="s">
        <v>775</v>
      </c>
      <c r="L188" s="880"/>
      <c r="M188" s="783" t="s">
        <v>776</v>
      </c>
      <c r="N188" s="784" t="s">
        <v>777</v>
      </c>
      <c r="O188" s="53" t="s">
        <v>3</v>
      </c>
    </row>
    <row r="189" spans="3:15" ht="32.25" customHeight="1" thickBot="1" x14ac:dyDescent="0.3">
      <c r="F189" s="55" t="s">
        <v>124</v>
      </c>
      <c r="G189" s="842" t="s">
        <v>603</v>
      </c>
      <c r="H189" s="812">
        <v>36.450000000000003</v>
      </c>
      <c r="I189" s="805">
        <v>1.1499999999999999</v>
      </c>
      <c r="J189" s="789">
        <v>1</v>
      </c>
      <c r="K189" s="1234">
        <f>J189</f>
        <v>1</v>
      </c>
      <c r="L189" s="1360"/>
      <c r="M189" s="75">
        <f>J189-K189</f>
        <v>0</v>
      </c>
      <c r="N189" s="778">
        <f>M189/I189</f>
        <v>0</v>
      </c>
      <c r="O189" s="1351" t="s">
        <v>832</v>
      </c>
    </row>
    <row r="190" spans="3:15" ht="18.75" customHeight="1" x14ac:dyDescent="0.25">
      <c r="F190" s="56" t="s">
        <v>5</v>
      </c>
      <c r="G190" s="59" t="s">
        <v>90</v>
      </c>
      <c r="H190" s="692">
        <v>46.07</v>
      </c>
      <c r="I190" s="60">
        <v>0.78900000000000003</v>
      </c>
      <c r="J190" s="785">
        <v>15</v>
      </c>
      <c r="K190" s="1228">
        <f>(J189)*(1/H189)*(1/1)*(H190/1)</f>
        <v>1.263923182441701</v>
      </c>
      <c r="L190" s="1231"/>
      <c r="M190" s="60">
        <f>J190-K190</f>
        <v>13.736076817558299</v>
      </c>
      <c r="N190" s="771">
        <f>M190/I190</f>
        <v>17.409476321366665</v>
      </c>
      <c r="O190" s="1352"/>
    </row>
    <row r="191" spans="3:15" x14ac:dyDescent="0.25">
      <c r="F191" s="56" t="s">
        <v>829</v>
      </c>
      <c r="G191" s="699" t="s">
        <v>707</v>
      </c>
      <c r="H191" s="692">
        <v>64.510000000000005</v>
      </c>
      <c r="I191" s="60">
        <v>0.92</v>
      </c>
      <c r="J191" s="770">
        <v>0</v>
      </c>
      <c r="K191" s="790">
        <f>(J189/H189)*(1/1)*(H191/1)</f>
        <v>1.7698216735253773</v>
      </c>
      <c r="L191" s="796">
        <f>(J190/H190)*(1/1)*(H191/1)</f>
        <v>21.003907097894512</v>
      </c>
      <c r="M191" s="60">
        <f>K191</f>
        <v>1.7698216735253773</v>
      </c>
      <c r="N191" s="771">
        <f>M191/I191</f>
        <v>1.9237192103536709</v>
      </c>
      <c r="O191" s="1352"/>
    </row>
    <row r="192" spans="3:15" ht="19.5" thickBot="1" x14ac:dyDescent="0.3">
      <c r="C192" s="702"/>
      <c r="F192" s="57" t="s">
        <v>45</v>
      </c>
      <c r="G192" s="86" t="s">
        <v>46</v>
      </c>
      <c r="H192" s="734">
        <v>18.015280000000001</v>
      </c>
      <c r="I192" s="474">
        <v>1</v>
      </c>
      <c r="J192" s="225">
        <v>0</v>
      </c>
      <c r="K192" s="825">
        <f>(J189/H189)*(1/1)*(H192/1)</f>
        <v>0.4942463648834019</v>
      </c>
      <c r="L192" s="90">
        <f>(J190/H190)*(1/1)*(H192/1)</f>
        <v>5.8656218797482094</v>
      </c>
      <c r="M192" s="64">
        <f>K192</f>
        <v>0.4942463648834019</v>
      </c>
      <c r="N192" s="650">
        <f>M192/I192</f>
        <v>0.4942463648834019</v>
      </c>
      <c r="O192" s="1352"/>
    </row>
    <row r="193" spans="6:15" ht="24.75" customHeight="1" thickBot="1" x14ac:dyDescent="0.3">
      <c r="F193" s="863" t="s">
        <v>53</v>
      </c>
      <c r="G193" s="864"/>
      <c r="H193" s="864"/>
      <c r="I193" s="865"/>
      <c r="J193" s="71">
        <f>SUM(J189:J192)</f>
        <v>16</v>
      </c>
      <c r="K193" s="830">
        <f>SUM(K189:L190)-SUM(K191:K192)</f>
        <v>-1.448559670782501E-4</v>
      </c>
      <c r="L193" s="816">
        <f>SUM(K189:L190)-SUM(L191:L192)</f>
        <v>-24.605605795201022</v>
      </c>
      <c r="M193" s="830">
        <f>SUM(M189:M192)</f>
        <v>16.000144855967079</v>
      </c>
      <c r="N193" s="818">
        <f>SUM(N189:N192)</f>
        <v>19.827441896603737</v>
      </c>
      <c r="O193" s="1353"/>
    </row>
    <row r="194" spans="6:15" ht="24.75" customHeight="1" thickBot="1" x14ac:dyDescent="0.3">
      <c r="F194" s="548"/>
      <c r="G194" s="548"/>
      <c r="H194" s="548"/>
      <c r="I194" s="548"/>
      <c r="J194" s="798"/>
      <c r="K194" s="798"/>
      <c r="L194" s="329"/>
      <c r="M194" s="798"/>
      <c r="N194" s="798"/>
      <c r="O194" s="793"/>
    </row>
    <row r="195" spans="6:15" ht="24.75" customHeight="1" x14ac:dyDescent="0.25">
      <c r="F195" s="1225" t="s">
        <v>124</v>
      </c>
      <c r="G195" s="1226"/>
      <c r="H195" s="1226"/>
      <c r="I195" s="1226"/>
      <c r="J195" s="1226"/>
      <c r="K195" s="1226"/>
      <c r="L195" s="1226"/>
      <c r="M195" s="1226"/>
      <c r="N195" s="1226"/>
      <c r="O195" s="1227"/>
    </row>
    <row r="196" spans="6:15" ht="17.25" thickBot="1" x14ac:dyDescent="0.3">
      <c r="F196" s="1365" t="s">
        <v>711</v>
      </c>
      <c r="G196" s="1366"/>
      <c r="H196" s="1366"/>
      <c r="I196" s="1366"/>
      <c r="J196" s="1366"/>
      <c r="K196" s="1366"/>
      <c r="L196" s="1366"/>
      <c r="M196" s="1366"/>
      <c r="N196" s="1366"/>
      <c r="O196" s="1367"/>
    </row>
    <row r="197" spans="6:15" ht="35.25" customHeight="1" thickBot="1" x14ac:dyDescent="0.3">
      <c r="F197" s="768" t="s">
        <v>0</v>
      </c>
      <c r="G197" s="773" t="s">
        <v>1</v>
      </c>
      <c r="H197" s="769" t="s">
        <v>2</v>
      </c>
      <c r="I197" s="773" t="s">
        <v>164</v>
      </c>
      <c r="J197" s="773" t="s">
        <v>754</v>
      </c>
      <c r="K197" s="879" t="s">
        <v>775</v>
      </c>
      <c r="L197" s="880"/>
      <c r="M197" s="783" t="s">
        <v>776</v>
      </c>
      <c r="N197" s="784" t="s">
        <v>777</v>
      </c>
      <c r="O197" s="53" t="s">
        <v>3</v>
      </c>
    </row>
    <row r="198" spans="6:15" ht="24.75" customHeight="1" x14ac:dyDescent="0.25">
      <c r="F198" s="55" t="s">
        <v>604</v>
      </c>
      <c r="G198" s="843" t="s">
        <v>603</v>
      </c>
      <c r="H198" s="804">
        <v>36.450000000000003</v>
      </c>
      <c r="I198" s="804">
        <v>1.1499999999999999</v>
      </c>
      <c r="J198" s="775">
        <v>1</v>
      </c>
      <c r="K198" s="1234">
        <f>J198</f>
        <v>1</v>
      </c>
      <c r="L198" s="1360"/>
      <c r="M198" s="75">
        <f>J198-K198</f>
        <v>0</v>
      </c>
      <c r="N198" s="778">
        <f>M198/I198</f>
        <v>0</v>
      </c>
      <c r="O198" s="974" t="s">
        <v>830</v>
      </c>
    </row>
    <row r="199" spans="6:15" ht="24.75" customHeight="1" x14ac:dyDescent="0.25">
      <c r="F199" s="56" t="s">
        <v>94</v>
      </c>
      <c r="G199" s="59" t="s">
        <v>95</v>
      </c>
      <c r="H199" s="76">
        <v>60.1</v>
      </c>
      <c r="I199" s="60">
        <v>0.78600000000000003</v>
      </c>
      <c r="J199" s="770">
        <v>15</v>
      </c>
      <c r="K199" s="1228">
        <f>(J198)*(1/H198)*(1/1)*(H199/1)</f>
        <v>1.6488340192043895</v>
      </c>
      <c r="L199" s="1231"/>
      <c r="M199" s="60">
        <f>J199-K199</f>
        <v>13.35116598079561</v>
      </c>
      <c r="N199" s="771">
        <f>M199/I199</f>
        <v>16.986216260554212</v>
      </c>
      <c r="O199" s="975"/>
    </row>
    <row r="200" spans="6:15" x14ac:dyDescent="0.25">
      <c r="F200" s="56" t="s">
        <v>709</v>
      </c>
      <c r="G200" s="159" t="s">
        <v>710</v>
      </c>
      <c r="H200" s="805">
        <v>78.540000000000006</v>
      </c>
      <c r="I200" s="833">
        <v>0.89</v>
      </c>
      <c r="J200" s="641">
        <v>0</v>
      </c>
      <c r="K200" s="790">
        <f>(J198/H198)*(1/1)*(H200/1)</f>
        <v>2.1547325102880661</v>
      </c>
      <c r="L200" s="796">
        <f>(J199/H199)*(1/1)*(H200/1)</f>
        <v>19.602329450915143</v>
      </c>
      <c r="M200" s="60">
        <f>K200</f>
        <v>2.1547325102880661</v>
      </c>
      <c r="N200" s="771">
        <f>M200/I200</f>
        <v>2.4210477643686135</v>
      </c>
      <c r="O200" s="975"/>
    </row>
    <row r="201" spans="6:15" ht="19.5" thickBot="1" x14ac:dyDescent="0.3">
      <c r="F201" s="57" t="s">
        <v>45</v>
      </c>
      <c r="G201" s="86" t="s">
        <v>46</v>
      </c>
      <c r="H201" s="193">
        <v>18.015280000000001</v>
      </c>
      <c r="I201" s="64">
        <v>1</v>
      </c>
      <c r="J201" s="649">
        <v>0</v>
      </c>
      <c r="K201" s="230">
        <f>(J198/H198)*(1/1)*(H201/1)</f>
        <v>0.4942463648834019</v>
      </c>
      <c r="L201" s="677">
        <f>(J199/H199)*(1/1)*(H201/1)</f>
        <v>4.49632612312812</v>
      </c>
      <c r="M201" s="474">
        <f>K201</f>
        <v>0.4942463648834019</v>
      </c>
      <c r="N201" s="814">
        <f>M201/I201</f>
        <v>0.4942463648834019</v>
      </c>
      <c r="O201" s="975"/>
    </row>
    <row r="202" spans="6:15" ht="24.75" customHeight="1" thickBot="1" x14ac:dyDescent="0.3">
      <c r="F202" s="863" t="s">
        <v>53</v>
      </c>
      <c r="G202" s="864"/>
      <c r="H202" s="864"/>
      <c r="I202" s="865"/>
      <c r="J202" s="802">
        <f>SUM(J198:J201)</f>
        <v>16</v>
      </c>
      <c r="K202" s="809">
        <f>SUM(K198:L199)-SUM(K200:K201)</f>
        <v>-1.4485596707869419E-4</v>
      </c>
      <c r="L202" s="813">
        <f>SUM(K198:L199)-SUM(L200:L201)</f>
        <v>-21.449821554838874</v>
      </c>
      <c r="M202" s="71">
        <f>SUM(M198:M201)</f>
        <v>16.000144855967079</v>
      </c>
      <c r="N202" s="803">
        <f>SUM(N198:N201)</f>
        <v>19.901510389806226</v>
      </c>
      <c r="O202" s="976"/>
    </row>
    <row r="203" spans="6:15" ht="24.75" customHeight="1" thickBot="1" x14ac:dyDescent="0.3">
      <c r="F203" s="548"/>
      <c r="G203" s="548"/>
      <c r="H203" s="548"/>
      <c r="I203" s="548"/>
      <c r="J203" s="798"/>
      <c r="K203" s="798"/>
      <c r="L203" s="329"/>
      <c r="M203" s="798"/>
      <c r="N203" s="798"/>
      <c r="O203" s="793"/>
    </row>
    <row r="204" spans="6:15" ht="16.5" thickBot="1" x14ac:dyDescent="0.3">
      <c r="F204" s="1225" t="s">
        <v>124</v>
      </c>
      <c r="G204" s="1226"/>
      <c r="H204" s="1226"/>
      <c r="I204" s="1226"/>
      <c r="J204" s="1226"/>
      <c r="K204" s="1226"/>
      <c r="L204" s="1226"/>
      <c r="M204" s="1226"/>
      <c r="N204" s="1226"/>
      <c r="O204" s="1227"/>
    </row>
    <row r="205" spans="6:15" ht="17.25" thickBot="1" x14ac:dyDescent="0.3">
      <c r="F205" s="1361" t="s">
        <v>712</v>
      </c>
      <c r="G205" s="1362"/>
      <c r="H205" s="1362"/>
      <c r="I205" s="1362"/>
      <c r="J205" s="1362"/>
      <c r="K205" s="1362"/>
      <c r="L205" s="1362"/>
      <c r="M205" s="1362"/>
      <c r="N205" s="1362"/>
      <c r="O205" s="1363"/>
    </row>
    <row r="206" spans="6:15" ht="36" customHeight="1" thickBot="1" x14ac:dyDescent="0.3">
      <c r="F206" s="768" t="s">
        <v>0</v>
      </c>
      <c r="G206" s="781" t="s">
        <v>1</v>
      </c>
      <c r="H206" s="769" t="s">
        <v>2</v>
      </c>
      <c r="I206" s="773" t="s">
        <v>164</v>
      </c>
      <c r="J206" s="773" t="s">
        <v>754</v>
      </c>
      <c r="K206" s="879" t="s">
        <v>775</v>
      </c>
      <c r="L206" s="880"/>
      <c r="M206" s="783" t="s">
        <v>776</v>
      </c>
      <c r="N206" s="784" t="s">
        <v>777</v>
      </c>
      <c r="O206" s="53" t="s">
        <v>3</v>
      </c>
    </row>
    <row r="207" spans="6:15" ht="24.75" customHeight="1" x14ac:dyDescent="0.25">
      <c r="F207" s="55" t="s">
        <v>604</v>
      </c>
      <c r="G207" s="844" t="s">
        <v>603</v>
      </c>
      <c r="H207" s="812">
        <v>36.450000000000003</v>
      </c>
      <c r="I207" s="805">
        <v>1.1499999999999999</v>
      </c>
      <c r="J207" s="789">
        <v>1</v>
      </c>
      <c r="K207" s="1234">
        <f>J207</f>
        <v>1</v>
      </c>
      <c r="L207" s="1235"/>
      <c r="M207" s="821">
        <f>J207-K207</f>
        <v>0</v>
      </c>
      <c r="N207" s="75">
        <f>M207/I207</f>
        <v>0</v>
      </c>
      <c r="O207" s="1364" t="s">
        <v>831</v>
      </c>
    </row>
    <row r="208" spans="6:15" ht="18" customHeight="1" x14ac:dyDescent="0.25">
      <c r="F208" s="57" t="s">
        <v>97</v>
      </c>
      <c r="G208" s="60" t="s">
        <v>98</v>
      </c>
      <c r="H208" s="734">
        <v>74.12</v>
      </c>
      <c r="I208" s="474">
        <v>0.78100000000000003</v>
      </c>
      <c r="J208" s="225">
        <v>15</v>
      </c>
      <c r="K208" s="1228">
        <f>(J207)*(1/H207)*(1/1)*(H208/1)</f>
        <v>2.0334705075445818</v>
      </c>
      <c r="L208" s="1229"/>
      <c r="M208" s="788">
        <f>J208-K208</f>
        <v>12.966529492455418</v>
      </c>
      <c r="N208" s="60">
        <f>M208/I208</f>
        <v>16.602470540916027</v>
      </c>
      <c r="O208" s="1364"/>
    </row>
    <row r="209" spans="3:15" ht="15.6" customHeight="1" x14ac:dyDescent="0.25">
      <c r="C209" s="703"/>
      <c r="F209" s="56" t="s">
        <v>833</v>
      </c>
      <c r="G209" s="700" t="s">
        <v>708</v>
      </c>
      <c r="H209" s="692">
        <v>92.56</v>
      </c>
      <c r="I209" s="60">
        <v>0.88</v>
      </c>
      <c r="J209" s="770">
        <v>0</v>
      </c>
      <c r="K209" s="790">
        <f>(J207/H207)*(1/1)*(H209/1)</f>
        <v>2.5393689986282579</v>
      </c>
      <c r="L209" s="791">
        <f>(J208/H208)*(1/1)*(H209/1)</f>
        <v>18.731786292498651</v>
      </c>
      <c r="M209" s="788">
        <f>K209</f>
        <v>2.5393689986282579</v>
      </c>
      <c r="N209" s="60">
        <f>M209/I209</f>
        <v>2.8856465893502929</v>
      </c>
      <c r="O209" s="1364"/>
    </row>
    <row r="210" spans="3:15" ht="24.75" customHeight="1" thickBot="1" x14ac:dyDescent="0.3">
      <c r="F210" s="57" t="s">
        <v>45</v>
      </c>
      <c r="G210" s="86" t="s">
        <v>46</v>
      </c>
      <c r="H210" s="734">
        <v>18.015280000000001</v>
      </c>
      <c r="I210" s="474">
        <v>1</v>
      </c>
      <c r="J210" s="421">
        <v>0</v>
      </c>
      <c r="K210" s="825">
        <f>(J207/H207)*(1/1)*(H210/1)</f>
        <v>0.4942463648834019</v>
      </c>
      <c r="L210" s="222">
        <f>(J208/H208)*(1/1)*(H210/1)</f>
        <v>3.6458337830545058</v>
      </c>
      <c r="M210" s="788">
        <f>K210</f>
        <v>0.4942463648834019</v>
      </c>
      <c r="N210" s="64">
        <f>M210/I210</f>
        <v>0.4942463648834019</v>
      </c>
      <c r="O210" s="1364"/>
    </row>
    <row r="211" spans="3:15" ht="24.75" customHeight="1" thickBot="1" x14ac:dyDescent="0.3">
      <c r="F211" s="863" t="s">
        <v>53</v>
      </c>
      <c r="G211" s="1195"/>
      <c r="H211" s="864"/>
      <c r="I211" s="865"/>
      <c r="J211" s="71">
        <f>SUM(J207:J210)</f>
        <v>16</v>
      </c>
      <c r="K211" s="830">
        <f>SUM(K207:L208)-SUM(K209:K210)</f>
        <v>-1.448559670782501E-4</v>
      </c>
      <c r="L211" s="830">
        <f>SUM(K207:L208)-SUM(L209:L210)</f>
        <v>-19.344149568008575</v>
      </c>
      <c r="M211" s="71">
        <f>SUM(M207:M210)</f>
        <v>16.000144855967079</v>
      </c>
      <c r="N211" s="71">
        <f>SUM(N207:N210)</f>
        <v>19.982363495149723</v>
      </c>
      <c r="O211" s="1353"/>
    </row>
    <row r="213" spans="3:15" ht="16.5" thickBot="1" x14ac:dyDescent="0.3"/>
    <row r="214" spans="3:15" ht="42.75" customHeight="1" thickBot="1" x14ac:dyDescent="0.3">
      <c r="F214" s="866" t="s">
        <v>127</v>
      </c>
      <c r="G214" s="867"/>
      <c r="H214" s="867"/>
      <c r="I214" s="867"/>
      <c r="J214" s="867"/>
      <c r="K214" s="867"/>
      <c r="L214" s="867"/>
      <c r="M214" s="867"/>
      <c r="N214" s="867"/>
      <c r="O214" s="868"/>
    </row>
    <row r="215" spans="3:15" x14ac:dyDescent="0.25">
      <c r="F215" s="1291" t="s">
        <v>129</v>
      </c>
      <c r="G215" s="1292"/>
      <c r="H215" s="1292"/>
      <c r="I215" s="1292"/>
      <c r="J215" s="1292"/>
      <c r="K215" s="1292"/>
      <c r="L215" s="1292"/>
      <c r="M215" s="1292"/>
      <c r="N215" s="1292"/>
      <c r="O215" s="1293"/>
    </row>
    <row r="216" spans="3:15" ht="19.5" thickBot="1" x14ac:dyDescent="0.3">
      <c r="F216" s="1347" t="s">
        <v>139</v>
      </c>
      <c r="G216" s="1317"/>
      <c r="H216" s="1317"/>
      <c r="I216" s="1317"/>
      <c r="J216" s="1317"/>
      <c r="K216" s="1317"/>
      <c r="L216" s="1317"/>
      <c r="M216" s="1317"/>
      <c r="N216" s="1317"/>
      <c r="O216" s="1318"/>
    </row>
    <row r="217" spans="3:15" ht="35.25" customHeight="1" thickBot="1" x14ac:dyDescent="0.3">
      <c r="F217" s="782" t="s">
        <v>0</v>
      </c>
      <c r="G217" s="610" t="s">
        <v>1</v>
      </c>
      <c r="H217" s="782" t="s">
        <v>2</v>
      </c>
      <c r="I217" s="782" t="s">
        <v>164</v>
      </c>
      <c r="J217" s="769" t="s">
        <v>754</v>
      </c>
      <c r="K217" s="879" t="s">
        <v>656</v>
      </c>
      <c r="L217" s="880"/>
      <c r="M217" s="773" t="s">
        <v>657</v>
      </c>
      <c r="N217" s="769" t="s">
        <v>658</v>
      </c>
      <c r="O217" s="779" t="s">
        <v>3</v>
      </c>
    </row>
    <row r="218" spans="3:15" x14ac:dyDescent="0.25">
      <c r="F218" s="295" t="s">
        <v>113</v>
      </c>
      <c r="G218" s="85" t="s">
        <v>114</v>
      </c>
      <c r="H218" s="87">
        <v>158.03399999999999</v>
      </c>
      <c r="I218" s="75">
        <v>2.7</v>
      </c>
      <c r="J218" s="87">
        <v>1</v>
      </c>
      <c r="K218" s="1106">
        <f>J218</f>
        <v>1</v>
      </c>
      <c r="L218" s="1107"/>
      <c r="M218" s="786">
        <f>J218-K218</f>
        <v>0</v>
      </c>
      <c r="N218" s="63">
        <f t="shared" ref="N218:N223" si="3">M218/I218</f>
        <v>0</v>
      </c>
      <c r="O218" s="1058" t="s">
        <v>612</v>
      </c>
    </row>
    <row r="219" spans="3:15" ht="18.75" x14ac:dyDescent="0.25">
      <c r="F219" s="56" t="s">
        <v>60</v>
      </c>
      <c r="G219" s="59" t="s">
        <v>61</v>
      </c>
      <c r="H219" s="692">
        <v>58.08</v>
      </c>
      <c r="I219" s="60">
        <v>0.78400000000000003</v>
      </c>
      <c r="J219" s="788">
        <v>1</v>
      </c>
      <c r="K219" s="1186">
        <f>(J218)*(1/H218)*(3/16)*(H219/1)</f>
        <v>6.8909222066137671E-2</v>
      </c>
      <c r="L219" s="1187"/>
      <c r="M219" s="788">
        <f>J219-K219</f>
        <v>0.9310907779338623</v>
      </c>
      <c r="N219" s="60">
        <f t="shared" si="3"/>
        <v>1.1876157881809468</v>
      </c>
      <c r="O219" s="1082"/>
    </row>
    <row r="220" spans="3:15" x14ac:dyDescent="0.25">
      <c r="F220" s="56" t="s">
        <v>115</v>
      </c>
      <c r="G220" s="59" t="s">
        <v>116</v>
      </c>
      <c r="H220" s="692">
        <v>86.936800000000005</v>
      </c>
      <c r="I220" s="60">
        <v>5.03</v>
      </c>
      <c r="J220" s="788">
        <v>0</v>
      </c>
      <c r="K220" s="681">
        <f>(J218*(1/H218)*(16/16)*(H220/1))</f>
        <v>0.55011453231583085</v>
      </c>
      <c r="L220" s="682">
        <f>(J219)*(1/H219)*(16/3)*(H220/1)</f>
        <v>7.9831772268135905</v>
      </c>
      <c r="M220" s="788">
        <f>K220</f>
        <v>0.55011453231583085</v>
      </c>
      <c r="N220" s="60">
        <f t="shared" si="3"/>
        <v>0.10936670622581129</v>
      </c>
      <c r="O220" s="1082"/>
    </row>
    <row r="221" spans="3:15" ht="18.75" x14ac:dyDescent="0.25">
      <c r="F221" s="56" t="s">
        <v>834</v>
      </c>
      <c r="G221" s="59" t="s">
        <v>132</v>
      </c>
      <c r="H221" s="692">
        <v>44.01</v>
      </c>
      <c r="I221" s="60">
        <v>1.9759999999999999E-3</v>
      </c>
      <c r="J221" s="788">
        <v>0</v>
      </c>
      <c r="K221" s="681">
        <f>(J218*(1/H218)*(9/16)*(H221/1))</f>
        <v>0.15664746193857018</v>
      </c>
      <c r="L221" s="682">
        <f>(J219)*(1/H219)*(9/3)*(H221/1)</f>
        <v>2.2732438016528924</v>
      </c>
      <c r="M221" s="788">
        <f>K221</f>
        <v>0.15664746193857018</v>
      </c>
      <c r="N221" s="60">
        <f t="shared" si="3"/>
        <v>79.275031345430264</v>
      </c>
      <c r="O221" s="1082"/>
    </row>
    <row r="222" spans="3:15" ht="18.75" x14ac:dyDescent="0.25">
      <c r="F222" s="56" t="s">
        <v>45</v>
      </c>
      <c r="G222" s="59" t="s">
        <v>46</v>
      </c>
      <c r="H222" s="692">
        <v>18.015280000000001</v>
      </c>
      <c r="I222" s="60">
        <v>1</v>
      </c>
      <c r="J222" s="788">
        <v>0</v>
      </c>
      <c r="K222" s="681">
        <f>(J218*(1/H218)*(1/16)*(H222/1))</f>
        <v>7.1247642912284706E-3</v>
      </c>
      <c r="L222" s="682">
        <f>(J219)*(1/H219)*(1/3)*(H222/1)</f>
        <v>0.10339348025711662</v>
      </c>
      <c r="M222" s="788">
        <f>K222</f>
        <v>7.1247642912284706E-3</v>
      </c>
      <c r="N222" s="60">
        <f t="shared" si="3"/>
        <v>7.1247642912284706E-3</v>
      </c>
      <c r="O222" s="1082"/>
    </row>
    <row r="223" spans="3:15" ht="16.5" thickBot="1" x14ac:dyDescent="0.3">
      <c r="F223" s="57" t="s">
        <v>92</v>
      </c>
      <c r="G223" s="64" t="s">
        <v>93</v>
      </c>
      <c r="H223" s="734">
        <v>56.105600000000003</v>
      </c>
      <c r="I223" s="64">
        <v>2.12</v>
      </c>
      <c r="J223" s="488">
        <v>0</v>
      </c>
      <c r="K223" s="685">
        <f>(J218*(1/H218)*(16/16)*(H223/1))</f>
        <v>0.35502233696546315</v>
      </c>
      <c r="L223" s="686">
        <f>(J219)*(1/H219)*(16/3)*(H223/1)</f>
        <v>5.1520293847566574</v>
      </c>
      <c r="M223" s="488">
        <f>K223</f>
        <v>0.35502233696546315</v>
      </c>
      <c r="N223" s="474">
        <f t="shared" si="3"/>
        <v>0.16746336649314297</v>
      </c>
      <c r="O223" s="1082"/>
    </row>
    <row r="224" spans="3:15" ht="16.5" thickBot="1" x14ac:dyDescent="0.3">
      <c r="F224" s="1275" t="s">
        <v>53</v>
      </c>
      <c r="G224" s="1242"/>
      <c r="H224" s="1242"/>
      <c r="I224" s="1243"/>
      <c r="J224" s="71">
        <f>SUM(J218:J223)</f>
        <v>2</v>
      </c>
      <c r="K224" s="630">
        <f>SUMSQ(K218:L219)-SUM(K220:K223)</f>
        <v>-6.416061462533218E-2</v>
      </c>
      <c r="L224" s="631">
        <f>SUM(K218:L219)-SUM(L220:L223)</f>
        <v>-14.44293467141412</v>
      </c>
      <c r="M224" s="815">
        <f>SUM(M218:M223)</f>
        <v>1.9999998734449549</v>
      </c>
      <c r="N224" s="71">
        <f>SUM(N218:N223)</f>
        <v>80.746601970621398</v>
      </c>
      <c r="O224" s="1083"/>
    </row>
    <row r="225" spans="6:15" x14ac:dyDescent="0.25">
      <c r="F225" s="1344"/>
      <c r="G225" s="1345"/>
      <c r="H225" s="1345"/>
      <c r="I225" s="1345"/>
      <c r="J225" s="1345"/>
      <c r="K225" s="1345"/>
      <c r="L225" s="1345"/>
      <c r="M225" s="1345"/>
      <c r="N225" s="1345"/>
      <c r="O225" s="1346"/>
    </row>
    <row r="226" spans="6:15" ht="21" thickBot="1" x14ac:dyDescent="0.3">
      <c r="F226" s="1347" t="s">
        <v>142</v>
      </c>
      <c r="G226" s="1317"/>
      <c r="H226" s="1317"/>
      <c r="I226" s="1317"/>
      <c r="J226" s="1317"/>
      <c r="K226" s="1317"/>
      <c r="L226" s="1317"/>
      <c r="M226" s="1317"/>
      <c r="N226" s="1317"/>
      <c r="O226" s="1318"/>
    </row>
    <row r="227" spans="6:15" ht="35.25" customHeight="1" thickBot="1" x14ac:dyDescent="0.3">
      <c r="F227" s="782" t="s">
        <v>0</v>
      </c>
      <c r="G227" s="610" t="s">
        <v>1</v>
      </c>
      <c r="H227" s="782" t="s">
        <v>2</v>
      </c>
      <c r="I227" s="782" t="s">
        <v>164</v>
      </c>
      <c r="J227" s="769" t="s">
        <v>754</v>
      </c>
      <c r="K227" s="879" t="s">
        <v>656</v>
      </c>
      <c r="L227" s="880"/>
      <c r="M227" s="773" t="s">
        <v>657</v>
      </c>
      <c r="N227" s="769" t="s">
        <v>658</v>
      </c>
      <c r="O227" s="779" t="s">
        <v>3</v>
      </c>
    </row>
    <row r="228" spans="6:15" x14ac:dyDescent="0.25">
      <c r="F228" s="295" t="s">
        <v>113</v>
      </c>
      <c r="G228" s="85" t="s">
        <v>114</v>
      </c>
      <c r="H228" s="87">
        <v>158.03399999999999</v>
      </c>
      <c r="I228" s="75">
        <v>2.7</v>
      </c>
      <c r="J228" s="87">
        <v>1</v>
      </c>
      <c r="K228" s="1106">
        <f>J228</f>
        <v>1</v>
      </c>
      <c r="L228" s="1107"/>
      <c r="M228" s="786">
        <f>J228-K228</f>
        <v>0</v>
      </c>
      <c r="N228" s="63">
        <f t="shared" ref="N228:N233" si="4">M228/I228</f>
        <v>0</v>
      </c>
      <c r="O228" s="1348" t="s">
        <v>902</v>
      </c>
    </row>
    <row r="229" spans="6:15" ht="18.75" x14ac:dyDescent="0.25">
      <c r="F229" s="56" t="s">
        <v>59</v>
      </c>
      <c r="G229" s="59" t="s">
        <v>128</v>
      </c>
      <c r="H229" s="692">
        <v>30.030999999999999</v>
      </c>
      <c r="I229" s="60">
        <v>0.81499999999999995</v>
      </c>
      <c r="J229" s="788">
        <v>1</v>
      </c>
      <c r="K229" s="1186">
        <f>(J228)*(1/H228)*(3/4)*(H229/1)</f>
        <v>0.14252154599643116</v>
      </c>
      <c r="L229" s="1187"/>
      <c r="M229" s="788">
        <f>J229-K229</f>
        <v>0.85747845400356881</v>
      </c>
      <c r="N229" s="60">
        <f t="shared" si="4"/>
        <v>1.0521208024583668</v>
      </c>
      <c r="O229" s="1349"/>
    </row>
    <row r="230" spans="6:15" ht="20.25" x14ac:dyDescent="0.25">
      <c r="F230" s="56" t="s">
        <v>140</v>
      </c>
      <c r="G230" s="331" t="s">
        <v>141</v>
      </c>
      <c r="H230" s="692">
        <v>138.20599999999999</v>
      </c>
      <c r="I230" s="60">
        <v>2.4300000000000002</v>
      </c>
      <c r="J230" s="788">
        <v>0</v>
      </c>
      <c r="K230" s="681">
        <f>(J228*(1/H228)*(2/4)*(H230/1))</f>
        <v>0.43726666413556575</v>
      </c>
      <c r="L230" s="682">
        <f>(J229)*(1/H229)*(2/3)*(H230/1)</f>
        <v>3.0680741012065309</v>
      </c>
      <c r="M230" s="788">
        <f>K230</f>
        <v>0.43726666413556575</v>
      </c>
      <c r="N230" s="60">
        <f t="shared" si="4"/>
        <v>0.17994512927389536</v>
      </c>
      <c r="O230" s="1349"/>
    </row>
    <row r="231" spans="6:15" x14ac:dyDescent="0.25">
      <c r="F231" s="56" t="s">
        <v>130</v>
      </c>
      <c r="G231" s="59" t="s">
        <v>116</v>
      </c>
      <c r="H231" s="692">
        <v>86.936800000000005</v>
      </c>
      <c r="I231" s="60">
        <v>5.03</v>
      </c>
      <c r="J231" s="788">
        <v>0</v>
      </c>
      <c r="K231" s="681">
        <f>(J228*(1/H228)*(4/4)*(H231/1))</f>
        <v>0.55011453231583085</v>
      </c>
      <c r="L231" s="682">
        <f>(J229)*(1/H229)*(4/3)*(H231/1)</f>
        <v>3.8598692462233477</v>
      </c>
      <c r="M231" s="788">
        <f>K231</f>
        <v>0.55011453231583085</v>
      </c>
      <c r="N231" s="60">
        <f t="shared" si="4"/>
        <v>0.10936670622581129</v>
      </c>
      <c r="O231" s="1349"/>
    </row>
    <row r="232" spans="6:15" ht="15.75" customHeight="1" x14ac:dyDescent="0.25">
      <c r="F232" s="56" t="s">
        <v>45</v>
      </c>
      <c r="G232" s="59" t="s">
        <v>46</v>
      </c>
      <c r="H232" s="692">
        <v>18.015280000000001</v>
      </c>
      <c r="I232" s="60">
        <v>1</v>
      </c>
      <c r="J232" s="788">
        <v>0</v>
      </c>
      <c r="K232" s="681">
        <f>(J228*(1/H228)*(3/4)*(H232/1))</f>
        <v>8.5497171494741647E-2</v>
      </c>
      <c r="L232" s="682">
        <f>(J229)*(1/H229)*(3/3)*(H232/1)</f>
        <v>0.59988944757084361</v>
      </c>
      <c r="M232" s="788">
        <f>K232</f>
        <v>8.5497171494741647E-2</v>
      </c>
      <c r="N232" s="60">
        <f t="shared" si="4"/>
        <v>8.5497171494741647E-2</v>
      </c>
      <c r="O232" s="1349"/>
    </row>
    <row r="233" spans="6:15" ht="19.5" thickBot="1" x14ac:dyDescent="0.3">
      <c r="F233" s="84" t="s">
        <v>834</v>
      </c>
      <c r="G233" s="86" t="s">
        <v>132</v>
      </c>
      <c r="H233" s="88">
        <v>44.01</v>
      </c>
      <c r="I233" s="64">
        <v>1.9759999999999999E-3</v>
      </c>
      <c r="J233" s="89">
        <v>0</v>
      </c>
      <c r="K233" s="685">
        <f>(J228*(1/H228)*(1/4)*(H233/1))</f>
        <v>6.9621094194920075E-2</v>
      </c>
      <c r="L233" s="686">
        <f>(J229)*(1/H229)*(1/3)*(H233/1)</f>
        <v>0.48849522160434222</v>
      </c>
      <c r="M233" s="89">
        <f>K233</f>
        <v>6.9621094194920075E-2</v>
      </c>
      <c r="N233" s="64">
        <f t="shared" si="4"/>
        <v>35.233347264635668</v>
      </c>
      <c r="O233" s="1349"/>
    </row>
    <row r="234" spans="6:15" ht="16.5" thickBot="1" x14ac:dyDescent="0.3">
      <c r="F234" s="1212" t="s">
        <v>53</v>
      </c>
      <c r="G234" s="1213"/>
      <c r="H234" s="1213"/>
      <c r="I234" s="1214"/>
      <c r="J234" s="71">
        <f>SUM(J228:J233)</f>
        <v>2</v>
      </c>
      <c r="K234" s="630">
        <f>SUM(K228:L229)-SUM(K230:K233)</f>
        <v>2.2083855372834194E-5</v>
      </c>
      <c r="L234" s="631">
        <f>SUM(K228:L229)-SUM(L230:M233)</f>
        <v>-8.0163059327496935</v>
      </c>
      <c r="M234" s="817">
        <f>SUM(M228:M233)</f>
        <v>1.9999779161446272</v>
      </c>
      <c r="N234" s="830">
        <f>SUM(N228:N233)</f>
        <v>36.660277074088484</v>
      </c>
      <c r="O234" s="1350"/>
    </row>
    <row r="235" spans="6:15" ht="16.5" thickBot="1" x14ac:dyDescent="0.3">
      <c r="L235" s="550"/>
    </row>
    <row r="236" spans="6:15" ht="16.5" thickBot="1" x14ac:dyDescent="0.3">
      <c r="F236" s="551"/>
      <c r="G236" s="524"/>
      <c r="H236" s="443"/>
      <c r="I236" s="524"/>
      <c r="J236" s="524"/>
      <c r="K236" s="524"/>
      <c r="L236" s="550"/>
      <c r="M236" s="524"/>
      <c r="N236" s="524"/>
      <c r="O236" s="177"/>
    </row>
    <row r="237" spans="6:15" x14ac:dyDescent="0.25">
      <c r="F237" s="1291" t="s">
        <v>605</v>
      </c>
      <c r="G237" s="1292"/>
      <c r="H237" s="1292"/>
      <c r="I237" s="1292"/>
      <c r="J237" s="1292"/>
      <c r="K237" s="1292"/>
      <c r="L237" s="1292"/>
      <c r="M237" s="1292"/>
      <c r="N237" s="1292"/>
      <c r="O237" s="1293"/>
    </row>
    <row r="238" spans="6:15" ht="16.5" thickBot="1" x14ac:dyDescent="0.3">
      <c r="F238" s="988" t="s">
        <v>713</v>
      </c>
      <c r="G238" s="1317"/>
      <c r="H238" s="1317"/>
      <c r="I238" s="1317"/>
      <c r="J238" s="1317"/>
      <c r="K238" s="1317"/>
      <c r="L238" s="1317"/>
      <c r="M238" s="1317"/>
      <c r="N238" s="1317"/>
      <c r="O238" s="1318"/>
    </row>
    <row r="239" spans="6:15" ht="36.6" customHeight="1" thickBot="1" x14ac:dyDescent="0.3">
      <c r="F239" s="782" t="s">
        <v>0</v>
      </c>
      <c r="G239" s="610" t="s">
        <v>1</v>
      </c>
      <c r="H239" s="782" t="s">
        <v>2</v>
      </c>
      <c r="I239" s="782" t="s">
        <v>164</v>
      </c>
      <c r="J239" s="769" t="s">
        <v>754</v>
      </c>
      <c r="K239" s="879" t="s">
        <v>656</v>
      </c>
      <c r="L239" s="880"/>
      <c r="M239" s="773" t="s">
        <v>657</v>
      </c>
      <c r="N239" s="769" t="s">
        <v>658</v>
      </c>
      <c r="O239" s="779" t="s">
        <v>674</v>
      </c>
    </row>
    <row r="240" spans="6:15" ht="18" customHeight="1" x14ac:dyDescent="0.25">
      <c r="F240" s="83" t="s">
        <v>60</v>
      </c>
      <c r="G240" s="85" t="s">
        <v>61</v>
      </c>
      <c r="H240" s="87">
        <v>58.08</v>
      </c>
      <c r="I240" s="63">
        <v>0.78400000000000003</v>
      </c>
      <c r="J240" s="786">
        <v>1</v>
      </c>
      <c r="K240" s="1336" t="s">
        <v>756</v>
      </c>
      <c r="L240" s="1337"/>
      <c r="M240" s="1337"/>
      <c r="N240" s="1337"/>
      <c r="O240" s="1338"/>
    </row>
    <row r="241" spans="2:16" ht="18.75" x14ac:dyDescent="0.25">
      <c r="F241" s="56" t="s">
        <v>45</v>
      </c>
      <c r="G241" s="59" t="s">
        <v>46</v>
      </c>
      <c r="H241" s="692">
        <v>18.015280000000001</v>
      </c>
      <c r="I241" s="60">
        <v>1</v>
      </c>
      <c r="J241" s="788">
        <v>1</v>
      </c>
      <c r="K241" s="1262"/>
      <c r="L241" s="1339"/>
      <c r="M241" s="1339"/>
      <c r="N241" s="1339"/>
      <c r="O241" s="1340"/>
    </row>
    <row r="242" spans="2:16" ht="15.75" customHeight="1" x14ac:dyDescent="0.25">
      <c r="F242" s="56" t="s">
        <v>92</v>
      </c>
      <c r="G242" s="60" t="s">
        <v>93</v>
      </c>
      <c r="H242" s="692">
        <v>56.105600000000003</v>
      </c>
      <c r="I242" s="60">
        <v>2.12</v>
      </c>
      <c r="J242" s="788">
        <v>2</v>
      </c>
      <c r="K242" s="1262"/>
      <c r="L242" s="1339"/>
      <c r="M242" s="1339"/>
      <c r="N242" s="1339"/>
      <c r="O242" s="1340"/>
    </row>
    <row r="243" spans="2:16" ht="16.5" thickBot="1" x14ac:dyDescent="0.3">
      <c r="F243" s="84" t="s">
        <v>143</v>
      </c>
      <c r="G243" s="64"/>
      <c r="H243" s="88"/>
      <c r="I243" s="64">
        <v>1.01</v>
      </c>
      <c r="J243" s="89">
        <v>0.05</v>
      </c>
      <c r="K243" s="1341"/>
      <c r="L243" s="1342"/>
      <c r="M243" s="1342"/>
      <c r="N243" s="1342"/>
      <c r="O243" s="1343"/>
    </row>
    <row r="245" spans="2:16" ht="16.5" thickBot="1" x14ac:dyDescent="0.3"/>
    <row r="246" spans="2:16" x14ac:dyDescent="0.25">
      <c r="F246" s="866" t="s">
        <v>144</v>
      </c>
      <c r="G246" s="867"/>
      <c r="H246" s="867"/>
      <c r="I246" s="867"/>
      <c r="J246" s="867"/>
      <c r="K246" s="867"/>
      <c r="L246" s="867"/>
      <c r="M246" s="867"/>
      <c r="N246" s="867"/>
      <c r="O246" s="868"/>
    </row>
    <row r="247" spans="2:16" ht="16.5" thickBot="1" x14ac:dyDescent="0.3">
      <c r="F247" s="893" t="s">
        <v>145</v>
      </c>
      <c r="G247" s="894"/>
      <c r="H247" s="894"/>
      <c r="I247" s="894"/>
      <c r="J247" s="894"/>
      <c r="K247" s="894"/>
      <c r="L247" s="894"/>
      <c r="M247" s="894"/>
      <c r="N247" s="894"/>
      <c r="O247" s="895"/>
    </row>
    <row r="248" spans="2:16" ht="18" thickBot="1" x14ac:dyDescent="0.3">
      <c r="F248" s="1301" t="s">
        <v>595</v>
      </c>
      <c r="G248" s="1302"/>
      <c r="H248" s="1302"/>
      <c r="I248" s="1302"/>
      <c r="J248" s="1302"/>
      <c r="K248" s="1302"/>
      <c r="L248" s="1302"/>
      <c r="M248" s="1302"/>
      <c r="N248" s="1302"/>
      <c r="O248" s="1303"/>
    </row>
    <row r="249" spans="2:16" ht="36.75" customHeight="1" thickBot="1" x14ac:dyDescent="0.3">
      <c r="F249" s="773" t="s">
        <v>0</v>
      </c>
      <c r="G249" s="824" t="s">
        <v>1</v>
      </c>
      <c r="H249" s="773" t="s">
        <v>2</v>
      </c>
      <c r="I249" s="773" t="s">
        <v>164</v>
      </c>
      <c r="J249" s="769" t="s">
        <v>754</v>
      </c>
      <c r="K249" s="879" t="s">
        <v>656</v>
      </c>
      <c r="L249" s="880"/>
      <c r="M249" s="773" t="s">
        <v>657</v>
      </c>
      <c r="N249" s="769" t="s">
        <v>658</v>
      </c>
      <c r="O249" s="53" t="s">
        <v>3</v>
      </c>
    </row>
    <row r="250" spans="2:16" ht="19.5" thickBot="1" x14ac:dyDescent="0.3">
      <c r="F250" s="95" t="s">
        <v>73</v>
      </c>
      <c r="G250" s="94" t="s">
        <v>74</v>
      </c>
      <c r="H250" s="804">
        <v>122.12</v>
      </c>
      <c r="I250" s="829">
        <v>1.27</v>
      </c>
      <c r="J250" s="600">
        <v>2</v>
      </c>
      <c r="K250" s="1184">
        <f>J250</f>
        <v>2</v>
      </c>
      <c r="L250" s="1185"/>
      <c r="M250" s="524">
        <f>J250-K250</f>
        <v>0</v>
      </c>
      <c r="N250" s="829">
        <f>M250/I250</f>
        <v>0</v>
      </c>
      <c r="O250" s="885" t="s">
        <v>904</v>
      </c>
    </row>
    <row r="251" spans="2:16" ht="18.75" x14ac:dyDescent="0.25">
      <c r="F251" s="69" t="s">
        <v>45</v>
      </c>
      <c r="G251" s="59" t="s">
        <v>46</v>
      </c>
      <c r="H251" s="76">
        <v>18.015280000000001</v>
      </c>
      <c r="I251" s="60">
        <v>1</v>
      </c>
      <c r="J251" s="770">
        <v>100</v>
      </c>
      <c r="K251" s="1228">
        <f>(J250)*(1/H250)*(1/1)*(H251/1)</f>
        <v>0.29504225352112678</v>
      </c>
      <c r="L251" s="1229"/>
      <c r="M251" s="787">
        <f>J251-K251</f>
        <v>99.704957746478868</v>
      </c>
      <c r="N251" s="63">
        <f>M251/I251</f>
        <v>99.704957746478868</v>
      </c>
      <c r="O251" s="1218"/>
    </row>
    <row r="252" spans="2:16" ht="16.5" x14ac:dyDescent="0.3">
      <c r="F252" s="69" t="s">
        <v>642</v>
      </c>
      <c r="G252" s="419" t="s">
        <v>581</v>
      </c>
      <c r="H252" s="805">
        <v>19.02</v>
      </c>
      <c r="I252" s="60">
        <v>1.1599999999999999</v>
      </c>
      <c r="J252" s="770">
        <v>0</v>
      </c>
      <c r="K252" s="681">
        <f>(J250/H250)*(1/1)*(H252/1)</f>
        <v>0.31149688830658367</v>
      </c>
      <c r="L252" s="682">
        <f>(J251)*(1/H251)*(1/1)*(H252/1)</f>
        <v>105.57704348752837</v>
      </c>
      <c r="M252" s="771">
        <f>K252</f>
        <v>0.31149688830658367</v>
      </c>
      <c r="N252" s="60">
        <f>M252/I252</f>
        <v>0.26853180026429629</v>
      </c>
      <c r="O252" s="1218"/>
    </row>
    <row r="253" spans="2:16" s="9" customFormat="1" ht="25.5" customHeight="1" thickBot="1" x14ac:dyDescent="0.3">
      <c r="B253" s="5"/>
      <c r="C253" s="5"/>
      <c r="D253" s="5"/>
      <c r="E253" s="845"/>
      <c r="F253" s="655" t="s">
        <v>903</v>
      </c>
      <c r="G253" s="704" t="s">
        <v>580</v>
      </c>
      <c r="H253" s="193">
        <v>121.11</v>
      </c>
      <c r="I253" s="193">
        <v>1.5</v>
      </c>
      <c r="J253" s="828">
        <v>0</v>
      </c>
      <c r="K253" s="652">
        <f>(J250/H250)*(1/1)*(H253/1)</f>
        <v>1.9834588928922372</v>
      </c>
      <c r="L253" s="653">
        <f>(J251)*(1/H251)*(1/1)*(H253/1)</f>
        <v>672.26265703336287</v>
      </c>
      <c r="M253" s="445">
        <f>K253</f>
        <v>1.9834588928922372</v>
      </c>
      <c r="N253" s="193">
        <f>M253/I253</f>
        <v>1.3223059285948249</v>
      </c>
      <c r="O253" s="1218"/>
      <c r="P253" s="5"/>
    </row>
    <row r="254" spans="2:16" ht="16.5" thickBot="1" x14ac:dyDescent="0.3">
      <c r="F254" s="863" t="s">
        <v>180</v>
      </c>
      <c r="G254" s="864"/>
      <c r="H254" s="864"/>
      <c r="I254" s="864"/>
      <c r="J254" s="813">
        <f>SUM(J250:J253)</f>
        <v>102</v>
      </c>
      <c r="K254" s="687">
        <f>SUM(K250:L251)-SUM(K252:K253)</f>
        <v>8.6472322305741756E-5</v>
      </c>
      <c r="L254" s="688">
        <f>SUM(K250:L251)-SUM(L252:L253)</f>
        <v>-775.5446582673701</v>
      </c>
      <c r="M254" s="619">
        <f>SUM(M250:M253)</f>
        <v>101.99991352767768</v>
      </c>
      <c r="N254" s="810">
        <f>SUM(N250:N253)</f>
        <v>101.295795475338</v>
      </c>
      <c r="O254" s="886"/>
    </row>
    <row r="256" spans="2:16" ht="16.5" thickBot="1" x14ac:dyDescent="0.3"/>
    <row r="257" spans="6:16" x14ac:dyDescent="0.25">
      <c r="F257" s="1291" t="s">
        <v>146</v>
      </c>
      <c r="G257" s="1292"/>
      <c r="H257" s="1292"/>
      <c r="I257" s="1292"/>
      <c r="J257" s="1292"/>
      <c r="K257" s="1292"/>
      <c r="L257" s="1292"/>
      <c r="M257" s="1292"/>
      <c r="N257" s="1292"/>
      <c r="O257" s="1293"/>
    </row>
    <row r="258" spans="6:16" ht="19.5" thickBot="1" x14ac:dyDescent="0.3">
      <c r="F258" s="1304" t="s">
        <v>586</v>
      </c>
      <c r="G258" s="1305"/>
      <c r="H258" s="1305"/>
      <c r="I258" s="1305"/>
      <c r="J258" s="1305"/>
      <c r="K258" s="1305"/>
      <c r="L258" s="1305"/>
      <c r="M258" s="1305"/>
      <c r="N258" s="1305"/>
      <c r="O258" s="1306"/>
    </row>
    <row r="259" spans="6:16" ht="35.25" customHeight="1" thickBot="1" x14ac:dyDescent="0.3">
      <c r="F259" s="773" t="s">
        <v>0</v>
      </c>
      <c r="G259" s="824" t="s">
        <v>1</v>
      </c>
      <c r="H259" s="773" t="s">
        <v>2</v>
      </c>
      <c r="I259" s="773" t="s">
        <v>164</v>
      </c>
      <c r="J259" s="769" t="s">
        <v>754</v>
      </c>
      <c r="K259" s="879" t="s">
        <v>656</v>
      </c>
      <c r="L259" s="880"/>
      <c r="M259" s="773" t="s">
        <v>657</v>
      </c>
      <c r="N259" s="769" t="s">
        <v>658</v>
      </c>
      <c r="O259" s="53" t="s">
        <v>3</v>
      </c>
    </row>
    <row r="260" spans="6:16" ht="15.75" customHeight="1" x14ac:dyDescent="0.35">
      <c r="F260" s="327" t="s">
        <v>840</v>
      </c>
      <c r="G260" s="425" t="s">
        <v>587</v>
      </c>
      <c r="H260" s="424">
        <v>88</v>
      </c>
      <c r="I260" s="797">
        <v>0.9</v>
      </c>
      <c r="J260" s="785">
        <v>3</v>
      </c>
      <c r="K260" s="1203">
        <f>J260</f>
        <v>3</v>
      </c>
      <c r="L260" s="1204"/>
      <c r="M260" s="617">
        <f>J260-K260</f>
        <v>0</v>
      </c>
      <c r="N260" s="797">
        <f>M260/I260</f>
        <v>0</v>
      </c>
      <c r="O260" s="883" t="s">
        <v>835</v>
      </c>
    </row>
    <row r="261" spans="6:16" x14ac:dyDescent="0.25">
      <c r="F261" s="48" t="s">
        <v>36</v>
      </c>
      <c r="G261" s="41" t="s">
        <v>37</v>
      </c>
      <c r="H261" s="800">
        <v>49</v>
      </c>
      <c r="I261" s="692">
        <v>1.83</v>
      </c>
      <c r="J261" s="799">
        <v>1</v>
      </c>
      <c r="K261" s="1199">
        <f>(J261)*(1/H261)*(1/1)*(H261/1)</f>
        <v>0.99999999999999989</v>
      </c>
      <c r="L261" s="1200"/>
      <c r="M261" s="800">
        <f>J261-K261</f>
        <v>0</v>
      </c>
      <c r="N261" s="692">
        <f>M261/I261</f>
        <v>0</v>
      </c>
      <c r="O261" s="1039"/>
    </row>
    <row r="262" spans="6:16" ht="18.75" x14ac:dyDescent="0.35">
      <c r="F262" s="48" t="s">
        <v>781</v>
      </c>
      <c r="G262" s="427" t="s">
        <v>583</v>
      </c>
      <c r="H262" s="423">
        <v>60</v>
      </c>
      <c r="I262" s="734">
        <v>1.05</v>
      </c>
      <c r="J262" s="429">
        <v>0</v>
      </c>
      <c r="K262" s="710">
        <f>(J260/H260)*(1/1)*(H262/1)</f>
        <v>2.0454545454545454</v>
      </c>
      <c r="L262" s="711">
        <f>($J$261)*(1/$H$261)*(1/1)*(H262/1)</f>
        <v>1.2244897959183672</v>
      </c>
      <c r="M262" s="423">
        <f>L262</f>
        <v>1.2244897959183672</v>
      </c>
      <c r="N262" s="734">
        <f>M262/I262</f>
        <v>1.1661807580174925</v>
      </c>
      <c r="O262" s="1039"/>
    </row>
    <row r="263" spans="6:16" ht="18.75" x14ac:dyDescent="0.3">
      <c r="F263" s="49" t="s">
        <v>5</v>
      </c>
      <c r="G263" s="428" t="s">
        <v>584</v>
      </c>
      <c r="H263" s="423">
        <v>46</v>
      </c>
      <c r="I263" s="734">
        <v>0.78900000000000003</v>
      </c>
      <c r="J263" s="429">
        <v>0</v>
      </c>
      <c r="K263" s="710">
        <f>(J260/H260)*(1/1)*(H263/1)</f>
        <v>1.5681818181818181</v>
      </c>
      <c r="L263" s="711">
        <f>($J$261)*(1/$H$261)*(1/1)*(H263/1)</f>
        <v>0.93877551020408156</v>
      </c>
      <c r="M263" s="423">
        <f>L263</f>
        <v>0.93877551020408156</v>
      </c>
      <c r="N263" s="734">
        <f>M263/I263</f>
        <v>1.1898295439848943</v>
      </c>
      <c r="O263" s="1039"/>
    </row>
    <row r="264" spans="6:16" ht="19.5" thickBot="1" x14ac:dyDescent="0.35">
      <c r="F264" s="49" t="s">
        <v>839</v>
      </c>
      <c r="G264" s="426" t="s">
        <v>585</v>
      </c>
      <c r="H264" s="423">
        <v>80</v>
      </c>
      <c r="I264" s="734">
        <v>1.92</v>
      </c>
      <c r="J264" s="429">
        <v>0</v>
      </c>
      <c r="K264" s="712">
        <f>(J260/H260)*(1/1)*(H264/1)</f>
        <v>2.7272727272727271</v>
      </c>
      <c r="L264" s="713">
        <f>($J$261)*(1/$H$261)*(1/1)*(H264/1)</f>
        <v>1.6326530612244896</v>
      </c>
      <c r="M264" s="423">
        <f>L264</f>
        <v>1.6326530612244896</v>
      </c>
      <c r="N264" s="734">
        <f>M264/I264</f>
        <v>0.85034013605442171</v>
      </c>
      <c r="O264" s="1039"/>
    </row>
    <row r="265" spans="6:16" ht="16.5" thickBot="1" x14ac:dyDescent="0.3">
      <c r="F265" s="1307" t="s">
        <v>53</v>
      </c>
      <c r="G265" s="1308"/>
      <c r="H265" s="1308"/>
      <c r="I265" s="1309"/>
      <c r="J265" s="802">
        <f>SUM(J260:J264)</f>
        <v>4</v>
      </c>
      <c r="K265" s="714">
        <f>SUM(K260:L261)-SUM(K262:K264)</f>
        <v>-2.3409090909090899</v>
      </c>
      <c r="L265" s="715">
        <f>SUM(K260:L261)-SUM(L262:L264)</f>
        <v>0.2040816326530619</v>
      </c>
      <c r="M265" s="803">
        <f>SUM(M260:M264)</f>
        <v>3.7959183673469381</v>
      </c>
      <c r="N265" s="803">
        <f>SUM(N260:N264)</f>
        <v>3.2063504380568086</v>
      </c>
      <c r="O265" s="884"/>
    </row>
    <row r="266" spans="6:16" ht="40.5" customHeight="1" thickBot="1" x14ac:dyDescent="0.3"/>
    <row r="267" spans="6:16" ht="24" customHeight="1" x14ac:dyDescent="0.25">
      <c r="F267" s="1291" t="s">
        <v>147</v>
      </c>
      <c r="G267" s="1292"/>
      <c r="H267" s="1292"/>
      <c r="I267" s="1292"/>
      <c r="J267" s="1292"/>
      <c r="K267" s="1292"/>
      <c r="L267" s="1292"/>
      <c r="M267" s="1292"/>
      <c r="N267" s="1292"/>
      <c r="O267" s="1293"/>
    </row>
    <row r="268" spans="6:16" ht="16.5" thickBot="1" x14ac:dyDescent="0.3">
      <c r="F268" s="1294" t="s">
        <v>905</v>
      </c>
      <c r="G268" s="1295"/>
      <c r="H268" s="1295"/>
      <c r="I268" s="1295"/>
      <c r="J268" s="1295"/>
      <c r="K268" s="1295"/>
      <c r="L268" s="1295"/>
      <c r="M268" s="1295"/>
      <c r="N268" s="1295"/>
      <c r="O268" s="1296"/>
    </row>
    <row r="269" spans="6:16" ht="35.25" customHeight="1" thickBot="1" x14ac:dyDescent="0.3">
      <c r="F269" s="552" t="s">
        <v>0</v>
      </c>
      <c r="G269" s="440" t="s">
        <v>1</v>
      </c>
      <c r="H269" s="441" t="s">
        <v>2</v>
      </c>
      <c r="I269" s="709" t="s">
        <v>164</v>
      </c>
      <c r="J269" s="801" t="s">
        <v>754</v>
      </c>
      <c r="K269" s="1315" t="s">
        <v>656</v>
      </c>
      <c r="L269" s="1316"/>
      <c r="M269" s="781" t="s">
        <v>657</v>
      </c>
      <c r="N269" s="801" t="s">
        <v>658</v>
      </c>
      <c r="O269" s="53" t="s">
        <v>3</v>
      </c>
    </row>
    <row r="270" spans="6:16" ht="20.25" customHeight="1" x14ac:dyDescent="0.25">
      <c r="F270" s="554" t="s">
        <v>5</v>
      </c>
      <c r="G270" s="323" t="s">
        <v>90</v>
      </c>
      <c r="H270" s="692">
        <v>46.07</v>
      </c>
      <c r="I270" s="777">
        <v>0.78900000000000003</v>
      </c>
      <c r="J270" s="63">
        <v>2</v>
      </c>
      <c r="K270" s="1234">
        <f>J270</f>
        <v>2</v>
      </c>
      <c r="L270" s="1235"/>
      <c r="M270" s="75">
        <f>J270-K270</f>
        <v>0</v>
      </c>
      <c r="N270" s="778">
        <f>M270/I270</f>
        <v>0</v>
      </c>
      <c r="O270" s="1218" t="s">
        <v>836</v>
      </c>
    </row>
    <row r="271" spans="6:16" ht="18.75" customHeight="1" x14ac:dyDescent="0.25">
      <c r="F271" s="553" t="s">
        <v>70</v>
      </c>
      <c r="G271" s="439" t="s">
        <v>148</v>
      </c>
      <c r="H271" s="707">
        <v>138.12100000000001</v>
      </c>
      <c r="I271" s="770">
        <v>1.4430000000000001</v>
      </c>
      <c r="J271" s="60">
        <v>2</v>
      </c>
      <c r="K271" s="1228">
        <f>(J271)*(1/H271)*(2/2)*(H271/1)</f>
        <v>2</v>
      </c>
      <c r="L271" s="1229"/>
      <c r="M271" s="60">
        <f>J271-K271</f>
        <v>0</v>
      </c>
      <c r="N271" s="771">
        <f>M271/I271</f>
        <v>0</v>
      </c>
      <c r="O271" s="1218"/>
    </row>
    <row r="272" spans="6:16" ht="18.75" x14ac:dyDescent="0.25">
      <c r="F272" s="555" t="s">
        <v>838</v>
      </c>
      <c r="G272" s="438" t="s">
        <v>149</v>
      </c>
      <c r="H272" s="708">
        <v>152.15</v>
      </c>
      <c r="I272" s="770">
        <v>1.17</v>
      </c>
      <c r="J272" s="60">
        <v>0</v>
      </c>
      <c r="K272" s="790">
        <f>($J$270)*(1/$H$270)*(2/1)*(H272/1)</f>
        <v>13.210332103321035</v>
      </c>
      <c r="L272" s="791">
        <f>($J$271)*(1/$H$271)*(2/2)*(H272/1)</f>
        <v>2.2031407244372687</v>
      </c>
      <c r="M272" s="60">
        <f>L272</f>
        <v>2.2031407244372687</v>
      </c>
      <c r="N272" s="771">
        <f>M272/I272</f>
        <v>1.8830262602027938</v>
      </c>
      <c r="O272" s="1218"/>
      <c r="P272" s="539"/>
    </row>
    <row r="273" spans="2:19" ht="19.5" thickBot="1" x14ac:dyDescent="0.3">
      <c r="F273" s="430" t="s">
        <v>182</v>
      </c>
      <c r="G273" s="324" t="s">
        <v>46</v>
      </c>
      <c r="H273" s="429">
        <v>18.015280000000001</v>
      </c>
      <c r="I273" s="649">
        <v>1</v>
      </c>
      <c r="J273" s="64">
        <v>0</v>
      </c>
      <c r="K273" s="825">
        <f>($J$270)*(1/$H$270)*(2/1)*(H273/1)</f>
        <v>1.5641658345995226</v>
      </c>
      <c r="L273" s="222">
        <f>($J$271)*(1/$H$271)*(2/2)*(H273/1)</f>
        <v>0.26086228741465817</v>
      </c>
      <c r="M273" s="64">
        <f>L273</f>
        <v>0.26086228741465817</v>
      </c>
      <c r="N273" s="650">
        <f>M273/I273</f>
        <v>0.26086228741465817</v>
      </c>
      <c r="O273" s="1218"/>
    </row>
    <row r="274" spans="2:19" ht="16.5" thickBot="1" x14ac:dyDescent="0.3">
      <c r="F274" s="1236" t="s">
        <v>53</v>
      </c>
      <c r="G274" s="1237"/>
      <c r="H274" s="1237"/>
      <c r="I274" s="1314"/>
      <c r="J274" s="830">
        <f>SUM(J271:J273)</f>
        <v>2</v>
      </c>
      <c r="K274" s="817">
        <f>SUM(K270:L271)-SUM(K272:K273)</f>
        <v>-10.774497937920557</v>
      </c>
      <c r="L274" s="819">
        <f>SUM(K270:L271)-SUM(L272:L273)</f>
        <v>1.5359969881480731</v>
      </c>
      <c r="M274" s="830">
        <f>SUM(M270:M273)</f>
        <v>2.4640030118519269</v>
      </c>
      <c r="N274" s="830">
        <f>SUM(N270:N273)</f>
        <v>2.1438885476174518</v>
      </c>
      <c r="O274" s="886"/>
    </row>
    <row r="276" spans="2:19" ht="16.5" thickBot="1" x14ac:dyDescent="0.3"/>
    <row r="277" spans="2:19" ht="27" customHeight="1" x14ac:dyDescent="0.25">
      <c r="F277" s="1291" t="s">
        <v>150</v>
      </c>
      <c r="G277" s="1292"/>
      <c r="H277" s="1292"/>
      <c r="I277" s="1292"/>
      <c r="J277" s="1292"/>
      <c r="K277" s="1292"/>
      <c r="L277" s="1292"/>
      <c r="M277" s="1292"/>
      <c r="N277" s="1292"/>
      <c r="O277" s="1293"/>
      <c r="Q277" s="19"/>
      <c r="R277" s="19"/>
      <c r="S277" s="19"/>
    </row>
    <row r="278" spans="2:19" ht="18" thickBot="1" x14ac:dyDescent="0.3">
      <c r="F278" s="1281" t="s">
        <v>589</v>
      </c>
      <c r="G278" s="1282"/>
      <c r="H278" s="1282"/>
      <c r="I278" s="1282"/>
      <c r="J278" s="1282"/>
      <c r="K278" s="1282"/>
      <c r="L278" s="1282"/>
      <c r="M278" s="1282"/>
      <c r="N278" s="1282"/>
      <c r="O278" s="1283"/>
      <c r="Q278" s="19"/>
      <c r="R278" s="19"/>
      <c r="S278" s="19"/>
    </row>
    <row r="279" spans="2:19" ht="35.25" customHeight="1" thickBot="1" x14ac:dyDescent="0.3">
      <c r="F279" s="773" t="s">
        <v>0</v>
      </c>
      <c r="G279" s="824" t="s">
        <v>1</v>
      </c>
      <c r="H279" s="773" t="s">
        <v>2</v>
      </c>
      <c r="I279" s="773" t="s">
        <v>164</v>
      </c>
      <c r="J279" s="769" t="s">
        <v>754</v>
      </c>
      <c r="K279" s="879" t="s">
        <v>656</v>
      </c>
      <c r="L279" s="880"/>
      <c r="M279" s="773" t="s">
        <v>657</v>
      </c>
      <c r="N279" s="769" t="s">
        <v>658</v>
      </c>
      <c r="O279" s="53" t="s">
        <v>3</v>
      </c>
      <c r="Q279" s="19"/>
      <c r="R279" s="19"/>
      <c r="S279" s="19"/>
    </row>
    <row r="280" spans="2:19" ht="18.75" x14ac:dyDescent="0.25">
      <c r="F280" s="401" t="s">
        <v>151</v>
      </c>
      <c r="G280" s="58" t="s">
        <v>152</v>
      </c>
      <c r="H280" s="827">
        <v>78.489999999999995</v>
      </c>
      <c r="I280" s="105">
        <v>1.1000000000000001</v>
      </c>
      <c r="J280" s="105">
        <v>0.5</v>
      </c>
      <c r="K280" s="977">
        <f>J280</f>
        <v>0.5</v>
      </c>
      <c r="L280" s="979"/>
      <c r="M280" s="524">
        <f>J280-K280</f>
        <v>0</v>
      </c>
      <c r="N280" s="63">
        <f>M280/I280</f>
        <v>0</v>
      </c>
      <c r="O280" s="883" t="s">
        <v>842</v>
      </c>
      <c r="Q280" s="19"/>
      <c r="R280" s="19"/>
      <c r="S280" s="19"/>
    </row>
    <row r="281" spans="2:19" ht="18.75" x14ac:dyDescent="0.25">
      <c r="F281" s="401" t="s">
        <v>5</v>
      </c>
      <c r="G281" s="435" t="s">
        <v>90</v>
      </c>
      <c r="H281" s="827">
        <v>46.07</v>
      </c>
      <c r="I281" s="827">
        <v>0.78900000000000003</v>
      </c>
      <c r="J281" s="503">
        <v>0.5</v>
      </c>
      <c r="K281" s="881">
        <f>(J280)*(1/H280)*(5/3)*(H281/1)</f>
        <v>0.48912812672527295</v>
      </c>
      <c r="L281" s="882"/>
      <c r="M281" s="474">
        <f>J281-K281</f>
        <v>1.0871873274727051E-2</v>
      </c>
      <c r="N281" s="60">
        <f>M281/I281</f>
        <v>1.3779307065560267E-2</v>
      </c>
      <c r="O281" s="1039"/>
    </row>
    <row r="282" spans="2:19" ht="18.75" customHeight="1" x14ac:dyDescent="0.25">
      <c r="F282" s="69" t="s">
        <v>841</v>
      </c>
      <c r="G282" s="433" t="s">
        <v>590</v>
      </c>
      <c r="H282" s="76">
        <v>89.11</v>
      </c>
      <c r="I282" s="76">
        <v>0.89</v>
      </c>
      <c r="J282" s="770">
        <v>0</v>
      </c>
      <c r="K282" s="790">
        <f>J280*((1/H280)*(4/3)*(H282/1))</f>
        <v>0.75686924024291846</v>
      </c>
      <c r="L282" s="790">
        <f>($J$281/$H$281)*(4/5)*(H282/1)</f>
        <v>0.77369220751031043</v>
      </c>
      <c r="M282" s="474">
        <f>K282</f>
        <v>0.75686924024291846</v>
      </c>
      <c r="N282" s="105">
        <f>M282/I282</f>
        <v>0.85041487667743643</v>
      </c>
      <c r="O282" s="1039"/>
    </row>
    <row r="283" spans="2:19" s="19" customFormat="1" ht="16.5" thickBot="1" x14ac:dyDescent="0.3">
      <c r="B283" s="24"/>
      <c r="C283" s="613"/>
      <c r="D283" s="823"/>
      <c r="E283" s="820"/>
      <c r="F283" s="70" t="s">
        <v>837</v>
      </c>
      <c r="G283" s="434" t="s">
        <v>125</v>
      </c>
      <c r="H283" s="78">
        <v>36.4</v>
      </c>
      <c r="I283" s="78">
        <v>1.18</v>
      </c>
      <c r="J283" s="225">
        <v>0</v>
      </c>
      <c r="K283" s="790">
        <f>J280*((1/H280)*(3/3)*(H283/1))</f>
        <v>0.23187667218753982</v>
      </c>
      <c r="L283" s="790">
        <f>($J$281/$H$281)*(3/5)*(H283/1)</f>
        <v>0.23703060560017364</v>
      </c>
      <c r="M283" s="474">
        <f>K283</f>
        <v>0.23187667218753982</v>
      </c>
      <c r="N283" s="833">
        <f>M283/I283</f>
        <v>0.1965056543962202</v>
      </c>
      <c r="O283" s="1039"/>
      <c r="P283" s="823"/>
      <c r="Q283"/>
      <c r="R283"/>
      <c r="S283"/>
    </row>
    <row r="284" spans="2:19" s="19" customFormat="1" ht="16.5" thickBot="1" x14ac:dyDescent="0.3">
      <c r="B284" s="24"/>
      <c r="C284" s="613"/>
      <c r="D284" s="823"/>
      <c r="E284" s="820"/>
      <c r="F284" s="863" t="s">
        <v>53</v>
      </c>
      <c r="G284" s="864"/>
      <c r="H284" s="864"/>
      <c r="I284" s="865"/>
      <c r="J284" s="802">
        <f>SUM(J280:J283)</f>
        <v>1</v>
      </c>
      <c r="K284" s="802">
        <f>SUM(K280:L281)-SUM(K282:K283)</f>
        <v>3.8221429481466451E-4</v>
      </c>
      <c r="L284" s="802">
        <f>SUM(K280:L281)-SUM(L282:L283)</f>
        <v>-2.1594686385211226E-2</v>
      </c>
      <c r="M284" s="802">
        <f>SUM(M280:M283)</f>
        <v>0.99961778570518534</v>
      </c>
      <c r="N284" s="802">
        <f>SUM(N280:N283)</f>
        <v>1.060699838139217</v>
      </c>
      <c r="O284" s="884"/>
      <c r="P284" s="823"/>
      <c r="Q284" s="431"/>
      <c r="R284" s="431"/>
      <c r="S284" s="431"/>
    </row>
    <row r="285" spans="2:19" s="19" customFormat="1" ht="16.5" thickBot="1" x14ac:dyDescent="0.3">
      <c r="B285" s="24"/>
      <c r="C285" s="613"/>
      <c r="D285" s="823"/>
      <c r="E285" s="820"/>
      <c r="F285" s="3"/>
      <c r="G285" s="421"/>
      <c r="H285" s="823"/>
      <c r="I285" s="421"/>
      <c r="J285" s="421"/>
      <c r="K285" s="421"/>
      <c r="L285" s="3"/>
      <c r="M285" s="421"/>
      <c r="N285" s="421"/>
      <c r="O285" s="3"/>
      <c r="P285" s="823"/>
      <c r="Q285" s="549"/>
      <c r="R285" s="541"/>
      <c r="S285" s="525"/>
    </row>
    <row r="286" spans="2:19" s="19" customFormat="1" x14ac:dyDescent="0.25">
      <c r="B286" s="24"/>
      <c r="C286" s="613"/>
      <c r="D286" s="823"/>
      <c r="E286" s="820"/>
      <c r="F286" s="1225" t="s">
        <v>594</v>
      </c>
      <c r="G286" s="1226"/>
      <c r="H286" s="1226"/>
      <c r="I286" s="1226"/>
      <c r="J286" s="1226"/>
      <c r="K286" s="1226"/>
      <c r="L286" s="1226"/>
      <c r="M286" s="1226"/>
      <c r="N286" s="1226"/>
      <c r="O286" s="1227"/>
      <c r="P286" s="823"/>
      <c r="Q286" s="549"/>
      <c r="R286" s="541"/>
      <c r="S286" s="525"/>
    </row>
    <row r="287" spans="2:19" ht="18" thickBot="1" x14ac:dyDescent="0.3">
      <c r="F287" s="988" t="s">
        <v>591</v>
      </c>
      <c r="G287" s="989"/>
      <c r="H287" s="989"/>
      <c r="I287" s="989"/>
      <c r="J287" s="989"/>
      <c r="K287" s="989"/>
      <c r="L287" s="989"/>
      <c r="M287" s="989"/>
      <c r="N287" s="989"/>
      <c r="O287" s="1312"/>
      <c r="Q287" s="549"/>
      <c r="R287" s="541"/>
      <c r="S287" s="525"/>
    </row>
    <row r="288" spans="2:19" ht="35.25" customHeight="1" thickBot="1" x14ac:dyDescent="0.3">
      <c r="F288" s="782" t="s">
        <v>0</v>
      </c>
      <c r="G288" s="610" t="s">
        <v>1</v>
      </c>
      <c r="H288" s="782" t="s">
        <v>2</v>
      </c>
      <c r="I288" s="782" t="s">
        <v>164</v>
      </c>
      <c r="J288" s="769" t="s">
        <v>754</v>
      </c>
      <c r="K288" s="879" t="s">
        <v>656</v>
      </c>
      <c r="L288" s="880"/>
      <c r="M288" s="773" t="s">
        <v>657</v>
      </c>
      <c r="N288" s="769" t="s">
        <v>658</v>
      </c>
      <c r="O288" s="779" t="s">
        <v>3</v>
      </c>
    </row>
    <row r="289" spans="3:15" ht="18.75" x14ac:dyDescent="0.25">
      <c r="F289" s="83" t="s">
        <v>151</v>
      </c>
      <c r="G289" s="85" t="s">
        <v>152</v>
      </c>
      <c r="H289" s="87">
        <v>78.489999999999995</v>
      </c>
      <c r="I289" s="63">
        <v>1.1000000000000001</v>
      </c>
      <c r="J289" s="786">
        <v>0.5</v>
      </c>
      <c r="K289" s="977">
        <v>0</v>
      </c>
      <c r="L289" s="979"/>
      <c r="M289" s="786">
        <v>0</v>
      </c>
      <c r="N289" s="63">
        <v>0</v>
      </c>
      <c r="O289" s="1258" t="s">
        <v>588</v>
      </c>
    </row>
    <row r="290" spans="3:15" ht="21" customHeight="1" x14ac:dyDescent="0.25">
      <c r="C290" s="539"/>
      <c r="F290" s="56" t="s">
        <v>94</v>
      </c>
      <c r="G290" s="59" t="s">
        <v>95</v>
      </c>
      <c r="H290" s="692">
        <v>60.1</v>
      </c>
      <c r="I290" s="60">
        <v>0.78600000000000003</v>
      </c>
      <c r="J290" s="788">
        <v>0.5</v>
      </c>
      <c r="K290" s="1186">
        <f>-(J289*(1/H289)*(1/1)*(H290/1))</f>
        <v>-0.38285131863931715</v>
      </c>
      <c r="L290" s="1187"/>
      <c r="M290" s="788">
        <f>K290+J290</f>
        <v>0.11714868136068285</v>
      </c>
      <c r="N290" s="60">
        <f>M290/I290</f>
        <v>0.14904412386855323</v>
      </c>
      <c r="O290" s="1259"/>
    </row>
    <row r="291" spans="3:15" ht="18.75" x14ac:dyDescent="0.25">
      <c r="F291" s="56" t="s">
        <v>153</v>
      </c>
      <c r="G291" s="60" t="s">
        <v>155</v>
      </c>
      <c r="H291" s="692">
        <v>102.13</v>
      </c>
      <c r="I291" s="60">
        <v>0.93</v>
      </c>
      <c r="J291" s="788">
        <v>0</v>
      </c>
      <c r="K291" s="678">
        <f>(J289*(1/H289)*(1/1)*(H291/1))</f>
        <v>0.65059243215696272</v>
      </c>
      <c r="L291" s="668"/>
      <c r="M291" s="788">
        <f>K291-J291</f>
        <v>0.65059243215696272</v>
      </c>
      <c r="N291" s="60">
        <f>M291/I291</f>
        <v>0.69956175500748674</v>
      </c>
      <c r="O291" s="1259"/>
    </row>
    <row r="292" spans="3:15" ht="18.75" customHeight="1" thickBot="1" x14ac:dyDescent="0.3">
      <c r="F292" s="57" t="s">
        <v>154</v>
      </c>
      <c r="G292" s="86" t="s">
        <v>125</v>
      </c>
      <c r="H292" s="734">
        <v>36.46</v>
      </c>
      <c r="I292" s="64">
        <v>1.49</v>
      </c>
      <c r="J292" s="488">
        <v>0</v>
      </c>
      <c r="K292" s="679">
        <f>(J289*(1/H289)*(1/1)*(H292/1))</f>
        <v>0.23225888648235446</v>
      </c>
      <c r="L292" s="670"/>
      <c r="M292" s="488">
        <f>K292-J292</f>
        <v>0.23225888648235446</v>
      </c>
      <c r="N292" s="474">
        <f>M292/I292</f>
        <v>0.1558784473035936</v>
      </c>
      <c r="O292" s="1259"/>
    </row>
    <row r="293" spans="3:15" ht="16.5" thickBot="1" x14ac:dyDescent="0.3">
      <c r="F293" s="1236" t="s">
        <v>53</v>
      </c>
      <c r="G293" s="1237"/>
      <c r="H293" s="1237"/>
      <c r="I293" s="1237"/>
      <c r="J293" s="813">
        <f>SUM(J289:J292)</f>
        <v>1</v>
      </c>
      <c r="K293" s="671">
        <f>SUM(K289:L292)</f>
        <v>0.5</v>
      </c>
      <c r="L293" s="672"/>
      <c r="M293" s="815">
        <f>SUM(M289:M292)</f>
        <v>1</v>
      </c>
      <c r="N293" s="71">
        <f>SUM(N289:N292)</f>
        <v>1.0044843261796337</v>
      </c>
      <c r="O293" s="1260"/>
    </row>
    <row r="294" spans="3:15" ht="28.5" customHeight="1" thickBot="1" x14ac:dyDescent="0.3">
      <c r="F294" s="1269" t="s">
        <v>76</v>
      </c>
      <c r="G294" s="1270"/>
      <c r="H294" s="1270"/>
      <c r="I294" s="1270"/>
      <c r="J294" s="1270"/>
      <c r="K294" s="1270"/>
      <c r="L294" s="1270"/>
      <c r="M294" s="1270"/>
      <c r="N294" s="1270"/>
      <c r="O294" s="1271"/>
    </row>
    <row r="295" spans="3:15" ht="28.5" customHeight="1" thickBot="1" x14ac:dyDescent="0.3">
      <c r="F295" s="1018" t="s">
        <v>592</v>
      </c>
      <c r="G295" s="951"/>
      <c r="H295" s="951"/>
      <c r="I295" s="951"/>
      <c r="J295" s="951"/>
      <c r="K295" s="951"/>
      <c r="L295" s="951"/>
      <c r="M295" s="951"/>
      <c r="N295" s="951"/>
      <c r="O295" s="952"/>
    </row>
    <row r="296" spans="3:15" ht="35.25" customHeight="1" thickBot="1" x14ac:dyDescent="0.3">
      <c r="F296" s="782" t="s">
        <v>0</v>
      </c>
      <c r="G296" s="610" t="s">
        <v>1</v>
      </c>
      <c r="H296" s="782" t="s">
        <v>2</v>
      </c>
      <c r="I296" s="782" t="s">
        <v>164</v>
      </c>
      <c r="J296" s="769" t="s">
        <v>754</v>
      </c>
      <c r="K296" s="879" t="s">
        <v>656</v>
      </c>
      <c r="L296" s="880"/>
      <c r="M296" s="773" t="s">
        <v>657</v>
      </c>
      <c r="N296" s="769" t="s">
        <v>658</v>
      </c>
      <c r="O296" s="779" t="s">
        <v>3</v>
      </c>
    </row>
    <row r="297" spans="3:15" ht="18.75" x14ac:dyDescent="0.25">
      <c r="F297" s="83" t="s">
        <v>151</v>
      </c>
      <c r="G297" s="85" t="s">
        <v>152</v>
      </c>
      <c r="H297" s="87">
        <v>78.489999999999995</v>
      </c>
      <c r="I297" s="63">
        <v>1.1000000000000001</v>
      </c>
      <c r="J297" s="786">
        <v>0.5</v>
      </c>
      <c r="K297" s="977">
        <v>0</v>
      </c>
      <c r="L297" s="979"/>
      <c r="M297" s="786">
        <v>0</v>
      </c>
      <c r="N297" s="63">
        <v>0</v>
      </c>
      <c r="O297" s="883" t="s">
        <v>843</v>
      </c>
    </row>
    <row r="298" spans="3:15" ht="18.75" x14ac:dyDescent="0.25">
      <c r="F298" s="56" t="s">
        <v>156</v>
      </c>
      <c r="G298" s="60" t="s">
        <v>98</v>
      </c>
      <c r="H298" s="692">
        <v>74.122</v>
      </c>
      <c r="I298" s="60">
        <v>0.80200000000000005</v>
      </c>
      <c r="J298" s="788">
        <v>0.5</v>
      </c>
      <c r="K298" s="1186">
        <f>-(J297*(1/H297)*(1/1)*(H298/1))</f>
        <v>-0.47217479933749529</v>
      </c>
      <c r="L298" s="1187"/>
      <c r="M298" s="788">
        <f>K298+J298</f>
        <v>2.7825200662504712E-2</v>
      </c>
      <c r="N298" s="60">
        <f>M298/I298</f>
        <v>3.469476391833505E-2</v>
      </c>
      <c r="O298" s="1039"/>
    </row>
    <row r="299" spans="3:15" ht="18.75" x14ac:dyDescent="0.25">
      <c r="F299" s="56" t="s">
        <v>157</v>
      </c>
      <c r="G299" s="59" t="s">
        <v>158</v>
      </c>
      <c r="H299" s="692">
        <v>116.16</v>
      </c>
      <c r="I299" s="60">
        <v>0.875</v>
      </c>
      <c r="J299" s="788">
        <v>0</v>
      </c>
      <c r="K299" s="1186">
        <f>(J297*(1/H297)*(1/1)*(H299/1))</f>
        <v>0.73996687476111611</v>
      </c>
      <c r="L299" s="1187"/>
      <c r="M299" s="788">
        <f>K299-J299</f>
        <v>0.73996687476111611</v>
      </c>
      <c r="N299" s="60">
        <f>M299/I299</f>
        <v>0.84567642829841838</v>
      </c>
      <c r="O299" s="1039"/>
    </row>
    <row r="300" spans="3:15" ht="16.5" thickBot="1" x14ac:dyDescent="0.3">
      <c r="F300" s="57" t="s">
        <v>154</v>
      </c>
      <c r="G300" s="86" t="s">
        <v>125</v>
      </c>
      <c r="H300" s="734">
        <v>36.46</v>
      </c>
      <c r="I300" s="64">
        <v>1.49</v>
      </c>
      <c r="J300" s="488">
        <v>0</v>
      </c>
      <c r="K300" s="1279">
        <f>(J297*(1/H297)*(1/1)*(H300/1))</f>
        <v>0.23225888648235446</v>
      </c>
      <c r="L300" s="1280"/>
      <c r="M300" s="488">
        <f>K300-J300</f>
        <v>0.23225888648235446</v>
      </c>
      <c r="N300" s="474">
        <f>M300/I300</f>
        <v>0.1558784473035936</v>
      </c>
      <c r="O300" s="1039"/>
    </row>
    <row r="301" spans="3:15" ht="16.5" thickBot="1" x14ac:dyDescent="0.3">
      <c r="F301" s="1236" t="s">
        <v>53</v>
      </c>
      <c r="G301" s="1237"/>
      <c r="H301" s="1237"/>
      <c r="I301" s="1238"/>
      <c r="J301" s="71">
        <f>SUM(J297:J300)</f>
        <v>1</v>
      </c>
      <c r="K301" s="1272">
        <f>SUM(K297:L300)</f>
        <v>0.50005096190597531</v>
      </c>
      <c r="L301" s="1274"/>
      <c r="M301" s="815">
        <f>SUM(M297:M300)</f>
        <v>1.0000509619059752</v>
      </c>
      <c r="N301" s="71">
        <f>SUM(N297:N300)</f>
        <v>1.0362496395203471</v>
      </c>
      <c r="O301" s="884"/>
    </row>
    <row r="302" spans="3:15" ht="16.5" thickBot="1" x14ac:dyDescent="0.3">
      <c r="F302" s="1269" t="s">
        <v>77</v>
      </c>
      <c r="G302" s="1270"/>
      <c r="H302" s="1270"/>
      <c r="I302" s="1270"/>
      <c r="J302" s="1270"/>
      <c r="K302" s="1270"/>
      <c r="L302" s="1270"/>
      <c r="M302" s="1270"/>
      <c r="N302" s="1270"/>
      <c r="O302" s="1271"/>
    </row>
    <row r="303" spans="3:15" ht="18.75" customHeight="1" thickBot="1" x14ac:dyDescent="0.3">
      <c r="F303" s="1301" t="s">
        <v>593</v>
      </c>
      <c r="G303" s="1310"/>
      <c r="H303" s="1310"/>
      <c r="I303" s="1310"/>
      <c r="J303" s="1310"/>
      <c r="K303" s="1310"/>
      <c r="L303" s="1310"/>
      <c r="M303" s="1310"/>
      <c r="N303" s="1310"/>
      <c r="O303" s="1311"/>
    </row>
    <row r="304" spans="3:15" ht="35.25" customHeight="1" thickBot="1" x14ac:dyDescent="0.3">
      <c r="F304" s="782" t="s">
        <v>0</v>
      </c>
      <c r="G304" s="610" t="s">
        <v>1</v>
      </c>
      <c r="H304" s="782" t="s">
        <v>2</v>
      </c>
      <c r="I304" s="782" t="s">
        <v>164</v>
      </c>
      <c r="J304" s="769" t="s">
        <v>754</v>
      </c>
      <c r="K304" s="879" t="s">
        <v>656</v>
      </c>
      <c r="L304" s="880"/>
      <c r="M304" s="773" t="s">
        <v>657</v>
      </c>
      <c r="N304" s="769" t="s">
        <v>658</v>
      </c>
      <c r="O304" s="779" t="s">
        <v>3</v>
      </c>
    </row>
    <row r="305" spans="6:15" ht="18.75" x14ac:dyDescent="0.25">
      <c r="F305" s="83" t="s">
        <v>151</v>
      </c>
      <c r="G305" s="85" t="s">
        <v>152</v>
      </c>
      <c r="H305" s="87">
        <v>78.489999999999995</v>
      </c>
      <c r="I305" s="63">
        <v>1.1000000000000001</v>
      </c>
      <c r="J305" s="786">
        <v>0.5</v>
      </c>
      <c r="K305" s="977">
        <v>0</v>
      </c>
      <c r="L305" s="979"/>
      <c r="M305" s="786">
        <v>0</v>
      </c>
      <c r="N305" s="63">
        <v>0</v>
      </c>
      <c r="O305" s="883" t="s">
        <v>844</v>
      </c>
    </row>
    <row r="306" spans="6:15" ht="18.75" x14ac:dyDescent="0.25">
      <c r="F306" s="56" t="s">
        <v>159</v>
      </c>
      <c r="G306" s="60" t="s">
        <v>160</v>
      </c>
      <c r="H306" s="692">
        <v>88.147999999999996</v>
      </c>
      <c r="I306" s="60">
        <v>0.81</v>
      </c>
      <c r="J306" s="788">
        <v>0.5</v>
      </c>
      <c r="K306" s="881">
        <v>0</v>
      </c>
      <c r="L306" s="1313"/>
      <c r="M306" s="788">
        <v>0</v>
      </c>
      <c r="N306" s="60">
        <v>0</v>
      </c>
      <c r="O306" s="1039"/>
    </row>
    <row r="307" spans="6:15" ht="18.75" x14ac:dyDescent="0.25">
      <c r="F307" s="56" t="s">
        <v>161</v>
      </c>
      <c r="G307" s="60" t="s">
        <v>162</v>
      </c>
      <c r="H307" s="692">
        <v>130.19</v>
      </c>
      <c r="I307" s="60">
        <v>0.876</v>
      </c>
      <c r="J307" s="788">
        <v>0</v>
      </c>
      <c r="K307" s="770">
        <f>(J305/H305)*(1/1)*(H307/1)</f>
        <v>0.8293413173652695</v>
      </c>
      <c r="L307" s="791">
        <f>(J306/H306)*(1/1)*(H307/1)</f>
        <v>0.73847393020828611</v>
      </c>
      <c r="M307" s="788">
        <f>K307+J307</f>
        <v>0.8293413173652695</v>
      </c>
      <c r="N307" s="60">
        <f>M307/I307</f>
        <v>0.94673666365898346</v>
      </c>
      <c r="O307" s="1039"/>
    </row>
    <row r="308" spans="6:15" ht="16.5" thickBot="1" x14ac:dyDescent="0.3">
      <c r="F308" s="84" t="s">
        <v>154</v>
      </c>
      <c r="G308" s="86" t="s">
        <v>125</v>
      </c>
      <c r="H308" s="88">
        <v>36.46</v>
      </c>
      <c r="I308" s="64">
        <v>1.49</v>
      </c>
      <c r="J308" s="89">
        <v>0</v>
      </c>
      <c r="K308" s="649">
        <f>(J305/H305)*(1/1)*(H308/1)</f>
        <v>0.23225888648235446</v>
      </c>
      <c r="L308" s="222">
        <f>(J306/H306)*(1/1)*(H308/1)</f>
        <v>0.20681127195171758</v>
      </c>
      <c r="M308" s="89">
        <f>K308+J308</f>
        <v>0.23225888648235446</v>
      </c>
      <c r="N308" s="64">
        <f>M308/I308</f>
        <v>0.1558784473035936</v>
      </c>
      <c r="O308" s="1039"/>
    </row>
    <row r="309" spans="6:15" ht="16.5" thickBot="1" x14ac:dyDescent="0.3">
      <c r="F309" s="1236" t="s">
        <v>53</v>
      </c>
      <c r="G309" s="1237"/>
      <c r="H309" s="1237"/>
      <c r="I309" s="1238"/>
      <c r="J309" s="71">
        <f>SUM(J305:J308)</f>
        <v>1</v>
      </c>
      <c r="K309" s="830">
        <f>SUM(K305:K308)</f>
        <v>1.061600203847624</v>
      </c>
      <c r="L309" s="830">
        <f>SUM(L305:L308)</f>
        <v>0.94528520216000367</v>
      </c>
      <c r="M309" s="830">
        <f>SUM(M305:M308)</f>
        <v>1.061600203847624</v>
      </c>
      <c r="N309" s="830">
        <f>SUM(N305:N308)</f>
        <v>1.102615110962577</v>
      </c>
      <c r="O309" s="884"/>
    </row>
    <row r="311" spans="6:15" ht="18.75" customHeight="1" x14ac:dyDescent="0.25"/>
    <row r="319" spans="6:15" ht="18.75" customHeight="1" x14ac:dyDescent="0.25"/>
    <row r="325" ht="19.5" customHeight="1" x14ac:dyDescent="0.25"/>
    <row r="341" ht="19.5" customHeight="1" x14ac:dyDescent="0.25"/>
  </sheetData>
  <mergeCells count="249">
    <mergeCell ref="K207:L207"/>
    <mergeCell ref="F205:O205"/>
    <mergeCell ref="O207:O211"/>
    <mergeCell ref="F214:O214"/>
    <mergeCell ref="F193:I193"/>
    <mergeCell ref="F196:O196"/>
    <mergeCell ref="K198:L198"/>
    <mergeCell ref="K156:L156"/>
    <mergeCell ref="K158:L158"/>
    <mergeCell ref="F216:O216"/>
    <mergeCell ref="F224:I224"/>
    <mergeCell ref="K239:L239"/>
    <mergeCell ref="O218:O224"/>
    <mergeCell ref="F234:I234"/>
    <mergeCell ref="K166:L166"/>
    <mergeCell ref="F174:O174"/>
    <mergeCell ref="O167:O173"/>
    <mergeCell ref="F195:O195"/>
    <mergeCell ref="K197:L197"/>
    <mergeCell ref="F202:I202"/>
    <mergeCell ref="F204:O204"/>
    <mergeCell ref="O189:O193"/>
    <mergeCell ref="K217:L217"/>
    <mergeCell ref="K227:L227"/>
    <mergeCell ref="K218:L218"/>
    <mergeCell ref="O198:O202"/>
    <mergeCell ref="K228:L228"/>
    <mergeCell ref="F211:I211"/>
    <mergeCell ref="F187:O187"/>
    <mergeCell ref="K189:L189"/>
    <mergeCell ref="K190:L190"/>
    <mergeCell ref="K199:L199"/>
    <mergeCell ref="K208:L208"/>
    <mergeCell ref="R105:V105"/>
    <mergeCell ref="F118:O118"/>
    <mergeCell ref="F124:I124"/>
    <mergeCell ref="K120:L120"/>
    <mergeCell ref="K121:L121"/>
    <mergeCell ref="K119:L119"/>
    <mergeCell ref="K128:L128"/>
    <mergeCell ref="K7:L7"/>
    <mergeCell ref="K83:L83"/>
    <mergeCell ref="K84:L84"/>
    <mergeCell ref="K94:L94"/>
    <mergeCell ref="K95:L95"/>
    <mergeCell ref="K96:L96"/>
    <mergeCell ref="K76:L76"/>
    <mergeCell ref="K77:L77"/>
    <mergeCell ref="F44:O44"/>
    <mergeCell ref="F50:I50"/>
    <mergeCell ref="O120:O124"/>
    <mergeCell ref="F108:I108"/>
    <mergeCell ref="F110:O110"/>
    <mergeCell ref="O112:O116"/>
    <mergeCell ref="F30:O30"/>
    <mergeCell ref="O76:O80"/>
    <mergeCell ref="O84:O89"/>
    <mergeCell ref="F274:I274"/>
    <mergeCell ref="F277:O277"/>
    <mergeCell ref="K259:L259"/>
    <mergeCell ref="K260:L260"/>
    <mergeCell ref="K261:L261"/>
    <mergeCell ref="F237:O237"/>
    <mergeCell ref="F246:O246"/>
    <mergeCell ref="K269:L269"/>
    <mergeCell ref="K271:L271"/>
    <mergeCell ref="K249:L249"/>
    <mergeCell ref="K250:L250"/>
    <mergeCell ref="K251:L251"/>
    <mergeCell ref="O260:O265"/>
    <mergeCell ref="F238:O238"/>
    <mergeCell ref="K240:O243"/>
    <mergeCell ref="O305:O309"/>
    <mergeCell ref="O297:O301"/>
    <mergeCell ref="O289:O293"/>
    <mergeCell ref="O280:O284"/>
    <mergeCell ref="F303:O303"/>
    <mergeCell ref="F309:I309"/>
    <mergeCell ref="F286:O286"/>
    <mergeCell ref="F287:O287"/>
    <mergeCell ref="F293:I293"/>
    <mergeCell ref="F294:O294"/>
    <mergeCell ref="F295:O295"/>
    <mergeCell ref="K306:L306"/>
    <mergeCell ref="K297:L297"/>
    <mergeCell ref="K298:L298"/>
    <mergeCell ref="K290:L290"/>
    <mergeCell ref="F284:I284"/>
    <mergeCell ref="K296:L296"/>
    <mergeCell ref="K304:L304"/>
    <mergeCell ref="K305:L305"/>
    <mergeCell ref="K280:L280"/>
    <mergeCell ref="K281:L281"/>
    <mergeCell ref="F4:O4"/>
    <mergeCell ref="F5:O5"/>
    <mergeCell ref="F6:O6"/>
    <mergeCell ref="F12:I12"/>
    <mergeCell ref="F13:O13"/>
    <mergeCell ref="F14:O14"/>
    <mergeCell ref="O8:O12"/>
    <mergeCell ref="F20:I20"/>
    <mergeCell ref="F21:O21"/>
    <mergeCell ref="K8:L8"/>
    <mergeCell ref="K9:L9"/>
    <mergeCell ref="O16:O20"/>
    <mergeCell ref="F302:O302"/>
    <mergeCell ref="F152:I152"/>
    <mergeCell ref="F109:O109"/>
    <mergeCell ref="F126:O126"/>
    <mergeCell ref="F134:I134"/>
    <mergeCell ref="F80:I80"/>
    <mergeCell ref="F81:O81"/>
    <mergeCell ref="F73:O73"/>
    <mergeCell ref="F135:O135"/>
    <mergeCell ref="F143:I143"/>
    <mergeCell ref="F144:O144"/>
    <mergeCell ref="F154:O154"/>
    <mergeCell ref="F155:O155"/>
    <mergeCell ref="F163:I163"/>
    <mergeCell ref="K299:L299"/>
    <mergeCell ref="F164:O164"/>
    <mergeCell ref="K300:L300"/>
    <mergeCell ref="K301:L301"/>
    <mergeCell ref="K289:L289"/>
    <mergeCell ref="F278:O278"/>
    <mergeCell ref="K288:L288"/>
    <mergeCell ref="F257:O257"/>
    <mergeCell ref="F267:O267"/>
    <mergeCell ref="F268:O268"/>
    <mergeCell ref="Q137:Q138"/>
    <mergeCell ref="P160:P166"/>
    <mergeCell ref="F52:O52"/>
    <mergeCell ref="F28:I28"/>
    <mergeCell ref="F29:O29"/>
    <mergeCell ref="F35:I35"/>
    <mergeCell ref="D5:D8"/>
    <mergeCell ref="D9:D12"/>
    <mergeCell ref="F301:I301"/>
    <mergeCell ref="K23:L23"/>
    <mergeCell ref="F22:O22"/>
    <mergeCell ref="F37:O37"/>
    <mergeCell ref="F42:I42"/>
    <mergeCell ref="F43:O43"/>
    <mergeCell ref="F248:O248"/>
    <mergeCell ref="F258:O258"/>
    <mergeCell ref="F265:I265"/>
    <mergeCell ref="K157:L157"/>
    <mergeCell ref="K219:L219"/>
    <mergeCell ref="K229:L229"/>
    <mergeCell ref="F247:O247"/>
    <mergeCell ref="K270:L270"/>
    <mergeCell ref="O270:O274"/>
    <mergeCell ref="K279:L279"/>
    <mergeCell ref="K206:L206"/>
    <mergeCell ref="O250:O254"/>
    <mergeCell ref="F254:I254"/>
    <mergeCell ref="K188:L188"/>
    <mergeCell ref="K129:L129"/>
    <mergeCell ref="K130:L130"/>
    <mergeCell ref="O129:O134"/>
    <mergeCell ref="F127:O127"/>
    <mergeCell ref="O138:O143"/>
    <mergeCell ref="F136:O136"/>
    <mergeCell ref="K138:L138"/>
    <mergeCell ref="K139:L139"/>
    <mergeCell ref="F186:O186"/>
    <mergeCell ref="K176:L176"/>
    <mergeCell ref="K177:L177"/>
    <mergeCell ref="F175:O175"/>
    <mergeCell ref="O157:O163"/>
    <mergeCell ref="F145:O145"/>
    <mergeCell ref="K137:L137"/>
    <mergeCell ref="K146:L146"/>
    <mergeCell ref="F225:O225"/>
    <mergeCell ref="F226:O226"/>
    <mergeCell ref="O228:O234"/>
    <mergeCell ref="F215:O215"/>
    <mergeCell ref="F183:I183"/>
    <mergeCell ref="F165:O165"/>
    <mergeCell ref="F173:I173"/>
    <mergeCell ref="O177:O183"/>
    <mergeCell ref="K168:L168"/>
    <mergeCell ref="O95:O99"/>
    <mergeCell ref="O103:O108"/>
    <mergeCell ref="K24:L24"/>
    <mergeCell ref="F116:I116"/>
    <mergeCell ref="K131:N131"/>
    <mergeCell ref="K140:N140"/>
    <mergeCell ref="O147:O152"/>
    <mergeCell ref="F93:O93"/>
    <mergeCell ref="K147:L147"/>
    <mergeCell ref="K148:L148"/>
    <mergeCell ref="K149:N149"/>
    <mergeCell ref="K45:L45"/>
    <mergeCell ref="K46:L46"/>
    <mergeCell ref="K47:L47"/>
    <mergeCell ref="K33:L33"/>
    <mergeCell ref="K39:L39"/>
    <mergeCell ref="K40:L40"/>
    <mergeCell ref="K67:L67"/>
    <mergeCell ref="K178:L178"/>
    <mergeCell ref="K167:L167"/>
    <mergeCell ref="K113:L113"/>
    <mergeCell ref="K104:L104"/>
    <mergeCell ref="K111:L111"/>
    <mergeCell ref="K112:L112"/>
    <mergeCell ref="K102:L102"/>
    <mergeCell ref="K60:L60"/>
    <mergeCell ref="F100:O100"/>
    <mergeCell ref="K55:L55"/>
    <mergeCell ref="K61:L61"/>
    <mergeCell ref="K75:L75"/>
    <mergeCell ref="F99:I99"/>
    <mergeCell ref="F65:O65"/>
    <mergeCell ref="O67:O71"/>
    <mergeCell ref="F71:I71"/>
    <mergeCell ref="F74:O74"/>
    <mergeCell ref="F91:O91"/>
    <mergeCell ref="F92:O92"/>
    <mergeCell ref="K62:L62"/>
    <mergeCell ref="O61:O62"/>
    <mergeCell ref="F58:O58"/>
    <mergeCell ref="F64:O64"/>
    <mergeCell ref="K66:L66"/>
    <mergeCell ref="K68:L68"/>
    <mergeCell ref="K85:N85"/>
    <mergeCell ref="F82:O82"/>
    <mergeCell ref="F62:I62"/>
    <mergeCell ref="F101:O101"/>
    <mergeCell ref="K103:L103"/>
    <mergeCell ref="K15:L15"/>
    <mergeCell ref="K17:L17"/>
    <mergeCell ref="F53:O53"/>
    <mergeCell ref="O32:O35"/>
    <mergeCell ref="O24:O28"/>
    <mergeCell ref="O39:O42"/>
    <mergeCell ref="O46:O50"/>
    <mergeCell ref="K38:L38"/>
    <mergeCell ref="K32:L32"/>
    <mergeCell ref="K25:L25"/>
    <mergeCell ref="F89:I89"/>
    <mergeCell ref="K86:L86"/>
    <mergeCell ref="F56:I56"/>
    <mergeCell ref="K56:L56"/>
    <mergeCell ref="O55:O56"/>
    <mergeCell ref="F36:O36"/>
    <mergeCell ref="K16:L16"/>
    <mergeCell ref="K31:L31"/>
    <mergeCell ref="K54:L54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4"/>
  <sheetViews>
    <sheetView zoomScale="90" zoomScaleNormal="90" workbookViewId="0">
      <selection activeCell="L14" sqref="L14"/>
    </sheetView>
  </sheetViews>
  <sheetFormatPr baseColWidth="10" defaultRowHeight="15.75" x14ac:dyDescent="0.25"/>
  <cols>
    <col min="1" max="1" width="5" customWidth="1"/>
    <col min="2" max="2" width="12.7109375" style="3" customWidth="1"/>
    <col min="3" max="3" width="28.85546875" style="3" customWidth="1"/>
    <col min="4" max="4" width="11.42578125" style="3"/>
    <col min="5" max="5" width="4.5703125" style="3" customWidth="1"/>
    <col min="6" max="6" width="11.42578125" style="3"/>
    <col min="7" max="7" width="17.140625" style="3" customWidth="1"/>
    <col min="8" max="8" width="13.7109375" style="3" customWidth="1"/>
    <col min="9" max="12" width="11.42578125" style="3"/>
    <col min="13" max="13" width="13" style="3" bestFit="1" customWidth="1"/>
    <col min="14" max="14" width="35" style="3" customWidth="1"/>
    <col min="15" max="16" width="11.42578125" style="3"/>
    <col min="17" max="17" width="38.28515625" style="3" customWidth="1"/>
    <col min="18" max="20" width="11.42578125" style="3"/>
  </cols>
  <sheetData>
    <row r="3" spans="2:20" ht="16.5" thickBot="1" x14ac:dyDescent="0.3"/>
    <row r="4" spans="2:20" ht="16.5" thickBot="1" x14ac:dyDescent="0.3">
      <c r="B4" s="393" t="s">
        <v>639</v>
      </c>
      <c r="C4" s="369" t="s">
        <v>607</v>
      </c>
      <c r="D4" s="400" t="s">
        <v>53</v>
      </c>
      <c r="F4" s="866" t="s">
        <v>28</v>
      </c>
      <c r="G4" s="867"/>
      <c r="H4" s="867"/>
      <c r="I4" s="867"/>
      <c r="J4" s="867"/>
      <c r="K4" s="867"/>
      <c r="L4" s="867"/>
      <c r="M4" s="867"/>
      <c r="N4" s="868"/>
    </row>
    <row r="5" spans="2:20" ht="32.25" thickBot="1" x14ac:dyDescent="0.3">
      <c r="B5" s="232">
        <v>3</v>
      </c>
      <c r="C5" s="529" t="s">
        <v>541</v>
      </c>
      <c r="D5" s="1372">
        <v>2</v>
      </c>
      <c r="F5" s="893" t="s">
        <v>166</v>
      </c>
      <c r="G5" s="894"/>
      <c r="H5" s="894"/>
      <c r="I5" s="894"/>
      <c r="J5" s="894"/>
      <c r="K5" s="894"/>
      <c r="L5" s="894"/>
      <c r="M5" s="894"/>
      <c r="N5" s="895"/>
    </row>
    <row r="6" spans="2:20" ht="35.25" thickBot="1" x14ac:dyDescent="0.3">
      <c r="B6" s="360">
        <v>5</v>
      </c>
      <c r="C6" s="530" t="s">
        <v>542</v>
      </c>
      <c r="D6" s="1373"/>
      <c r="F6" s="608" t="s">
        <v>0</v>
      </c>
      <c r="G6" s="610" t="s">
        <v>1</v>
      </c>
      <c r="H6" s="608" t="s">
        <v>2</v>
      </c>
      <c r="I6" s="608" t="s">
        <v>164</v>
      </c>
      <c r="J6" s="608" t="s">
        <v>163</v>
      </c>
      <c r="K6" s="610" t="s">
        <v>729</v>
      </c>
      <c r="L6" s="608" t="s">
        <v>730</v>
      </c>
      <c r="M6" s="611" t="s">
        <v>731</v>
      </c>
      <c r="N6" s="31" t="s">
        <v>3</v>
      </c>
    </row>
    <row r="7" spans="2:20" s="9" customFormat="1" ht="62.45" customHeight="1" thickBot="1" x14ac:dyDescent="0.3">
      <c r="B7" s="5"/>
      <c r="C7" s="5"/>
      <c r="D7" s="5"/>
      <c r="E7" s="5"/>
      <c r="F7" s="656" t="s">
        <v>29</v>
      </c>
      <c r="G7" s="94" t="s">
        <v>31</v>
      </c>
      <c r="H7" s="443">
        <v>407.99</v>
      </c>
      <c r="I7" s="620">
        <v>1.19</v>
      </c>
      <c r="J7" s="443">
        <v>5</v>
      </c>
      <c r="K7" s="620">
        <v>0</v>
      </c>
      <c r="L7" s="443">
        <v>5</v>
      </c>
      <c r="M7" s="657">
        <f>L7/I7</f>
        <v>4.2016806722689077</v>
      </c>
      <c r="N7" s="889" t="s">
        <v>906</v>
      </c>
      <c r="O7" s="5"/>
      <c r="P7" s="5"/>
      <c r="Q7" s="5"/>
      <c r="R7" s="5"/>
      <c r="S7" s="5"/>
      <c r="T7" s="5"/>
    </row>
    <row r="8" spans="2:20" s="9" customFormat="1" ht="15" customHeight="1" thickBot="1" x14ac:dyDescent="0.3">
      <c r="B8" s="5"/>
      <c r="C8" s="5"/>
      <c r="D8" s="5"/>
      <c r="E8" s="5"/>
      <c r="F8" s="879" t="s">
        <v>53</v>
      </c>
      <c r="G8" s="1380"/>
      <c r="H8" s="1380"/>
      <c r="I8" s="880"/>
      <c r="J8" s="622">
        <f>SUM(J7)</f>
        <v>5</v>
      </c>
      <c r="K8" s="1">
        <f>SUM(K7)</f>
        <v>0</v>
      </c>
      <c r="L8" s="622">
        <f>SUM(L7)</f>
        <v>5</v>
      </c>
      <c r="M8" s="658">
        <f>SUM(M7)</f>
        <v>4.2016806722689077</v>
      </c>
      <c r="N8" s="890"/>
      <c r="O8" s="5"/>
      <c r="P8" s="5"/>
      <c r="Q8" s="5"/>
      <c r="R8" s="5"/>
      <c r="S8" s="5"/>
      <c r="T8" s="5"/>
    </row>
    <row r="9" spans="2:20" ht="16.5" thickBot="1" x14ac:dyDescent="0.3">
      <c r="F9" s="1377" t="s">
        <v>19</v>
      </c>
      <c r="G9" s="1378"/>
      <c r="H9" s="1378"/>
      <c r="I9" s="1378"/>
      <c r="J9" s="1378"/>
      <c r="K9" s="1378"/>
      <c r="L9" s="1378"/>
      <c r="M9" s="1378"/>
      <c r="N9" s="1379"/>
    </row>
    <row r="10" spans="2:20" ht="35.25" thickBot="1" x14ac:dyDescent="0.3">
      <c r="F10" s="606" t="s">
        <v>0</v>
      </c>
      <c r="G10" s="610" t="s">
        <v>1</v>
      </c>
      <c r="H10" s="608" t="s">
        <v>2</v>
      </c>
      <c r="I10" s="608" t="s">
        <v>164</v>
      </c>
      <c r="J10" s="608" t="s">
        <v>163</v>
      </c>
      <c r="K10" s="610" t="s">
        <v>729</v>
      </c>
      <c r="L10" s="608" t="s">
        <v>730</v>
      </c>
      <c r="M10" s="611" t="s">
        <v>731</v>
      </c>
      <c r="N10" s="607" t="s">
        <v>3</v>
      </c>
    </row>
    <row r="11" spans="2:20" s="9" customFormat="1" ht="102.75" customHeight="1" thickBot="1" x14ac:dyDescent="0.3">
      <c r="B11" s="5"/>
      <c r="C11" s="5"/>
      <c r="D11" s="5"/>
      <c r="E11" s="5"/>
      <c r="F11" s="44" t="s">
        <v>30</v>
      </c>
      <c r="G11" s="659" t="s">
        <v>578</v>
      </c>
      <c r="H11" s="660">
        <v>253.8</v>
      </c>
      <c r="I11" s="661">
        <v>1.02</v>
      </c>
      <c r="J11" s="660">
        <v>5</v>
      </c>
      <c r="K11" s="661">
        <v>0</v>
      </c>
      <c r="L11" s="660">
        <v>5</v>
      </c>
      <c r="M11" s="662">
        <f>L11/I11</f>
        <v>4.9019607843137258</v>
      </c>
      <c r="N11" s="887" t="s">
        <v>613</v>
      </c>
      <c r="O11" s="5"/>
      <c r="P11" s="5"/>
      <c r="Q11" s="5"/>
      <c r="R11" s="5"/>
      <c r="S11" s="5"/>
      <c r="T11" s="5"/>
    </row>
    <row r="12" spans="2:20" s="9" customFormat="1" ht="21" customHeight="1" thickBot="1" x14ac:dyDescent="0.3">
      <c r="B12" s="5"/>
      <c r="C12" s="5"/>
      <c r="D12" s="5"/>
      <c r="E12" s="5"/>
      <c r="F12" s="879" t="s">
        <v>53</v>
      </c>
      <c r="G12" s="1380"/>
      <c r="H12" s="1380"/>
      <c r="I12" s="880"/>
      <c r="J12" s="622">
        <f>SUM(J11)</f>
        <v>5</v>
      </c>
      <c r="K12" s="1">
        <f>SUM(K11)</f>
        <v>0</v>
      </c>
      <c r="L12" s="622">
        <f>SUM(L11)</f>
        <v>5</v>
      </c>
      <c r="M12" s="658">
        <f>SUM(M11)</f>
        <v>4.9019607843137258</v>
      </c>
      <c r="N12" s="888"/>
      <c r="O12" s="5"/>
      <c r="P12" s="5"/>
      <c r="Q12" s="5"/>
      <c r="R12" s="5"/>
      <c r="S12" s="5"/>
      <c r="T12" s="5"/>
    </row>
    <row r="13" spans="2:20" ht="16.5" thickBot="1" x14ac:dyDescent="0.3">
      <c r="F13" s="866" t="s">
        <v>32</v>
      </c>
      <c r="G13" s="981"/>
      <c r="H13" s="981"/>
      <c r="I13" s="981"/>
      <c r="J13" s="981"/>
      <c r="K13" s="981"/>
      <c r="L13" s="981"/>
      <c r="M13" s="981"/>
      <c r="N13" s="868"/>
    </row>
    <row r="14" spans="2:20" ht="35.25" thickBot="1" x14ac:dyDescent="0.3">
      <c r="F14" s="606" t="s">
        <v>0</v>
      </c>
      <c r="G14" s="508" t="s">
        <v>1</v>
      </c>
      <c r="H14" s="606" t="s">
        <v>2</v>
      </c>
      <c r="I14" s="606" t="s">
        <v>164</v>
      </c>
      <c r="J14" s="606" t="s">
        <v>163</v>
      </c>
      <c r="K14" s="508" t="s">
        <v>729</v>
      </c>
      <c r="L14" s="606" t="s">
        <v>455</v>
      </c>
      <c r="M14" s="605" t="s">
        <v>731</v>
      </c>
      <c r="N14" s="53" t="s">
        <v>3</v>
      </c>
    </row>
    <row r="15" spans="2:20" ht="63.75" thickBot="1" x14ac:dyDescent="0.3">
      <c r="F15" s="54" t="s">
        <v>23</v>
      </c>
      <c r="G15" s="660" t="s">
        <v>566</v>
      </c>
      <c r="H15" s="412" t="s">
        <v>567</v>
      </c>
      <c r="I15" s="71">
        <v>1.1599999999999999</v>
      </c>
      <c r="J15" s="412">
        <v>5</v>
      </c>
      <c r="K15" s="235">
        <v>0</v>
      </c>
      <c r="L15" s="412">
        <v>5</v>
      </c>
      <c r="M15" s="235">
        <f>L15/I15</f>
        <v>4.3103448275862073</v>
      </c>
      <c r="N15" s="885" t="s">
        <v>846</v>
      </c>
    </row>
    <row r="16" spans="2:20" ht="16.5" thickBot="1" x14ac:dyDescent="0.3">
      <c r="F16" s="879" t="s">
        <v>53</v>
      </c>
      <c r="G16" s="1380"/>
      <c r="H16" s="1380"/>
      <c r="I16" s="880"/>
      <c r="J16" s="622">
        <f>SUM(J15)</f>
        <v>5</v>
      </c>
      <c r="K16" s="1">
        <f>SUM(K15)</f>
        <v>0</v>
      </c>
      <c r="L16" s="622">
        <f>SUM(L15)</f>
        <v>5</v>
      </c>
      <c r="M16" s="658">
        <f>SUM(M15)</f>
        <v>4.3103448275862073</v>
      </c>
      <c r="N16" s="886"/>
    </row>
    <row r="18" spans="2:20" ht="16.5" thickBot="1" x14ac:dyDescent="0.3"/>
    <row r="19" spans="2:20" x14ac:dyDescent="0.25">
      <c r="F19" s="866" t="s">
        <v>33</v>
      </c>
      <c r="G19" s="867"/>
      <c r="H19" s="867"/>
      <c r="I19" s="867"/>
      <c r="J19" s="867"/>
      <c r="K19" s="867"/>
      <c r="L19" s="867"/>
      <c r="M19" s="867"/>
      <c r="N19" s="868"/>
    </row>
    <row r="20" spans="2:20" ht="16.5" thickBot="1" x14ac:dyDescent="0.3">
      <c r="F20" s="1374" t="s">
        <v>410</v>
      </c>
      <c r="G20" s="1375"/>
      <c r="H20" s="1375"/>
      <c r="I20" s="1375"/>
      <c r="J20" s="1375"/>
      <c r="K20" s="1375"/>
      <c r="L20" s="1375"/>
      <c r="M20" s="1375"/>
      <c r="N20" s="1376"/>
    </row>
    <row r="21" spans="2:20" ht="35.25" thickBot="1" x14ac:dyDescent="0.3">
      <c r="F21" s="28" t="s">
        <v>0</v>
      </c>
      <c r="G21" s="29" t="s">
        <v>1</v>
      </c>
      <c r="H21" s="28" t="s">
        <v>2</v>
      </c>
      <c r="I21" s="28" t="s">
        <v>164</v>
      </c>
      <c r="J21" s="28" t="s">
        <v>163</v>
      </c>
      <c r="K21" s="29" t="s">
        <v>454</v>
      </c>
      <c r="L21" s="28" t="s">
        <v>455</v>
      </c>
      <c r="M21" s="499" t="s">
        <v>660</v>
      </c>
      <c r="N21" s="31" t="s">
        <v>3</v>
      </c>
      <c r="Q21" s="1371"/>
    </row>
    <row r="22" spans="2:20" s="19" customFormat="1" ht="48" customHeight="1" thickBot="1" x14ac:dyDescent="0.3">
      <c r="B22" s="24"/>
      <c r="C22" s="24"/>
      <c r="D22" s="24"/>
      <c r="E22" s="24"/>
      <c r="F22" s="25" t="s">
        <v>34</v>
      </c>
      <c r="G22" s="96" t="s">
        <v>35</v>
      </c>
      <c r="H22" s="98">
        <v>53.491</v>
      </c>
      <c r="I22" s="1">
        <v>1.5269999999999999</v>
      </c>
      <c r="J22" s="416">
        <v>0.2</v>
      </c>
      <c r="K22" s="660">
        <v>0</v>
      </c>
      <c r="L22" s="416">
        <v>0.2</v>
      </c>
      <c r="M22" s="660">
        <f>L22/I22</f>
        <v>0.13097576948264572</v>
      </c>
      <c r="N22" s="974" t="s">
        <v>847</v>
      </c>
      <c r="O22" s="24"/>
      <c r="P22" s="24"/>
      <c r="Q22" s="1371"/>
      <c r="R22" s="24"/>
      <c r="S22" s="24"/>
      <c r="T22" s="24"/>
    </row>
    <row r="23" spans="2:20" ht="16.5" thickBot="1" x14ac:dyDescent="0.3">
      <c r="F23" s="879" t="s">
        <v>53</v>
      </c>
      <c r="G23" s="1380"/>
      <c r="H23" s="1380"/>
      <c r="I23" s="880"/>
      <c r="J23" s="622">
        <f>SUM(J22)</f>
        <v>0.2</v>
      </c>
      <c r="K23" s="1">
        <f>SUM(K22)</f>
        <v>0</v>
      </c>
      <c r="L23" s="622">
        <f>SUM(L22)</f>
        <v>0.2</v>
      </c>
      <c r="M23" s="658">
        <f>SUM(M22)</f>
        <v>0.13097576948264572</v>
      </c>
      <c r="N23" s="976"/>
      <c r="Q23" s="1371"/>
    </row>
    <row r="24" spans="2:20" ht="15.75" customHeight="1" x14ac:dyDescent="0.25"/>
  </sheetData>
  <mergeCells count="16">
    <mergeCell ref="Q21:Q23"/>
    <mergeCell ref="D5:D6"/>
    <mergeCell ref="F20:N20"/>
    <mergeCell ref="F4:N4"/>
    <mergeCell ref="F5:N5"/>
    <mergeCell ref="F13:N13"/>
    <mergeCell ref="F9:N9"/>
    <mergeCell ref="F19:N19"/>
    <mergeCell ref="F8:I8"/>
    <mergeCell ref="N7:N8"/>
    <mergeCell ref="F12:I12"/>
    <mergeCell ref="F16:I16"/>
    <mergeCell ref="F23:I23"/>
    <mergeCell ref="N15:N16"/>
    <mergeCell ref="N22:N23"/>
    <mergeCell ref="N11:N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9"/>
  <sheetViews>
    <sheetView zoomScale="80" zoomScaleNormal="80" workbookViewId="0">
      <selection activeCell="K14" sqref="K14"/>
    </sheetView>
  </sheetViews>
  <sheetFormatPr baseColWidth="10" defaultRowHeight="15.75" x14ac:dyDescent="0.25"/>
  <cols>
    <col min="1" max="1" width="4.140625" customWidth="1"/>
    <col min="2" max="2" width="13.140625" style="3" customWidth="1"/>
    <col min="3" max="4" width="23.5703125" style="3" customWidth="1"/>
    <col min="5" max="5" width="7.5703125" style="3" customWidth="1"/>
    <col min="6" max="6" width="14.28515625" style="3" customWidth="1"/>
    <col min="7" max="7" width="12.28515625" style="3" customWidth="1"/>
    <col min="8" max="8" width="13.28515625" style="3" customWidth="1"/>
    <col min="9" max="10" width="11.42578125" style="3"/>
    <col min="11" max="11" width="13.85546875" style="3" bestFit="1" customWidth="1"/>
    <col min="12" max="12" width="9.85546875" style="3" customWidth="1"/>
    <col min="13" max="14" width="13" style="3" bestFit="1" customWidth="1"/>
    <col min="15" max="15" width="39.28515625" style="3" customWidth="1"/>
    <col min="16" max="18" width="11.42578125" style="3"/>
    <col min="19" max="19" width="46.140625" style="3" customWidth="1"/>
  </cols>
  <sheetData>
    <row r="3" spans="2:19" ht="16.5" thickBot="1" x14ac:dyDescent="0.3"/>
    <row r="4" spans="2:19" ht="16.5" thickBot="1" x14ac:dyDescent="0.3">
      <c r="B4" s="393" t="s">
        <v>639</v>
      </c>
      <c r="C4" s="369" t="s">
        <v>607</v>
      </c>
      <c r="D4" s="400" t="s">
        <v>53</v>
      </c>
      <c r="F4" s="866" t="s">
        <v>167</v>
      </c>
      <c r="G4" s="867"/>
      <c r="H4" s="867"/>
      <c r="I4" s="867"/>
      <c r="J4" s="867"/>
      <c r="K4" s="867"/>
      <c r="L4" s="867"/>
      <c r="M4" s="867"/>
      <c r="N4" s="867"/>
      <c r="O4" s="868"/>
    </row>
    <row r="5" spans="2:19" ht="24" customHeight="1" thickBot="1" x14ac:dyDescent="0.3">
      <c r="B5" s="1382">
        <v>1</v>
      </c>
      <c r="C5" s="1387" t="s">
        <v>543</v>
      </c>
      <c r="D5" s="1389">
        <v>1</v>
      </c>
      <c r="F5" s="1384" t="s">
        <v>848</v>
      </c>
      <c r="G5" s="1385"/>
      <c r="H5" s="1385"/>
      <c r="I5" s="1385"/>
      <c r="J5" s="1385"/>
      <c r="K5" s="1385"/>
      <c r="L5" s="1385"/>
      <c r="M5" s="1385"/>
      <c r="N5" s="1385"/>
      <c r="O5" s="1386"/>
    </row>
    <row r="6" spans="2:19" ht="34.5" customHeight="1" thickBot="1" x14ac:dyDescent="0.3">
      <c r="B6" s="1383"/>
      <c r="C6" s="1388"/>
      <c r="D6" s="1390"/>
      <c r="F6" s="773" t="s">
        <v>0</v>
      </c>
      <c r="G6" s="824" t="s">
        <v>1</v>
      </c>
      <c r="H6" s="773" t="s">
        <v>2</v>
      </c>
      <c r="I6" s="773" t="s">
        <v>164</v>
      </c>
      <c r="J6" s="773" t="s">
        <v>655</v>
      </c>
      <c r="K6" s="879" t="s">
        <v>740</v>
      </c>
      <c r="L6" s="880"/>
      <c r="M6" s="773" t="s">
        <v>662</v>
      </c>
      <c r="N6" s="769" t="s">
        <v>661</v>
      </c>
      <c r="O6" s="53" t="s">
        <v>3</v>
      </c>
    </row>
    <row r="7" spans="2:19" s="33" customFormat="1" ht="48" customHeight="1" thickBot="1" x14ac:dyDescent="0.3">
      <c r="B7" s="361"/>
      <c r="C7" s="361"/>
      <c r="D7" s="415"/>
      <c r="E7" s="22"/>
      <c r="F7" s="25" t="s">
        <v>36</v>
      </c>
      <c r="G7" s="846" t="s">
        <v>37</v>
      </c>
      <c r="H7" s="21">
        <v>98.078999999999994</v>
      </c>
      <c r="I7" s="806">
        <v>1.83</v>
      </c>
      <c r="J7" s="411">
        <v>2</v>
      </c>
      <c r="K7" s="1391">
        <f>J7</f>
        <v>2</v>
      </c>
      <c r="L7" s="1392"/>
      <c r="M7" s="831">
        <f>J7-K7</f>
        <v>0</v>
      </c>
      <c r="N7" s="831">
        <f>M7/I7</f>
        <v>0</v>
      </c>
      <c r="O7" s="1153" t="s">
        <v>817</v>
      </c>
      <c r="P7" s="22"/>
      <c r="Q7" s="22"/>
      <c r="R7" s="22"/>
      <c r="S7" s="22"/>
    </row>
    <row r="8" spans="2:19" s="33" customFormat="1" ht="24.75" customHeight="1" thickBot="1" x14ac:dyDescent="0.3">
      <c r="B8" s="421"/>
      <c r="C8" s="421"/>
      <c r="D8" s="421"/>
      <c r="E8" s="421"/>
      <c r="F8" s="736" t="s">
        <v>45</v>
      </c>
      <c r="G8" s="739" t="s">
        <v>46</v>
      </c>
      <c r="H8" s="725">
        <v>18.015280000000001</v>
      </c>
      <c r="I8" s="60">
        <v>1</v>
      </c>
      <c r="J8" s="411">
        <v>10</v>
      </c>
      <c r="K8" s="1393">
        <f>(J7)*(1/H7)*(2/1)*(H8/1)</f>
        <v>0.73472527248442587</v>
      </c>
      <c r="L8" s="1394"/>
      <c r="M8" s="716">
        <f>J8-K8</f>
        <v>9.2652747275155747</v>
      </c>
      <c r="N8" s="235">
        <f>M8/I8</f>
        <v>9.2652747275155747</v>
      </c>
      <c r="O8" s="1153"/>
      <c r="P8" s="421"/>
      <c r="Q8" s="421"/>
      <c r="R8" s="421"/>
      <c r="S8" s="421"/>
    </row>
    <row r="9" spans="2:19" s="33" customFormat="1" ht="29.25" customHeight="1" thickBot="1" x14ac:dyDescent="0.3">
      <c r="B9" s="421"/>
      <c r="C9" s="421"/>
      <c r="D9" s="421"/>
      <c r="E9" s="421"/>
      <c r="F9" s="314" t="s">
        <v>205</v>
      </c>
      <c r="G9" s="165" t="s">
        <v>204</v>
      </c>
      <c r="H9" s="64">
        <v>96</v>
      </c>
      <c r="I9" s="64">
        <v>2.6</v>
      </c>
      <c r="J9" s="64">
        <v>0</v>
      </c>
      <c r="K9" s="235">
        <f>($J$7)*(1/$H$7)*(1/1)*(H9/1)</f>
        <v>1.9576056036460403</v>
      </c>
      <c r="L9" s="411">
        <f>($J$8)*(1/$H$8)*(1/2)*(H9/1)</f>
        <v>26.644048829660157</v>
      </c>
      <c r="M9" s="716">
        <f>K9</f>
        <v>1.9576056036460403</v>
      </c>
      <c r="N9" s="235">
        <f>M9/I9</f>
        <v>0.75292523217155394</v>
      </c>
      <c r="O9" s="1153"/>
      <c r="P9" s="421"/>
      <c r="Q9" s="421"/>
      <c r="R9" s="421"/>
      <c r="S9" s="421"/>
    </row>
    <row r="10" spans="2:19" s="33" customFormat="1" ht="24.75" customHeight="1" thickBot="1" x14ac:dyDescent="0.35">
      <c r="B10" s="421"/>
      <c r="C10" s="421"/>
      <c r="D10" s="421"/>
      <c r="E10" s="421"/>
      <c r="F10" s="69" t="s">
        <v>48</v>
      </c>
      <c r="G10" s="419" t="s">
        <v>581</v>
      </c>
      <c r="H10" s="727">
        <v>19.02</v>
      </c>
      <c r="I10" s="717">
        <v>1.1599999999999999</v>
      </c>
      <c r="J10" s="717">
        <v>0</v>
      </c>
      <c r="K10" s="235">
        <f>($J$7)*(1/$H$7)*(1/1)*(H10/1)</f>
        <v>0.38785061022237177</v>
      </c>
      <c r="L10" s="411">
        <f>($J$8)*(1/$H$8)*(1/2)*(H10/1)</f>
        <v>5.2788521743764187</v>
      </c>
      <c r="M10" s="716">
        <f>K10</f>
        <v>0.38785061022237177</v>
      </c>
      <c r="N10" s="235">
        <f>M10/I10</f>
        <v>0.33435397432963088</v>
      </c>
      <c r="O10" s="1153"/>
      <c r="P10" s="421"/>
      <c r="Q10" s="421"/>
      <c r="R10" s="421"/>
      <c r="S10" s="421"/>
    </row>
    <row r="11" spans="2:19" ht="16.5" thickBot="1" x14ac:dyDescent="0.3">
      <c r="F11" s="879" t="s">
        <v>53</v>
      </c>
      <c r="G11" s="1380"/>
      <c r="H11" s="1380"/>
      <c r="I11" s="880"/>
      <c r="J11" s="622">
        <f>SUM(J7:J10)</f>
        <v>12</v>
      </c>
      <c r="K11" s="1">
        <f>SUM(K7:L8)-SUM(K9:K10)</f>
        <v>0.38926905861601346</v>
      </c>
      <c r="L11" s="729">
        <f>SUM(K7:L8)-SUM(L9:L10)</f>
        <v>-29.18817573155215</v>
      </c>
      <c r="M11" s="1">
        <f>SUM(M7:M10)</f>
        <v>11.610730941383988</v>
      </c>
      <c r="N11" s="658">
        <f>SUM(N7:N10)</f>
        <v>10.352553934016759</v>
      </c>
      <c r="O11" s="1154"/>
    </row>
    <row r="13" spans="2:19" x14ac:dyDescent="0.25">
      <c r="O13" s="1381"/>
    </row>
    <row r="14" spans="2:19" x14ac:dyDescent="0.25">
      <c r="O14" s="1381"/>
    </row>
    <row r="19" spans="6:6" x14ac:dyDescent="0.25">
      <c r="F19" s="738"/>
    </row>
  </sheetData>
  <mergeCells count="11">
    <mergeCell ref="O13:O14"/>
    <mergeCell ref="B5:B6"/>
    <mergeCell ref="F4:O4"/>
    <mergeCell ref="F5:O5"/>
    <mergeCell ref="C5:C6"/>
    <mergeCell ref="D5:D6"/>
    <mergeCell ref="K6:L6"/>
    <mergeCell ref="F11:I11"/>
    <mergeCell ref="O7:O11"/>
    <mergeCell ref="K7:L7"/>
    <mergeCell ref="K8:L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1"/>
  <sheetViews>
    <sheetView zoomScale="83" zoomScaleNormal="83" workbookViewId="0">
      <selection activeCell="T26" sqref="T26"/>
    </sheetView>
  </sheetViews>
  <sheetFormatPr baseColWidth="10" defaultRowHeight="15.75" x14ac:dyDescent="0.25"/>
  <cols>
    <col min="2" max="2" width="13.28515625" style="3" customWidth="1"/>
    <col min="3" max="3" width="42.7109375" style="3" bestFit="1" customWidth="1"/>
    <col min="4" max="4" width="8.7109375" style="3" customWidth="1"/>
    <col min="5" max="5" width="5.28515625" style="3" customWidth="1"/>
    <col min="6" max="6" width="13" style="3" customWidth="1"/>
    <col min="7" max="7" width="11.42578125" style="3"/>
    <col min="8" max="8" width="12.5703125" style="7" customWidth="1"/>
    <col min="9" max="9" width="11.42578125" style="7"/>
    <col min="10" max="10" width="11.42578125" style="3"/>
    <col min="11" max="12" width="13.85546875" style="3" bestFit="1" customWidth="1"/>
    <col min="13" max="13" width="15.7109375" style="3" customWidth="1"/>
    <col min="14" max="14" width="26.5703125" style="3" customWidth="1"/>
    <col min="15" max="15" width="19" style="3" customWidth="1"/>
    <col min="16" max="24" width="11.42578125" style="3"/>
  </cols>
  <sheetData>
    <row r="2" spans="2:24" ht="16.5" thickBot="1" x14ac:dyDescent="0.3"/>
    <row r="3" spans="2:24" ht="16.5" thickBot="1" x14ac:dyDescent="0.3">
      <c r="B3" s="393" t="s">
        <v>639</v>
      </c>
      <c r="C3" s="369" t="s">
        <v>607</v>
      </c>
      <c r="D3" s="400" t="s">
        <v>53</v>
      </c>
      <c r="F3" s="1405" t="s">
        <v>39</v>
      </c>
      <c r="G3" s="1406"/>
      <c r="H3" s="1406"/>
      <c r="I3" s="1406"/>
      <c r="J3" s="1406"/>
      <c r="K3" s="1406"/>
      <c r="L3" s="1406"/>
      <c r="M3" s="1406"/>
      <c r="N3" s="1406"/>
      <c r="O3" s="1407"/>
    </row>
    <row r="4" spans="2:24" ht="16.5" thickBot="1" x14ac:dyDescent="0.3">
      <c r="B4" s="1389">
        <v>1</v>
      </c>
      <c r="C4" s="1396" t="s">
        <v>544</v>
      </c>
      <c r="D4" s="1417">
        <v>3</v>
      </c>
      <c r="F4" s="1222" t="s">
        <v>168</v>
      </c>
      <c r="G4" s="1223"/>
      <c r="H4" s="1223"/>
      <c r="I4" s="1223"/>
      <c r="J4" s="1223"/>
      <c r="K4" s="1223"/>
      <c r="L4" s="1223"/>
      <c r="M4" s="1223"/>
      <c r="N4" s="1223"/>
      <c r="O4" s="1224"/>
    </row>
    <row r="5" spans="2:24" ht="21" thickBot="1" x14ac:dyDescent="0.3">
      <c r="B5" s="1395"/>
      <c r="C5" s="1397"/>
      <c r="D5" s="1418"/>
      <c r="F5" s="1398" t="s">
        <v>850</v>
      </c>
      <c r="G5" s="1399"/>
      <c r="H5" s="1399"/>
      <c r="I5" s="1399"/>
      <c r="J5" s="1399"/>
      <c r="K5" s="1399"/>
      <c r="L5" s="1399"/>
      <c r="M5" s="1399"/>
      <c r="N5" s="1399"/>
      <c r="O5" s="1400"/>
    </row>
    <row r="6" spans="2:24" ht="37.5" customHeight="1" thickBot="1" x14ac:dyDescent="0.3">
      <c r="B6" s="725">
        <v>6</v>
      </c>
      <c r="C6" s="532" t="s">
        <v>52</v>
      </c>
      <c r="D6" s="1418"/>
      <c r="F6" s="721" t="s">
        <v>0</v>
      </c>
      <c r="G6" s="610" t="s">
        <v>1</v>
      </c>
      <c r="H6" s="721" t="s">
        <v>2</v>
      </c>
      <c r="I6" s="721" t="s">
        <v>164</v>
      </c>
      <c r="J6" s="414" t="s">
        <v>618</v>
      </c>
      <c r="K6" s="982" t="s">
        <v>854</v>
      </c>
      <c r="L6" s="983"/>
      <c r="M6" s="721" t="s">
        <v>732</v>
      </c>
      <c r="N6" s="722" t="s">
        <v>733</v>
      </c>
      <c r="O6" s="720" t="s">
        <v>3</v>
      </c>
    </row>
    <row r="7" spans="2:24" s="9" customFormat="1" ht="36" customHeight="1" thickBot="1" x14ac:dyDescent="0.3">
      <c r="B7" s="733">
        <v>7</v>
      </c>
      <c r="C7" s="533" t="s">
        <v>545</v>
      </c>
      <c r="D7" s="1419"/>
      <c r="E7" s="5"/>
      <c r="F7" s="654" t="s">
        <v>40</v>
      </c>
      <c r="G7" s="755" t="s">
        <v>41</v>
      </c>
      <c r="H7" s="87">
        <v>74.551299999999998</v>
      </c>
      <c r="I7" s="719">
        <v>1.98</v>
      </c>
      <c r="J7" s="746">
        <v>2</v>
      </c>
      <c r="K7" s="1424">
        <f>J7</f>
        <v>2</v>
      </c>
      <c r="L7" s="1425"/>
      <c r="M7" s="742">
        <f>J7-K7</f>
        <v>0</v>
      </c>
      <c r="N7" s="746">
        <f>M7/I7</f>
        <v>0</v>
      </c>
      <c r="O7" s="1420" t="s">
        <v>853</v>
      </c>
      <c r="P7" s="5"/>
      <c r="Q7" s="5"/>
      <c r="R7" s="5"/>
      <c r="S7" s="5"/>
      <c r="T7" s="5"/>
      <c r="U7" s="5"/>
      <c r="V7" s="5"/>
      <c r="W7" s="5"/>
      <c r="X7" s="5"/>
    </row>
    <row r="8" spans="2:24" s="9" customFormat="1" ht="20.25" customHeight="1" x14ac:dyDescent="0.25">
      <c r="B8" s="731"/>
      <c r="C8" s="751"/>
      <c r="D8" s="752"/>
      <c r="E8" s="5"/>
      <c r="F8" s="663" t="s">
        <v>45</v>
      </c>
      <c r="G8" s="323" t="s">
        <v>46</v>
      </c>
      <c r="H8" s="692">
        <v>18.015280000000001</v>
      </c>
      <c r="I8" s="725">
        <v>1</v>
      </c>
      <c r="J8" s="747">
        <v>500</v>
      </c>
      <c r="K8" s="1426">
        <f>(J7)*(1/H7)*(2/2)*(H8/1)</f>
        <v>0.48329888278272815</v>
      </c>
      <c r="L8" s="1404"/>
      <c r="M8" s="743">
        <f>J8-K8</f>
        <v>499.51670111721728</v>
      </c>
      <c r="N8" s="747">
        <f>M8/I8</f>
        <v>499.51670111721728</v>
      </c>
      <c r="O8" s="1421"/>
      <c r="P8" s="5"/>
      <c r="Q8" s="5"/>
      <c r="R8" s="5"/>
      <c r="S8" s="5"/>
      <c r="T8" s="5"/>
      <c r="U8" s="5"/>
      <c r="V8" s="5"/>
      <c r="W8" s="5"/>
      <c r="X8" s="5"/>
    </row>
    <row r="9" spans="2:24" s="9" customFormat="1" ht="38.25" customHeight="1" x14ac:dyDescent="0.25">
      <c r="B9" s="731"/>
      <c r="C9" s="751"/>
      <c r="D9" s="752"/>
      <c r="E9" s="5"/>
      <c r="F9" s="286" t="s">
        <v>92</v>
      </c>
      <c r="G9" s="60" t="s">
        <v>93</v>
      </c>
      <c r="H9" s="726">
        <v>56.105600000000003</v>
      </c>
      <c r="I9" s="723">
        <v>2.12</v>
      </c>
      <c r="J9" s="60">
        <v>0</v>
      </c>
      <c r="K9" s="741">
        <f>($J$7)*(1/$H$7)*(2/2)*(H9/1)</f>
        <v>1.5051541690084547</v>
      </c>
      <c r="L9" s="740">
        <f>($J$8)*(1/$H$8)*(2/2)</f>
        <v>27.754217530895996</v>
      </c>
      <c r="M9" s="743">
        <f>K9</f>
        <v>1.5051541690084547</v>
      </c>
      <c r="N9" s="747">
        <f>M9/I9</f>
        <v>0.70997838160776161</v>
      </c>
      <c r="O9" s="1421"/>
      <c r="P9" s="5"/>
      <c r="Q9" s="5"/>
      <c r="R9" s="5"/>
      <c r="S9" s="5"/>
      <c r="T9" s="5"/>
      <c r="U9" s="5"/>
      <c r="V9" s="5"/>
      <c r="W9" s="5"/>
      <c r="X9" s="5"/>
    </row>
    <row r="10" spans="2:24" s="9" customFormat="1" ht="21" customHeight="1" x14ac:dyDescent="0.25">
      <c r="B10" s="731"/>
      <c r="C10" s="751"/>
      <c r="D10" s="752"/>
      <c r="E10" s="5"/>
      <c r="F10" s="757" t="s">
        <v>852</v>
      </c>
      <c r="G10" s="763" t="s">
        <v>851</v>
      </c>
      <c r="H10" s="734">
        <v>70.906000000000006</v>
      </c>
      <c r="I10" s="429">
        <v>0.56699999999999995</v>
      </c>
      <c r="J10" s="747">
        <v>0</v>
      </c>
      <c r="K10" s="741">
        <f>($J$7)*(1/$H$7)*(1/2)*(H10/1)</f>
        <v>0.95110346834998194</v>
      </c>
      <c r="L10" s="740">
        <f>($J$8)*(1/$H$8)*(1/2)</f>
        <v>13.877108765447998</v>
      </c>
      <c r="M10" s="758">
        <f>K10</f>
        <v>0.95110346834998194</v>
      </c>
      <c r="N10" s="760">
        <f>M10/I10</f>
        <v>1.6774311611110795</v>
      </c>
      <c r="O10" s="1421"/>
      <c r="P10" s="5"/>
      <c r="Q10" s="5"/>
      <c r="R10" s="5"/>
      <c r="S10" s="5"/>
      <c r="T10" s="5"/>
      <c r="U10" s="5"/>
      <c r="V10" s="5"/>
      <c r="W10" s="5"/>
      <c r="X10" s="5"/>
    </row>
    <row r="11" spans="2:24" s="9" customFormat="1" ht="23.25" customHeight="1" thickBot="1" x14ac:dyDescent="0.3">
      <c r="B11" s="731"/>
      <c r="C11" s="751"/>
      <c r="D11" s="752"/>
      <c r="E11" s="5"/>
      <c r="F11" s="84" t="s">
        <v>84</v>
      </c>
      <c r="G11" s="86" t="s">
        <v>86</v>
      </c>
      <c r="H11" s="88">
        <v>2.0158900000000002</v>
      </c>
      <c r="I11" s="649">
        <v>1</v>
      </c>
      <c r="J11" s="64">
        <v>0</v>
      </c>
      <c r="K11" s="762">
        <f>($J$7)*(1/$H$7)*(1/2)*(H11/1)</f>
        <v>2.704030647352897E-2</v>
      </c>
      <c r="L11" s="759">
        <f>($J$8)*(1/$H$8)*(1/2)</f>
        <v>13.877108765447998</v>
      </c>
      <c r="M11" s="758">
        <f>K11</f>
        <v>2.704030647352897E-2</v>
      </c>
      <c r="N11" s="748">
        <f>M11/I11</f>
        <v>2.704030647352897E-2</v>
      </c>
      <c r="O11" s="1421"/>
      <c r="P11" s="5"/>
      <c r="Q11" s="5"/>
      <c r="R11" s="5"/>
      <c r="S11" s="5"/>
      <c r="T11" s="5"/>
      <c r="U11" s="5"/>
      <c r="V11" s="5"/>
      <c r="W11" s="5"/>
      <c r="X11" s="5"/>
    </row>
    <row r="12" spans="2:24" ht="16.5" thickBot="1" x14ac:dyDescent="0.3">
      <c r="F12" s="982" t="s">
        <v>53</v>
      </c>
      <c r="G12" s="1423"/>
      <c r="H12" s="1423"/>
      <c r="I12" s="983"/>
      <c r="J12" s="728">
        <f>SUM(J7:J11)</f>
        <v>502</v>
      </c>
      <c r="K12" s="1">
        <f>SUM(K7:L8)-SUM(K9:K11)</f>
        <v>9.3895076247463294E-7</v>
      </c>
      <c r="L12" s="729">
        <f>SUM(K7:L8)-SUM(L9:L11)</f>
        <v>-53.025136179009266</v>
      </c>
      <c r="M12" s="730">
        <f>SUM(M7:M11)</f>
        <v>501.99999906104921</v>
      </c>
      <c r="N12" s="724">
        <f>SUM(N7:N11)</f>
        <v>501.93115096640963</v>
      </c>
      <c r="O12" s="1422"/>
    </row>
    <row r="13" spans="2:24" ht="16.5" thickBot="1" x14ac:dyDescent="0.3">
      <c r="H13" s="421"/>
      <c r="I13" s="421"/>
    </row>
    <row r="14" spans="2:24" ht="16.5" thickBot="1" x14ac:dyDescent="0.3">
      <c r="F14" s="1405" t="s">
        <v>42</v>
      </c>
      <c r="G14" s="1406"/>
      <c r="H14" s="1406"/>
      <c r="I14" s="1406"/>
      <c r="J14" s="1406"/>
      <c r="K14" s="1406"/>
      <c r="L14" s="1406"/>
      <c r="M14" s="1406"/>
      <c r="N14" s="1406"/>
      <c r="O14" s="1407"/>
    </row>
    <row r="15" spans="2:24" ht="21" thickBot="1" x14ac:dyDescent="0.3">
      <c r="F15" s="1284" t="s">
        <v>855</v>
      </c>
      <c r="G15" s="1285"/>
      <c r="H15" s="1285"/>
      <c r="I15" s="1285"/>
      <c r="J15" s="1285"/>
      <c r="K15" s="1285"/>
      <c r="L15" s="1285"/>
      <c r="M15" s="1285"/>
      <c r="N15" s="1285"/>
      <c r="O15" s="1286"/>
    </row>
    <row r="16" spans="2:24" ht="35.25" thickBot="1" x14ac:dyDescent="0.3">
      <c r="F16" s="753" t="s">
        <v>0</v>
      </c>
      <c r="G16" s="721" t="s">
        <v>1</v>
      </c>
      <c r="H16" s="610" t="s">
        <v>2</v>
      </c>
      <c r="I16" s="721" t="s">
        <v>164</v>
      </c>
      <c r="J16" s="610" t="s">
        <v>618</v>
      </c>
      <c r="K16" s="982" t="s">
        <v>854</v>
      </c>
      <c r="L16" s="983"/>
      <c r="M16" s="721" t="s">
        <v>732</v>
      </c>
      <c r="N16" s="722" t="s">
        <v>733</v>
      </c>
      <c r="O16" s="720" t="s">
        <v>3</v>
      </c>
    </row>
    <row r="17" spans="2:25" s="9" customFormat="1" ht="48" customHeight="1" x14ac:dyDescent="0.25">
      <c r="B17" s="5"/>
      <c r="C17" s="5"/>
      <c r="D17" s="5"/>
      <c r="E17" s="5"/>
      <c r="F17" s="654" t="s">
        <v>43</v>
      </c>
      <c r="G17" s="755" t="s">
        <v>44</v>
      </c>
      <c r="H17" s="87">
        <v>342.15</v>
      </c>
      <c r="I17" s="75">
        <v>2.67</v>
      </c>
      <c r="J17" s="742">
        <v>1.5</v>
      </c>
      <c r="K17" s="1401">
        <f>J17</f>
        <v>1.5</v>
      </c>
      <c r="L17" s="1402"/>
      <c r="M17" s="742">
        <f>J17-K17</f>
        <v>0</v>
      </c>
      <c r="N17" s="746">
        <f>M17/I17</f>
        <v>0</v>
      </c>
      <c r="O17" s="1095" t="s">
        <v>873</v>
      </c>
      <c r="P17" s="5"/>
      <c r="Q17" s="5"/>
      <c r="R17" s="5"/>
      <c r="S17" s="5"/>
      <c r="T17" s="5"/>
      <c r="U17" s="5"/>
      <c r="V17" s="5"/>
      <c r="W17" s="5"/>
      <c r="X17" s="5"/>
    </row>
    <row r="18" spans="2:25" s="9" customFormat="1" ht="18" customHeight="1" x14ac:dyDescent="0.25">
      <c r="B18" s="5"/>
      <c r="C18" s="5"/>
      <c r="D18" s="5"/>
      <c r="E18" s="5"/>
      <c r="F18" s="663" t="s">
        <v>45</v>
      </c>
      <c r="G18" s="323" t="s">
        <v>46</v>
      </c>
      <c r="H18" s="692">
        <v>18.015280000000001</v>
      </c>
      <c r="I18" s="725">
        <v>1</v>
      </c>
      <c r="J18" s="743">
        <v>50</v>
      </c>
      <c r="K18" s="1403">
        <f>(J17)*(1/H17)*(6/1)*(H18/1)</f>
        <v>0.4738784743533539</v>
      </c>
      <c r="L18" s="1404"/>
      <c r="M18" s="743">
        <f>J18-K18</f>
        <v>49.526121525646644</v>
      </c>
      <c r="N18" s="747">
        <f>M18/I18</f>
        <v>49.526121525646644</v>
      </c>
      <c r="O18" s="1096"/>
      <c r="P18" s="5"/>
      <c r="Q18" s="5"/>
      <c r="R18" s="5"/>
      <c r="S18" s="5"/>
      <c r="T18" s="5"/>
      <c r="U18" s="5"/>
      <c r="V18" s="5"/>
      <c r="W18" s="5"/>
      <c r="X18" s="5"/>
    </row>
    <row r="19" spans="2:25" s="9" customFormat="1" ht="33" customHeight="1" x14ac:dyDescent="0.25">
      <c r="B19" s="5"/>
      <c r="C19" s="5"/>
      <c r="D19" s="5"/>
      <c r="E19" s="5"/>
      <c r="F19" s="663" t="s">
        <v>174</v>
      </c>
      <c r="G19" s="750" t="s">
        <v>856</v>
      </c>
      <c r="H19" s="718">
        <v>78</v>
      </c>
      <c r="I19" s="150">
        <v>2.42</v>
      </c>
      <c r="J19" s="150">
        <v>0</v>
      </c>
      <c r="K19" s="745">
        <f>($J$17)*(1/$H$17)*(2/1)*(H19/1)</f>
        <v>0.68391056554142926</v>
      </c>
      <c r="L19" s="740">
        <f>($J$18)*(1/$H$18)*(2/6)*(H19/1)</f>
        <v>72.160965580329588</v>
      </c>
      <c r="M19" s="743">
        <f>K19</f>
        <v>0.68391056554142926</v>
      </c>
      <c r="N19" s="747">
        <f>M19/I19</f>
        <v>0.28260767171133444</v>
      </c>
      <c r="O19" s="1096"/>
      <c r="P19" s="5"/>
      <c r="Q19" s="5"/>
      <c r="R19" s="5"/>
      <c r="S19" s="5"/>
      <c r="T19" s="5"/>
      <c r="U19" s="5"/>
      <c r="V19" s="5"/>
      <c r="W19" s="5"/>
      <c r="X19" s="5"/>
    </row>
    <row r="20" spans="2:25" s="9" customFormat="1" ht="36.75" customHeight="1" thickBot="1" x14ac:dyDescent="0.3">
      <c r="B20" s="5"/>
      <c r="C20" s="5"/>
      <c r="D20" s="5"/>
      <c r="E20" s="5"/>
      <c r="F20" s="754" t="s">
        <v>36</v>
      </c>
      <c r="G20" s="737" t="s">
        <v>857</v>
      </c>
      <c r="H20" s="718">
        <v>98</v>
      </c>
      <c r="I20" s="150">
        <v>1.83</v>
      </c>
      <c r="J20" s="150">
        <v>0</v>
      </c>
      <c r="K20" s="745">
        <f>($J$17)*(1/$H$17)*(2/1)*(H20/1)</f>
        <v>0.85927224901359067</v>
      </c>
      <c r="L20" s="740">
        <f>($J$18)*(1/$H$18)*(2/6)*(H20/1)</f>
        <v>90.663777267593588</v>
      </c>
      <c r="M20" s="744">
        <f>K20</f>
        <v>0.85927224901359067</v>
      </c>
      <c r="N20" s="748">
        <f>M20/I20</f>
        <v>0.46954767705660688</v>
      </c>
      <c r="O20" s="1096"/>
      <c r="P20" s="5"/>
      <c r="Q20" s="5"/>
      <c r="R20" s="5"/>
      <c r="S20" s="5"/>
      <c r="T20" s="5"/>
      <c r="U20" s="5"/>
      <c r="V20" s="5"/>
      <c r="W20" s="5"/>
      <c r="X20" s="5"/>
    </row>
    <row r="21" spans="2:25" ht="16.5" thickBot="1" x14ac:dyDescent="0.3">
      <c r="F21" s="879" t="s">
        <v>53</v>
      </c>
      <c r="G21" s="1380"/>
      <c r="H21" s="1380"/>
      <c r="I21" s="880"/>
      <c r="J21" s="729">
        <f>SUM(J17)</f>
        <v>1.5</v>
      </c>
      <c r="K21" s="732">
        <f>SUM(K17:L18)-SUM(K19:K20)</f>
        <v>0.43069565979833402</v>
      </c>
      <c r="L21" s="732">
        <f>SUM(K17:L18)-SUM(L19:L20)</f>
        <v>-160.85086437356983</v>
      </c>
      <c r="M21" s="729">
        <f>SUM(M17:M20)</f>
        <v>51.069304340201668</v>
      </c>
      <c r="N21" s="1">
        <f>SUM(N17:N20)</f>
        <v>50.278276874414587</v>
      </c>
      <c r="O21" s="1097"/>
    </row>
    <row r="22" spans="2:25" ht="16.5" thickBot="1" x14ac:dyDescent="0.3">
      <c r="H22" s="421"/>
      <c r="I22" s="421"/>
    </row>
    <row r="23" spans="2:25" ht="15.75" customHeight="1" x14ac:dyDescent="0.3">
      <c r="B23" s="749"/>
      <c r="F23" s="1103" t="s">
        <v>47</v>
      </c>
      <c r="G23" s="1104"/>
      <c r="H23" s="1104"/>
      <c r="I23" s="1104"/>
      <c r="J23" s="1104"/>
      <c r="K23" s="1104"/>
      <c r="L23" s="1104"/>
      <c r="M23" s="1104"/>
      <c r="N23" s="1104"/>
      <c r="O23" s="1105"/>
    </row>
    <row r="24" spans="2:25" ht="16.5" thickBot="1" x14ac:dyDescent="0.3">
      <c r="F24" s="1411"/>
      <c r="G24" s="1099"/>
      <c r="H24" s="1099"/>
      <c r="I24" s="1099"/>
      <c r="J24" s="1099"/>
      <c r="K24" s="1099"/>
      <c r="L24" s="1099"/>
      <c r="M24" s="1099"/>
      <c r="N24" s="1099"/>
      <c r="O24" s="1412"/>
    </row>
    <row r="25" spans="2:25" ht="21" thickBot="1" x14ac:dyDescent="0.3">
      <c r="F25" s="1284" t="s">
        <v>169</v>
      </c>
      <c r="G25" s="1285"/>
      <c r="H25" s="1285"/>
      <c r="I25" s="1285"/>
      <c r="J25" s="1285"/>
      <c r="K25" s="1285"/>
      <c r="L25" s="1285"/>
      <c r="M25" s="1285"/>
      <c r="N25" s="1285"/>
      <c r="O25" s="1286"/>
    </row>
    <row r="26" spans="2:25" ht="35.25" thickBot="1" x14ac:dyDescent="0.3">
      <c r="F26" s="473" t="s">
        <v>0</v>
      </c>
      <c r="G26" s="29" t="s">
        <v>1</v>
      </c>
      <c r="H26" s="473" t="s">
        <v>2</v>
      </c>
      <c r="I26" s="473" t="s">
        <v>164</v>
      </c>
      <c r="J26" s="473" t="s">
        <v>163</v>
      </c>
      <c r="K26" s="982" t="s">
        <v>854</v>
      </c>
      <c r="L26" s="983"/>
      <c r="M26" s="472" t="s">
        <v>732</v>
      </c>
      <c r="N26" s="499" t="s">
        <v>733</v>
      </c>
      <c r="O26" s="31" t="s">
        <v>3</v>
      </c>
      <c r="Y26" s="3"/>
    </row>
    <row r="27" spans="2:25" s="8" customFormat="1" ht="31.5" customHeight="1" x14ac:dyDescent="0.25">
      <c r="B27" s="6"/>
      <c r="C27" s="6"/>
      <c r="D27" s="6"/>
      <c r="E27" s="6"/>
      <c r="F27" s="654" t="s">
        <v>36</v>
      </c>
      <c r="G27" s="85" t="s">
        <v>37</v>
      </c>
      <c r="H27" s="87">
        <v>98.078999999999994</v>
      </c>
      <c r="I27" s="75">
        <v>1.83</v>
      </c>
      <c r="J27" s="422">
        <v>3</v>
      </c>
      <c r="K27" s="1413">
        <f>J27</f>
        <v>3</v>
      </c>
      <c r="L27" s="1414"/>
      <c r="M27" s="422">
        <f>J27-K27</f>
        <v>0</v>
      </c>
      <c r="N27" s="436">
        <f>M27/I27</f>
        <v>0</v>
      </c>
      <c r="O27" s="887" t="s">
        <v>861</v>
      </c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2:25" ht="18.75" x14ac:dyDescent="0.25">
      <c r="F28" s="663" t="s">
        <v>45</v>
      </c>
      <c r="G28" s="323" t="s">
        <v>46</v>
      </c>
      <c r="H28" s="62">
        <v>18.015280000000001</v>
      </c>
      <c r="I28" s="76">
        <v>1</v>
      </c>
      <c r="J28" s="618">
        <v>20</v>
      </c>
      <c r="K28" s="1415">
        <f>(J27/H27)*(2/1)*(H28/1)</f>
        <v>1.1020879087266389</v>
      </c>
      <c r="L28" s="1416"/>
      <c r="M28" s="621">
        <f>J28-K28</f>
        <v>18.897912091273362</v>
      </c>
      <c r="N28" s="107">
        <f>M28/I28</f>
        <v>18.897912091273362</v>
      </c>
      <c r="O28" s="1410"/>
      <c r="Y28" s="3"/>
    </row>
    <row r="29" spans="2:25" ht="21.75" customHeight="1" x14ac:dyDescent="0.25">
      <c r="F29" s="764" t="s">
        <v>49</v>
      </c>
      <c r="G29" s="59" t="s">
        <v>51</v>
      </c>
      <c r="H29" s="618">
        <v>96.06</v>
      </c>
      <c r="I29" s="60">
        <v>2.6640000000000001</v>
      </c>
      <c r="J29" s="618">
        <v>0</v>
      </c>
      <c r="K29" s="48">
        <f>(J27/H27)*(1/1)*(H29/1)</f>
        <v>2.9382436607224789</v>
      </c>
      <c r="L29" s="320">
        <f>(J28/H28)*(1/2)*(H29/1)</f>
        <v>53.321402720357383</v>
      </c>
      <c r="M29" s="621">
        <f>K29</f>
        <v>2.9382436607224789</v>
      </c>
      <c r="N29" s="107">
        <f>M29/I29</f>
        <v>1.1029443170880175</v>
      </c>
      <c r="O29" s="1410"/>
      <c r="Y29" s="3"/>
    </row>
    <row r="30" spans="2:25" ht="19.5" thickBot="1" x14ac:dyDescent="0.3">
      <c r="F30" s="57" t="s">
        <v>48</v>
      </c>
      <c r="G30" s="86" t="s">
        <v>50</v>
      </c>
      <c r="H30" s="488">
        <v>19.02</v>
      </c>
      <c r="I30" s="418">
        <v>0.997</v>
      </c>
      <c r="J30" s="488">
        <v>0</v>
      </c>
      <c r="K30" s="82">
        <f>(J27/H27)*(2/1)*(H30/2)</f>
        <v>0.58177591533355766</v>
      </c>
      <c r="L30" s="664">
        <f>(J28/H28)*(2/2)*(H30/2)</f>
        <v>10.557704348752836</v>
      </c>
      <c r="M30" s="665">
        <f>K30</f>
        <v>0.58177591533355766</v>
      </c>
      <c r="N30" s="187">
        <f>M30/I30</f>
        <v>0.58352649481801167</v>
      </c>
      <c r="O30" s="1410"/>
      <c r="Y30" s="3"/>
    </row>
    <row r="31" spans="2:25" ht="16.5" thickBot="1" x14ac:dyDescent="0.3">
      <c r="F31" s="1408" t="s">
        <v>53</v>
      </c>
      <c r="G31" s="1176"/>
      <c r="H31" s="1176"/>
      <c r="I31" s="1409"/>
      <c r="J31" s="467">
        <f>SUM(J27:J30)</f>
        <v>23</v>
      </c>
      <c r="K31" s="40">
        <f>SUM(K27:L28)-SUM(K29:K30)</f>
        <v>0.58206833267060221</v>
      </c>
      <c r="L31" s="50">
        <f>SUM(K27:L28)-SUM(L29:L30)</f>
        <v>-59.777019160383581</v>
      </c>
      <c r="M31" s="604">
        <f>SUM(M27:M30)</f>
        <v>22.417931667329398</v>
      </c>
      <c r="N31" s="71">
        <f>SUM(N27:N30)</f>
        <v>20.584382903179392</v>
      </c>
      <c r="O31" s="888"/>
      <c r="Y31" s="3"/>
    </row>
  </sheetData>
  <mergeCells count="26">
    <mergeCell ref="F3:O3"/>
    <mergeCell ref="F4:O4"/>
    <mergeCell ref="D4:D7"/>
    <mergeCell ref="O7:O12"/>
    <mergeCell ref="F12:I12"/>
    <mergeCell ref="K6:L6"/>
    <mergeCell ref="K7:L7"/>
    <mergeCell ref="K8:L8"/>
    <mergeCell ref="F31:I31"/>
    <mergeCell ref="O27:O31"/>
    <mergeCell ref="F25:O25"/>
    <mergeCell ref="F24:O24"/>
    <mergeCell ref="F23:O23"/>
    <mergeCell ref="K27:L27"/>
    <mergeCell ref="K26:L26"/>
    <mergeCell ref="K28:L28"/>
    <mergeCell ref="F15:O15"/>
    <mergeCell ref="F21:I21"/>
    <mergeCell ref="B4:B5"/>
    <mergeCell ref="C4:C5"/>
    <mergeCell ref="F5:O5"/>
    <mergeCell ref="O17:O21"/>
    <mergeCell ref="K16:L16"/>
    <mergeCell ref="K17:L17"/>
    <mergeCell ref="K18:L18"/>
    <mergeCell ref="F14:O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RESPEL</vt:lpstr>
      <vt:lpstr>Introducción</vt:lpstr>
      <vt:lpstr>Biología</vt:lpstr>
      <vt:lpstr>Química inorgánica</vt:lpstr>
      <vt:lpstr>Mecánica de fluidos</vt:lpstr>
      <vt:lpstr>Química Orgánica</vt:lpstr>
      <vt:lpstr>Microbiología Ambiental</vt:lpstr>
      <vt:lpstr>Técnicas de campo</vt:lpstr>
      <vt:lpstr>T.A.P</vt:lpstr>
      <vt:lpstr>Energías Alternativas</vt:lpstr>
      <vt:lpstr>T.A.R</vt:lpstr>
      <vt:lpstr>Electroquímica</vt:lpstr>
      <vt:lpstr>Termodinámica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2020-09-24T18:53:51Z</dcterms:created>
  <dcterms:modified xsi:type="dcterms:W3CDTF">2021-08-06T07:06:51Z</dcterms:modified>
</cp:coreProperties>
</file>