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ANIELA\Documents\USTA\Semestre 8\SEMINARIO DE GRADO1\PROYECTO\2.0 CARTERAS\2.0 REPORTE_DAÑOS\"/>
    </mc:Choice>
  </mc:AlternateContent>
  <bookViews>
    <workbookView xWindow="0" yWindow="0" windowWidth="17256" windowHeight="5772" activeTab="2"/>
  </bookViews>
  <sheets>
    <sheet name="Patologías_Generales" sheetId="1" r:id="rId1"/>
    <sheet name="Reporte Carril_P Generales" sheetId="3" r:id="rId2"/>
    <sheet name="Patologías_Superficiales" sheetId="2" r:id="rId3"/>
    <sheet name="Reporte Carril_P Superficiales" sheetId="4" r:id="rId4"/>
  </sheets>
  <calcPr calcId="162913"/>
  <extLst>
    <ext uri="GoogleSheetsCustomDataVersion1">
      <go:sheetsCustomData xmlns:go="http://customooxmlschemas.google.com/" r:id="rId6" roundtripDataSignature="AMtx7mgmlxc82f2fCRiOP5gDVp67g/GCiw=="/>
    </ext>
  </extLst>
</workbook>
</file>

<file path=xl/calcChain.xml><?xml version="1.0" encoding="utf-8"?>
<calcChain xmlns="http://schemas.openxmlformats.org/spreadsheetml/2006/main">
  <c r="P43" i="4" l="1"/>
  <c r="O43" i="4"/>
  <c r="N43" i="4"/>
  <c r="M43" i="4"/>
  <c r="L43" i="4"/>
  <c r="K43" i="4"/>
  <c r="J43" i="4"/>
  <c r="I43" i="4"/>
  <c r="H43" i="4"/>
  <c r="G43" i="4"/>
  <c r="Q42" i="4"/>
  <c r="F42" i="4"/>
  <c r="Q41" i="4"/>
  <c r="F41" i="4"/>
  <c r="Q40" i="4"/>
  <c r="F40" i="4"/>
  <c r="Q39" i="4"/>
  <c r="F39" i="4"/>
  <c r="Q38" i="4"/>
  <c r="F38" i="4"/>
  <c r="Q37" i="4"/>
  <c r="F37" i="4"/>
  <c r="Q36" i="4"/>
  <c r="F36" i="4"/>
  <c r="Q35" i="4"/>
  <c r="F35" i="4"/>
  <c r="Q34" i="4"/>
  <c r="F34" i="4"/>
  <c r="Q33" i="4"/>
  <c r="F33" i="4"/>
  <c r="Q32" i="4"/>
  <c r="F32" i="4"/>
  <c r="Q31" i="4"/>
  <c r="F31" i="4"/>
  <c r="Q30" i="4"/>
  <c r="F30" i="4"/>
  <c r="Q29" i="4"/>
  <c r="F29" i="4"/>
  <c r="Q28" i="4"/>
  <c r="F28" i="4"/>
  <c r="Q27" i="4"/>
  <c r="F27" i="4"/>
  <c r="Q26" i="4"/>
  <c r="F26" i="4"/>
  <c r="Q25" i="4"/>
  <c r="F25" i="4"/>
  <c r="Q24" i="4"/>
  <c r="F24" i="4"/>
  <c r="Q23" i="4"/>
  <c r="F23" i="4"/>
  <c r="Q22" i="4"/>
  <c r="F22" i="4"/>
  <c r="Q21" i="4"/>
  <c r="F21" i="4"/>
  <c r="Q20" i="4"/>
  <c r="F20" i="4"/>
  <c r="Q19" i="4"/>
  <c r="F19" i="4"/>
  <c r="Q18" i="4"/>
  <c r="F18" i="4"/>
  <c r="Q17" i="4"/>
  <c r="F17" i="4"/>
  <c r="Q16" i="4"/>
  <c r="F16" i="4"/>
  <c r="Q15" i="4"/>
  <c r="F15" i="4"/>
  <c r="Q14" i="4"/>
  <c r="F14" i="4"/>
  <c r="Q13" i="4"/>
  <c r="F13" i="4"/>
  <c r="Q12" i="4"/>
  <c r="F12" i="4"/>
  <c r="Q11" i="4"/>
  <c r="F11" i="4"/>
  <c r="Q10" i="4"/>
  <c r="F10" i="4"/>
  <c r="AH43" i="3"/>
  <c r="AG43" i="3"/>
  <c r="AF43" i="3"/>
  <c r="AE43" i="3"/>
  <c r="AD43" i="3"/>
  <c r="AC43" i="3"/>
  <c r="AB43" i="3"/>
  <c r="AA43" i="3"/>
  <c r="Z43" i="3"/>
  <c r="Y43" i="3"/>
  <c r="X43" i="3"/>
  <c r="W43" i="3"/>
  <c r="V43" i="3"/>
  <c r="U43" i="3"/>
  <c r="T43" i="3"/>
  <c r="S43" i="3"/>
  <c r="R43" i="3"/>
  <c r="Q43" i="3"/>
  <c r="P43" i="3"/>
  <c r="O43" i="3"/>
  <c r="N43" i="3"/>
  <c r="M43" i="3"/>
  <c r="L43" i="3"/>
  <c r="K43" i="3"/>
  <c r="J43" i="3"/>
  <c r="I43" i="3"/>
  <c r="H43" i="3"/>
  <c r="G43" i="3"/>
  <c r="AI42" i="3"/>
  <c r="F42" i="3"/>
  <c r="AI41" i="3"/>
  <c r="F41" i="3"/>
  <c r="AI40" i="3"/>
  <c r="F40" i="3"/>
  <c r="AI39" i="3"/>
  <c r="F39" i="3"/>
  <c r="AI38" i="3"/>
  <c r="F38" i="3"/>
  <c r="AI37" i="3"/>
  <c r="F37" i="3"/>
  <c r="AI36" i="3"/>
  <c r="F36" i="3"/>
  <c r="AI35" i="3"/>
  <c r="F35" i="3"/>
  <c r="AI34" i="3"/>
  <c r="F34" i="3"/>
  <c r="AI33" i="3"/>
  <c r="F33" i="3"/>
  <c r="AI32" i="3"/>
  <c r="F32" i="3"/>
  <c r="AI31" i="3"/>
  <c r="F31" i="3"/>
  <c r="AI30" i="3"/>
  <c r="F30" i="3"/>
  <c r="AI29" i="3"/>
  <c r="F29" i="3"/>
  <c r="AI28" i="3"/>
  <c r="F28" i="3"/>
  <c r="AI27" i="3"/>
  <c r="F27" i="3"/>
  <c r="AI26" i="3"/>
  <c r="F26" i="3"/>
  <c r="AI25" i="3"/>
  <c r="F25" i="3"/>
  <c r="AI24" i="3"/>
  <c r="F24" i="3"/>
  <c r="AI23" i="3"/>
  <c r="F23" i="3"/>
  <c r="AI22" i="3"/>
  <c r="F22" i="3"/>
  <c r="AI21" i="3"/>
  <c r="F21" i="3"/>
  <c r="AI20" i="3"/>
  <c r="F20" i="3"/>
  <c r="AI19" i="3"/>
  <c r="F19" i="3"/>
  <c r="AI18" i="3"/>
  <c r="F18" i="3"/>
  <c r="AI17" i="3"/>
  <c r="F17" i="3"/>
  <c r="AI16" i="3"/>
  <c r="F16" i="3"/>
  <c r="AI15" i="3"/>
  <c r="F15" i="3"/>
  <c r="AI14" i="3"/>
  <c r="F14" i="3"/>
  <c r="AI13" i="3"/>
  <c r="F13" i="3"/>
  <c r="AI12" i="3"/>
  <c r="F12" i="3"/>
  <c r="AI11" i="3"/>
  <c r="F11" i="3"/>
  <c r="AI10" i="3"/>
  <c r="F10" i="3"/>
  <c r="G48" i="3" l="1"/>
  <c r="G49" i="4"/>
  <c r="Q43" i="4"/>
  <c r="G48" i="4"/>
  <c r="G49" i="3"/>
  <c r="AI43" i="3"/>
  <c r="F43" i="3"/>
  <c r="F43" i="4"/>
  <c r="J45" i="2" l="1"/>
  <c r="K45" i="2"/>
  <c r="M45" i="2"/>
  <c r="N45" i="2"/>
  <c r="P45" i="2"/>
  <c r="S45" i="2"/>
  <c r="U45" i="2"/>
  <c r="J48" i="1"/>
  <c r="M48" i="1"/>
  <c r="P48" i="1"/>
  <c r="S48" i="1"/>
  <c r="V48" i="1"/>
  <c r="Y48" i="1"/>
  <c r="AB48" i="1"/>
  <c r="AE48" i="1"/>
  <c r="AH48" i="1"/>
  <c r="AK48" i="1"/>
  <c r="AN48" i="1"/>
  <c r="AQ48" i="1"/>
  <c r="AT48" i="1"/>
  <c r="H47" i="1"/>
  <c r="I47" i="1"/>
  <c r="J47" i="1"/>
  <c r="K47" i="1"/>
  <c r="L47" i="1"/>
  <c r="M47" i="1"/>
  <c r="N47" i="1"/>
  <c r="O47" i="1"/>
  <c r="P47" i="1"/>
  <c r="Q47" i="1"/>
  <c r="R47" i="1"/>
  <c r="S47" i="1"/>
  <c r="T47" i="1"/>
  <c r="U47" i="1"/>
  <c r="V47" i="1"/>
  <c r="W47" i="1"/>
  <c r="X47" i="1"/>
  <c r="Y47" i="1"/>
  <c r="Z47" i="1"/>
  <c r="AA47" i="1"/>
  <c r="AB47" i="1"/>
  <c r="AC47" i="1"/>
  <c r="AD47" i="1"/>
  <c r="AE47" i="1"/>
  <c r="AF47" i="1"/>
  <c r="AG47" i="1"/>
  <c r="AH47" i="1"/>
  <c r="AI47" i="1"/>
  <c r="AJ47" i="1"/>
  <c r="AK47" i="1"/>
  <c r="AL47" i="1"/>
  <c r="AM47" i="1"/>
  <c r="AN47" i="1"/>
  <c r="AO47" i="1"/>
  <c r="AP47" i="1"/>
  <c r="AQ47" i="1"/>
  <c r="AR47" i="1"/>
  <c r="AS47" i="1"/>
  <c r="AT47" i="1"/>
  <c r="AU47" i="1"/>
  <c r="AV47" i="1"/>
  <c r="J46" i="1"/>
  <c r="M46" i="1"/>
  <c r="P46" i="1"/>
  <c r="S46" i="1"/>
  <c r="V46" i="1"/>
  <c r="Y46" i="1"/>
  <c r="AB46" i="1"/>
  <c r="AE46" i="1"/>
  <c r="AH46" i="1"/>
  <c r="AK46" i="1"/>
  <c r="AN46" i="1"/>
  <c r="AQ46" i="1"/>
  <c r="AT46" i="1"/>
  <c r="AX43" i="1"/>
  <c r="AW43" i="1"/>
  <c r="H45" i="1"/>
  <c r="I45" i="1"/>
  <c r="J45" i="1"/>
  <c r="K45" i="1"/>
  <c r="L45" i="1"/>
  <c r="M45" i="1"/>
  <c r="N45" i="1"/>
  <c r="O45" i="1"/>
  <c r="P45" i="1"/>
  <c r="Q45" i="1"/>
  <c r="R45" i="1"/>
  <c r="S45" i="1"/>
  <c r="T45" i="1"/>
  <c r="U45" i="1"/>
  <c r="V45" i="1"/>
  <c r="W45" i="1"/>
  <c r="X45" i="1"/>
  <c r="Y45" i="1"/>
  <c r="Z45" i="1"/>
  <c r="AA45" i="1"/>
  <c r="AB45" i="1"/>
  <c r="AC45" i="1"/>
  <c r="AD45" i="1"/>
  <c r="AE45" i="1"/>
  <c r="AF45" i="1"/>
  <c r="AG45" i="1"/>
  <c r="AH45" i="1"/>
  <c r="AI45" i="1"/>
  <c r="AJ45" i="1"/>
  <c r="AK45" i="1"/>
  <c r="AL45" i="1"/>
  <c r="AM45" i="1"/>
  <c r="AN45" i="1"/>
  <c r="AO45" i="1"/>
  <c r="AP45" i="1"/>
  <c r="AQ45" i="1"/>
  <c r="AR45" i="1"/>
  <c r="AS45" i="1"/>
  <c r="AT45" i="1"/>
  <c r="AU45" i="1"/>
  <c r="AV45" i="1"/>
  <c r="L15" i="2" l="1"/>
  <c r="L45" i="2" s="1"/>
  <c r="J46" i="2" l="1"/>
  <c r="G45" i="2"/>
  <c r="AT42" i="1"/>
  <c r="O42" i="1"/>
  <c r="AG42" i="1"/>
  <c r="AG41" i="1"/>
  <c r="H41" i="1"/>
  <c r="G41" i="1"/>
  <c r="T41" i="1"/>
  <c r="U41" i="1"/>
  <c r="O41" i="1"/>
  <c r="M41" i="1"/>
  <c r="N41" i="1"/>
  <c r="H40" i="1"/>
  <c r="G40" i="1"/>
  <c r="L40" i="1"/>
  <c r="J40" i="1"/>
  <c r="AG40" i="1"/>
  <c r="N40" i="1"/>
  <c r="O40" i="1"/>
  <c r="M40" i="1"/>
  <c r="AL39" i="1" l="1"/>
  <c r="J39" i="1"/>
  <c r="K39" i="1"/>
  <c r="L39" i="1"/>
  <c r="G39" i="1"/>
  <c r="I39" i="1"/>
  <c r="H39" i="1"/>
  <c r="S39" i="1"/>
  <c r="U39" i="1"/>
  <c r="M39" i="1"/>
  <c r="O39" i="1"/>
  <c r="N39" i="1"/>
  <c r="H38" i="1"/>
  <c r="AK38" i="1"/>
  <c r="J38" i="1"/>
  <c r="O38" i="1"/>
  <c r="N38" i="1"/>
  <c r="M38" i="1"/>
  <c r="Z37" i="1"/>
  <c r="M37" i="1"/>
  <c r="N37" i="1"/>
  <c r="G36" i="1"/>
  <c r="H36" i="1"/>
  <c r="K36" i="1"/>
  <c r="J36" i="1"/>
  <c r="L36" i="1"/>
  <c r="M36" i="1"/>
  <c r="N36" i="1"/>
  <c r="O36" i="1"/>
  <c r="H35" i="1"/>
  <c r="K35" i="1"/>
  <c r="J35" i="1"/>
  <c r="G35" i="1"/>
  <c r="N35" i="1"/>
  <c r="M35" i="1"/>
  <c r="AL35" i="1"/>
  <c r="AL34" i="1"/>
  <c r="U34" i="1"/>
  <c r="L34" i="1"/>
  <c r="AV34" i="1"/>
  <c r="G34" i="1"/>
  <c r="H34" i="1"/>
  <c r="N34" i="1"/>
  <c r="M34" i="1"/>
  <c r="O34" i="1"/>
  <c r="I34" i="2"/>
  <c r="U33" i="1"/>
  <c r="G33" i="1"/>
  <c r="H33" i="1"/>
  <c r="AK33" i="1"/>
  <c r="K33" i="1"/>
  <c r="J33" i="1"/>
  <c r="N33" i="1"/>
  <c r="M33" i="1"/>
  <c r="O33" i="1"/>
  <c r="AJ32" i="1"/>
  <c r="U32" i="1"/>
  <c r="T32" i="1"/>
  <c r="Q32" i="2"/>
  <c r="V32" i="2" s="1"/>
  <c r="M32" i="1"/>
  <c r="N32" i="1"/>
  <c r="O32" i="1"/>
  <c r="AK32" i="1"/>
  <c r="H32" i="1"/>
  <c r="G32" i="1"/>
  <c r="J32" i="1"/>
  <c r="K32" i="1"/>
  <c r="U31" i="1"/>
  <c r="AL31" i="1"/>
  <c r="W31" i="1"/>
  <c r="R31" i="2"/>
  <c r="R45" i="2" s="1"/>
  <c r="J31" i="1"/>
  <c r="K31" i="1"/>
  <c r="H31" i="1"/>
  <c r="G31" i="1"/>
  <c r="N31" i="1"/>
  <c r="O31" i="1"/>
  <c r="M31" i="1"/>
  <c r="AK30" i="1"/>
  <c r="T30" i="1"/>
  <c r="J30" i="1"/>
  <c r="M30" i="1"/>
  <c r="N30" i="1"/>
  <c r="O30" i="1"/>
  <c r="G30" i="1"/>
  <c r="H30" i="1"/>
  <c r="AL29" i="1"/>
  <c r="AK29" i="1"/>
  <c r="J29" i="1"/>
  <c r="H29" i="1"/>
  <c r="G29" i="1"/>
  <c r="I29" i="1"/>
  <c r="M29" i="1"/>
  <c r="N29" i="1"/>
  <c r="O29" i="1"/>
  <c r="J28" i="1"/>
  <c r="K28" i="1"/>
  <c r="AL28" i="1"/>
  <c r="AK28" i="1"/>
  <c r="G28" i="1"/>
  <c r="I28" i="1"/>
  <c r="N28" i="1"/>
  <c r="H28" i="1"/>
  <c r="M28" i="1"/>
  <c r="O28" i="1"/>
  <c r="M27" i="1"/>
  <c r="N27" i="1"/>
  <c r="J27" i="1"/>
  <c r="M26" i="1"/>
  <c r="N26" i="1"/>
  <c r="J26" i="1"/>
  <c r="G26" i="1"/>
  <c r="O26" i="1"/>
  <c r="L26" i="1"/>
  <c r="AD26" i="1"/>
  <c r="AG26" i="1"/>
  <c r="AT26" i="1"/>
  <c r="AI26" i="1"/>
  <c r="AU25" i="1"/>
  <c r="AD25" i="1"/>
  <c r="AC25" i="1"/>
  <c r="AH25" i="1"/>
  <c r="U25" i="1"/>
  <c r="AT25" i="1"/>
  <c r="AG25" i="1"/>
  <c r="H25" i="1"/>
  <c r="I25" i="1"/>
  <c r="G25" i="1"/>
  <c r="K25" i="1"/>
  <c r="AI25" i="1"/>
  <c r="L25" i="1"/>
  <c r="J25" i="1"/>
  <c r="O25" i="1"/>
  <c r="N25" i="1"/>
  <c r="M25" i="1"/>
  <c r="T24" i="1"/>
  <c r="U24" i="1"/>
  <c r="AI24" i="1"/>
  <c r="AG24" i="1"/>
  <c r="AV24" i="1"/>
  <c r="N24" i="1"/>
  <c r="Q24" i="2"/>
  <c r="V24" i="2" s="1"/>
  <c r="AF24" i="1"/>
  <c r="AL24" i="1"/>
  <c r="AK24" i="1"/>
  <c r="J24" i="1"/>
  <c r="K24" i="1"/>
  <c r="L24" i="1"/>
  <c r="O24" i="1"/>
  <c r="M24" i="1"/>
  <c r="I24" i="1"/>
  <c r="G24" i="1"/>
  <c r="H24" i="1"/>
  <c r="G23" i="1"/>
  <c r="H23" i="1"/>
  <c r="I23" i="1"/>
  <c r="Q23" i="2"/>
  <c r="V19" i="2"/>
  <c r="F19" i="2"/>
  <c r="V17" i="2"/>
  <c r="V10" i="2"/>
  <c r="V18" i="2"/>
  <c r="V20" i="2"/>
  <c r="V21" i="2"/>
  <c r="V22" i="2"/>
  <c r="V23" i="2"/>
  <c r="V25" i="2"/>
  <c r="V26" i="2"/>
  <c r="V27" i="2"/>
  <c r="V28" i="2"/>
  <c r="V29" i="2"/>
  <c r="V30" i="2"/>
  <c r="V33" i="2"/>
  <c r="V35" i="2"/>
  <c r="V36" i="2"/>
  <c r="V37" i="2"/>
  <c r="V38" i="2"/>
  <c r="V39" i="2"/>
  <c r="V40" i="2"/>
  <c r="V41" i="2"/>
  <c r="V42" i="2"/>
  <c r="V34" i="2" l="1"/>
  <c r="I45" i="2"/>
  <c r="Q45" i="2"/>
  <c r="V31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18" i="2"/>
  <c r="F20" i="2"/>
  <c r="J23" i="1"/>
  <c r="U23" i="1"/>
  <c r="T23" i="1"/>
  <c r="AK23" i="1"/>
  <c r="M23" i="1"/>
  <c r="N23" i="1"/>
  <c r="G22" i="1"/>
  <c r="AK22" i="1"/>
  <c r="H22" i="1"/>
  <c r="M22" i="1"/>
  <c r="AD22" i="1"/>
  <c r="U22" i="1"/>
  <c r="J22" i="1"/>
  <c r="AT22" i="1"/>
  <c r="AH21" i="1"/>
  <c r="J21" i="1"/>
  <c r="G21" i="1"/>
  <c r="AG21" i="1"/>
  <c r="AV20" i="1"/>
  <c r="X20" i="1"/>
  <c r="AH20" i="1"/>
  <c r="AG20" i="1"/>
  <c r="AE20" i="1"/>
  <c r="AC20" i="1"/>
  <c r="J20" i="1"/>
  <c r="T20" i="1"/>
  <c r="G20" i="1"/>
  <c r="M20" i="1"/>
  <c r="O20" i="1"/>
  <c r="N20" i="1"/>
  <c r="U20" i="1"/>
  <c r="S20" i="1"/>
  <c r="P46" i="2" l="1"/>
  <c r="AW20" i="1"/>
  <c r="AW21" i="1"/>
  <c r="AW22" i="1"/>
  <c r="AW23" i="1"/>
  <c r="AW24" i="1"/>
  <c r="AW25" i="1"/>
  <c r="AW26" i="1"/>
  <c r="AW27" i="1"/>
  <c r="AW28" i="1"/>
  <c r="AW29" i="1"/>
  <c r="AW30" i="1"/>
  <c r="AW31" i="1"/>
  <c r="AW32" i="1"/>
  <c r="AW33" i="1"/>
  <c r="AW34" i="1"/>
  <c r="AW35" i="1"/>
  <c r="AW36" i="1"/>
  <c r="AW37" i="1"/>
  <c r="AW38" i="1"/>
  <c r="AW39" i="1"/>
  <c r="AW40" i="1"/>
  <c r="AW41" i="1"/>
  <c r="AW42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AC19" i="1"/>
  <c r="X19" i="1"/>
  <c r="L19" i="1"/>
  <c r="M19" i="1"/>
  <c r="K19" i="1"/>
  <c r="J19" i="1"/>
  <c r="AM19" i="1"/>
  <c r="AL19" i="1"/>
  <c r="N19" i="1"/>
  <c r="O19" i="1"/>
  <c r="I19" i="1"/>
  <c r="G19" i="1"/>
  <c r="AW19" i="1" s="1"/>
  <c r="H19" i="1"/>
  <c r="AH19" i="1"/>
  <c r="AI19" i="1"/>
  <c r="AU19" i="1"/>
  <c r="AV19" i="1"/>
  <c r="T19" i="1"/>
  <c r="U19" i="1"/>
  <c r="AV18" i="1"/>
  <c r="N18" i="1"/>
  <c r="T18" i="1"/>
  <c r="U18" i="1"/>
  <c r="AE18" i="1"/>
  <c r="AG18" i="1"/>
  <c r="AH18" i="1"/>
  <c r="AI18" i="1"/>
  <c r="AJ18" i="1"/>
  <c r="AU18" i="1"/>
  <c r="L18" i="1"/>
  <c r="J18" i="1"/>
  <c r="G18" i="1"/>
  <c r="AW18" i="1" s="1"/>
  <c r="U17" i="1"/>
  <c r="AP17" i="1"/>
  <c r="G17" i="1"/>
  <c r="AW17" i="1" s="1"/>
  <c r="AD17" i="1"/>
  <c r="AJ17" i="1"/>
  <c r="AB17" i="1"/>
  <c r="K17" i="1"/>
  <c r="AR17" i="1"/>
  <c r="AR16" i="1"/>
  <c r="AT16" i="1"/>
  <c r="O16" i="2"/>
  <c r="O45" i="2" s="1"/>
  <c r="T14" i="2"/>
  <c r="T16" i="2"/>
  <c r="AG16" i="1"/>
  <c r="L16" i="1"/>
  <c r="I16" i="1"/>
  <c r="J16" i="1"/>
  <c r="K16" i="1"/>
  <c r="M16" i="1"/>
  <c r="N16" i="1"/>
  <c r="O16" i="1"/>
  <c r="AP16" i="1"/>
  <c r="G16" i="1"/>
  <c r="H16" i="1"/>
  <c r="AW16" i="1" s="1"/>
  <c r="U16" i="1"/>
  <c r="S16" i="1"/>
  <c r="T16" i="1"/>
  <c r="AB16" i="1"/>
  <c r="K15" i="1"/>
  <c r="AG15" i="1"/>
  <c r="X15" i="1"/>
  <c r="G15" i="1"/>
  <c r="I15" i="1"/>
  <c r="AB15" i="1"/>
  <c r="AC15" i="1"/>
  <c r="J15" i="1"/>
  <c r="U15" i="1"/>
  <c r="N15" i="1"/>
  <c r="AW15" i="1" s="1"/>
  <c r="O15" i="1"/>
  <c r="M15" i="1"/>
  <c r="N14" i="1"/>
  <c r="O14" i="1"/>
  <c r="AD14" i="1"/>
  <c r="AC14" i="1"/>
  <c r="Q14" i="1"/>
  <c r="V14" i="1"/>
  <c r="AG14" i="1"/>
  <c r="U14" i="1"/>
  <c r="AK14" i="1"/>
  <c r="AJ14" i="1"/>
  <c r="AH14" i="1"/>
  <c r="G14" i="1"/>
  <c r="I14" i="1"/>
  <c r="H14" i="1"/>
  <c r="AW14" i="1" s="1"/>
  <c r="AL14" i="1"/>
  <c r="L14" i="1"/>
  <c r="K14" i="1"/>
  <c r="M14" i="1"/>
  <c r="U13" i="1"/>
  <c r="T14" i="1"/>
  <c r="Y14" i="1"/>
  <c r="Y13" i="1"/>
  <c r="P13" i="1"/>
  <c r="X13" i="1"/>
  <c r="O13" i="1"/>
  <c r="N13" i="1"/>
  <c r="K13" i="1"/>
  <c r="H13" i="1"/>
  <c r="AW13" i="1" s="1"/>
  <c r="J13" i="1"/>
  <c r="I13" i="1"/>
  <c r="AF13" i="1"/>
  <c r="AE13" i="1"/>
  <c r="AG13" i="1"/>
  <c r="AI13" i="1"/>
  <c r="AH13" i="1"/>
  <c r="AJ13" i="1"/>
  <c r="W12" i="1"/>
  <c r="I12" i="1"/>
  <c r="H12" i="1"/>
  <c r="AJ12" i="1"/>
  <c r="AG12" i="1"/>
  <c r="AI12" i="1"/>
  <c r="U12" i="1"/>
  <c r="T12" i="1"/>
  <c r="N12" i="1"/>
  <c r="O12" i="1"/>
  <c r="M12" i="1"/>
  <c r="K11" i="1"/>
  <c r="N11" i="1"/>
  <c r="G11" i="1"/>
  <c r="T11" i="1"/>
  <c r="U11" i="1"/>
  <c r="S11" i="1"/>
  <c r="AL11" i="1"/>
  <c r="AI11" i="1"/>
  <c r="AJ11" i="1"/>
  <c r="AH11" i="1"/>
  <c r="AI10" i="1"/>
  <c r="AH10" i="1"/>
  <c r="AG10" i="1"/>
  <c r="U10" i="1"/>
  <c r="I10" i="1"/>
  <c r="J10" i="1"/>
  <c r="L10" i="1"/>
  <c r="K10" i="1"/>
  <c r="M10" i="1"/>
  <c r="O10" i="1"/>
  <c r="N10" i="1"/>
  <c r="F10" i="1"/>
  <c r="T45" i="2" l="1"/>
  <c r="M46" i="2"/>
  <c r="AW12" i="1"/>
  <c r="G45" i="1"/>
  <c r="AW10" i="1"/>
  <c r="F18" i="1"/>
  <c r="F19" i="1"/>
  <c r="F20" i="1"/>
  <c r="F17" i="2"/>
  <c r="F16" i="2"/>
  <c r="V15" i="2"/>
  <c r="F15" i="2"/>
  <c r="H14" i="2"/>
  <c r="F14" i="2"/>
  <c r="V13" i="2"/>
  <c r="F13" i="2"/>
  <c r="V12" i="2"/>
  <c r="F12" i="2"/>
  <c r="V11" i="2"/>
  <c r="F11" i="2"/>
  <c r="F10" i="2"/>
  <c r="F17" i="1"/>
  <c r="F16" i="1"/>
  <c r="F15" i="1"/>
  <c r="F14" i="1"/>
  <c r="F13" i="1"/>
  <c r="F12" i="1"/>
  <c r="AG11" i="1"/>
  <c r="AD11" i="1"/>
  <c r="W11" i="1"/>
  <c r="F11" i="1"/>
  <c r="F43" i="1" s="1"/>
  <c r="T47" i="2" l="1"/>
  <c r="S46" i="2"/>
  <c r="S48" i="2" s="1"/>
  <c r="F43" i="2"/>
  <c r="V14" i="2"/>
  <c r="H45" i="2"/>
  <c r="H47" i="2" s="1"/>
  <c r="M48" i="2"/>
  <c r="AX10" i="1"/>
  <c r="AX29" i="1"/>
  <c r="AX42" i="1"/>
  <c r="AX28" i="1"/>
  <c r="AX35" i="1"/>
  <c r="AX19" i="1"/>
  <c r="AX30" i="1"/>
  <c r="AX37" i="1"/>
  <c r="AX27" i="1"/>
  <c r="AX22" i="1"/>
  <c r="AX21" i="1"/>
  <c r="AX32" i="1"/>
  <c r="AX39" i="1"/>
  <c r="AX38" i="1"/>
  <c r="AX41" i="1"/>
  <c r="AX25" i="1"/>
  <c r="AX34" i="1"/>
  <c r="AX40" i="1"/>
  <c r="AX24" i="1"/>
  <c r="AX31" i="1"/>
  <c r="AX26" i="1"/>
  <c r="AX36" i="1"/>
  <c r="AX20" i="1"/>
  <c r="AX33" i="1"/>
  <c r="AX23" i="1"/>
  <c r="W15" i="2"/>
  <c r="G46" i="1"/>
  <c r="AW11" i="1"/>
  <c r="AX11" i="1" s="1"/>
  <c r="V16" i="2"/>
  <c r="AX15" i="1"/>
  <c r="K47" i="2" l="1"/>
  <c r="S47" i="2"/>
  <c r="P47" i="2"/>
  <c r="M47" i="2"/>
  <c r="U47" i="2"/>
  <c r="N47" i="2"/>
  <c r="J47" i="2"/>
  <c r="L47" i="2"/>
  <c r="J48" i="2"/>
  <c r="R47" i="2"/>
  <c r="I47" i="2"/>
  <c r="Q47" i="2"/>
  <c r="P48" i="2"/>
  <c r="O47" i="2"/>
  <c r="W36" i="2"/>
  <c r="W18" i="2"/>
  <c r="W35" i="2"/>
  <c r="W29" i="2"/>
  <c r="W41" i="2"/>
  <c r="W20" i="2"/>
  <c r="W31" i="2"/>
  <c r="W19" i="2"/>
  <c r="W30" i="2"/>
  <c r="W42" i="2"/>
  <c r="W25" i="2"/>
  <c r="W37" i="2"/>
  <c r="W24" i="2"/>
  <c r="W27" i="2"/>
  <c r="W34" i="2"/>
  <c r="W26" i="2"/>
  <c r="W38" i="2"/>
  <c r="W21" i="2"/>
  <c r="W32" i="2"/>
  <c r="W40" i="2"/>
  <c r="W23" i="2"/>
  <c r="W39" i="2"/>
  <c r="W22" i="2"/>
  <c r="W33" i="2"/>
  <c r="W17" i="2"/>
  <c r="W28" i="2"/>
  <c r="W14" i="2"/>
  <c r="V43" i="2"/>
  <c r="W16" i="2"/>
  <c r="W11" i="2"/>
  <c r="W13" i="2"/>
  <c r="W12" i="2"/>
  <c r="G47" i="2"/>
  <c r="W10" i="2"/>
  <c r="AX18" i="1"/>
  <c r="AX12" i="1"/>
  <c r="G47" i="1"/>
  <c r="AX13" i="1"/>
  <c r="AX17" i="1"/>
  <c r="G48" i="1"/>
  <c r="AX16" i="1"/>
  <c r="AX14" i="1"/>
  <c r="G46" i="2"/>
  <c r="G48" i="2" s="1"/>
  <c r="W43" i="2" l="1"/>
</calcChain>
</file>

<file path=xl/sharedStrings.xml><?xml version="1.0" encoding="utf-8"?>
<sst xmlns="http://schemas.openxmlformats.org/spreadsheetml/2006/main" count="603" uniqueCount="142">
  <si>
    <t>DAÑOS EN EL PAVIMENTO (SIN INCLUIR DAÑOS SUPERFICIALES NI DAÑOS EN LAS BERMAS)</t>
  </si>
  <si>
    <t>ABSCISA</t>
  </si>
  <si>
    <t>LON DE TRAMO (m)</t>
  </si>
  <si>
    <t>ÁREA AFECTADA (m2)</t>
  </si>
  <si>
    <t>FL</t>
  </si>
  <si>
    <t>FT</t>
  </si>
  <si>
    <t>AB</t>
  </si>
  <si>
    <t>FBD</t>
  </si>
  <si>
    <t>PC</t>
  </si>
  <si>
    <t>DC</t>
  </si>
  <si>
    <t>HUN</t>
  </si>
  <si>
    <t>BCH</t>
  </si>
  <si>
    <t>PCH</t>
  </si>
  <si>
    <t>TOTAL</t>
  </si>
  <si>
    <t>%AFECTACIÓN POR TRAMO</t>
  </si>
  <si>
    <t>TRAMO</t>
  </si>
  <si>
    <t>DESDE</t>
  </si>
  <si>
    <t>HASTA</t>
  </si>
  <si>
    <t>B</t>
  </si>
  <si>
    <t>M</t>
  </si>
  <si>
    <t>A</t>
  </si>
  <si>
    <t>T1</t>
  </si>
  <si>
    <t>PR 0+000</t>
  </si>
  <si>
    <t>PR 0+100</t>
  </si>
  <si>
    <t>T2</t>
  </si>
  <si>
    <t>PR 0+200</t>
  </si>
  <si>
    <t>T3</t>
  </si>
  <si>
    <t>PR 0+300</t>
  </si>
  <si>
    <t>T4</t>
  </si>
  <si>
    <t>PR 0+400</t>
  </si>
  <si>
    <t>T5</t>
  </si>
  <si>
    <t>PR 0+500</t>
  </si>
  <si>
    <t>T6</t>
  </si>
  <si>
    <t>PR 0+600</t>
  </si>
  <si>
    <t>T7</t>
  </si>
  <si>
    <t>PR 0+700</t>
  </si>
  <si>
    <t>T8</t>
  </si>
  <si>
    <t>PR 0+800</t>
  </si>
  <si>
    <t>Area Total inspeccionada (m2)</t>
  </si>
  <si>
    <t>Área total afectada por severidad y por daño (m2)</t>
  </si>
  <si>
    <t>Área total afectada por daño (m2)</t>
  </si>
  <si>
    <t>Peso del daño del área inspeccionada por severidad y por daño (%)</t>
  </si>
  <si>
    <t>Peso del daño dentro del área inspeccionada (%)</t>
  </si>
  <si>
    <t>Número de calzada</t>
  </si>
  <si>
    <t>Ancho de calzada</t>
  </si>
  <si>
    <t>m</t>
  </si>
  <si>
    <t># carril por calzada</t>
  </si>
  <si>
    <t>Factor Fisuras</t>
  </si>
  <si>
    <t>DAÑOS EN EL PAVIMENTO (SIN INCLUIR DAÑOS GENERALES NI DAÑOS EN LAS BERMAS)</t>
  </si>
  <si>
    <t>PA</t>
  </si>
  <si>
    <t>CD</t>
  </si>
  <si>
    <t>T9</t>
  </si>
  <si>
    <t>T10</t>
  </si>
  <si>
    <t>T11</t>
  </si>
  <si>
    <t>PR 0+900</t>
  </si>
  <si>
    <t>PR 1+000</t>
  </si>
  <si>
    <t>FB</t>
  </si>
  <si>
    <t>FML</t>
  </si>
  <si>
    <t>AHU</t>
  </si>
  <si>
    <t>DSU</t>
  </si>
  <si>
    <t>SB</t>
  </si>
  <si>
    <t>T12</t>
  </si>
  <si>
    <t>T13</t>
  </si>
  <si>
    <t>T14</t>
  </si>
  <si>
    <t>T15</t>
  </si>
  <si>
    <t>T16</t>
  </si>
  <si>
    <t>T17</t>
  </si>
  <si>
    <t>T18</t>
  </si>
  <si>
    <t>T19</t>
  </si>
  <si>
    <t>T20</t>
  </si>
  <si>
    <t>T21</t>
  </si>
  <si>
    <t>T22</t>
  </si>
  <si>
    <t>T23</t>
  </si>
  <si>
    <t>T24</t>
  </si>
  <si>
    <t>T25</t>
  </si>
  <si>
    <t>T26</t>
  </si>
  <si>
    <t>T27</t>
  </si>
  <si>
    <t>T28</t>
  </si>
  <si>
    <t>T29</t>
  </si>
  <si>
    <t>T30</t>
  </si>
  <si>
    <t>T31</t>
  </si>
  <si>
    <t>T32</t>
  </si>
  <si>
    <t>T33</t>
  </si>
  <si>
    <t>PR 1+100</t>
  </si>
  <si>
    <t>PR 1+200</t>
  </si>
  <si>
    <t>PR 1+300</t>
  </si>
  <si>
    <t>PR 1+400</t>
  </si>
  <si>
    <t>PR 1+500</t>
  </si>
  <si>
    <t>PR 1+600</t>
  </si>
  <si>
    <t>PR 1+700</t>
  </si>
  <si>
    <t>PR 1+800</t>
  </si>
  <si>
    <t>PR 1+900</t>
  </si>
  <si>
    <t>PR 2+000</t>
  </si>
  <si>
    <t>PR 2+100</t>
  </si>
  <si>
    <t>PR 2+200</t>
  </si>
  <si>
    <t>PR 2+300</t>
  </si>
  <si>
    <t>PR 2+400</t>
  </si>
  <si>
    <t>PR 2+500</t>
  </si>
  <si>
    <t>PR 2+600</t>
  </si>
  <si>
    <t>PR 2+700</t>
  </si>
  <si>
    <t>PR 2+800</t>
  </si>
  <si>
    <t>PR 2+900</t>
  </si>
  <si>
    <t>PR 3+000</t>
  </si>
  <si>
    <t>PR 3+100</t>
  </si>
  <si>
    <t>PR 3+200</t>
  </si>
  <si>
    <t>PR 3+227</t>
  </si>
  <si>
    <t>SU</t>
  </si>
  <si>
    <t>PU</t>
  </si>
  <si>
    <t>FCL-FCT</t>
  </si>
  <si>
    <t>FCL</t>
  </si>
  <si>
    <t>TOTAL PATOLOGIAS
 POR TRAMO</t>
  </si>
  <si>
    <t>D</t>
  </si>
  <si>
    <t>I</t>
  </si>
  <si>
    <t>TOTA PATOLOGIAS CARRIL DERECHO</t>
  </si>
  <si>
    <t>TOTA PATOLOGIAS CARRIL IZQUIERDO</t>
  </si>
  <si>
    <t>NÚMERO DE PATOLOGÍAS GENERALES POR CARRIL Y POR TRAMO</t>
  </si>
  <si>
    <t>PR 0+701</t>
  </si>
  <si>
    <t>PR 0+702</t>
  </si>
  <si>
    <t>PR 0+703</t>
  </si>
  <si>
    <t>PR 0+704</t>
  </si>
  <si>
    <t>PR 0+705</t>
  </si>
  <si>
    <t>PR 0+706</t>
  </si>
  <si>
    <t>PR 0+707</t>
  </si>
  <si>
    <t>PR 0+708</t>
  </si>
  <si>
    <t>PR 0+709</t>
  </si>
  <si>
    <t>PR 0+710</t>
  </si>
  <si>
    <t>PR 0+711</t>
  </si>
  <si>
    <t>PR 0+712</t>
  </si>
  <si>
    <t>PR 0+713</t>
  </si>
  <si>
    <t>PR 0+714</t>
  </si>
  <si>
    <t>PR 0+715</t>
  </si>
  <si>
    <t>PR 0+716</t>
  </si>
  <si>
    <t>PR 0+717</t>
  </si>
  <si>
    <t>PR 0+718</t>
  </si>
  <si>
    <t>PR 0+719</t>
  </si>
  <si>
    <t>PR 0+720</t>
  </si>
  <si>
    <t>PR 0+721</t>
  </si>
  <si>
    <t>PR 0+722</t>
  </si>
  <si>
    <t>PR 0+723</t>
  </si>
  <si>
    <t>PR 0+724</t>
  </si>
  <si>
    <t>PR 0+725</t>
  </si>
  <si>
    <t>NÚMERO DE PATOLOGÍAS SUPERFICIALES POR CARRIL Y POR TRAMO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</si>
</sst>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0" x14ac:knownFonts="1">
    <font>
      <sz val="11"/>
      <color theme="1"/>
      <name val="Arial"/>
    </font>
    <font>
      <sz val="11"/>
      <color theme="1"/>
      <name val="Calibri"/>
      <family val="2"/>
    </font>
    <font>
      <sz val="11"/>
      <name val="Arial"/>
      <family val="2"/>
    </font>
    <font>
      <b/>
      <sz val="12"/>
      <color theme="1"/>
      <name val="Calibri"/>
      <family val="2"/>
    </font>
    <font>
      <b/>
      <sz val="12"/>
      <color rgb="FF000000"/>
      <name val="Calibri"/>
      <family val="2"/>
    </font>
    <font>
      <sz val="11"/>
      <color rgb="FF000000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1"/>
      <name val="Arial"/>
      <family val="2"/>
    </font>
    <font>
      <b/>
      <sz val="12"/>
      <color rgb="FF000000"/>
      <name val="Calibri"/>
      <family val="2"/>
    </font>
    <font>
      <b/>
      <sz val="12"/>
      <color theme="1"/>
      <name val="Calibri"/>
      <family val="2"/>
    </font>
    <font>
      <sz val="10"/>
      <color rgb="FF000000"/>
      <name val="Calibri"/>
      <family val="2"/>
    </font>
    <font>
      <b/>
      <sz val="11"/>
      <name val="Calibri"/>
      <family val="2"/>
      <scheme val="major"/>
    </font>
    <font>
      <sz val="11"/>
      <name val="Calibri"/>
      <family val="2"/>
      <scheme val="major"/>
    </font>
    <font>
      <b/>
      <sz val="12"/>
      <name val="Calibri"/>
      <family val="2"/>
      <scheme val="major"/>
    </font>
    <font>
      <sz val="11"/>
      <color rgb="FF000000"/>
      <name val="Calibri"/>
      <family val="2"/>
    </font>
    <font>
      <b/>
      <sz val="13"/>
      <color theme="1"/>
      <name val="Calibri"/>
      <family val="2"/>
    </font>
    <font>
      <sz val="13"/>
      <name val="Arial"/>
      <family val="2"/>
    </font>
    <font>
      <b/>
      <sz val="13"/>
      <color rgb="FF000000"/>
      <name val="Calibri"/>
      <family val="2"/>
    </font>
    <font>
      <b/>
      <sz val="13"/>
      <name val="Calibri"/>
      <family val="2"/>
      <scheme val="major"/>
    </font>
    <font>
      <sz val="13"/>
      <name val="Calibri"/>
      <family val="2"/>
      <scheme val="major"/>
    </font>
    <font>
      <sz val="13"/>
      <color rgb="FF000000"/>
      <name val="Calibri"/>
      <family val="2"/>
    </font>
    <font>
      <sz val="13"/>
      <color theme="1"/>
      <name val="Calibri"/>
      <family val="2"/>
    </font>
    <font>
      <sz val="13"/>
      <color theme="1"/>
      <name val="Arial"/>
      <family val="2"/>
    </font>
    <font>
      <sz val="13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3"/>
      <name val="Calibri"/>
      <family val="2"/>
      <scheme val="minor"/>
    </font>
    <font>
      <b/>
      <sz val="13"/>
      <color rgb="FF000000"/>
      <name val="Calibri"/>
      <family val="2"/>
      <scheme val="minor"/>
    </font>
    <font>
      <b/>
      <sz val="13"/>
      <name val="Calibri"/>
      <family val="2"/>
      <scheme val="minor"/>
    </font>
    <font>
      <sz val="13"/>
      <color rgb="FF000000"/>
      <name val="Calibri"/>
      <family val="2"/>
      <scheme val="minor"/>
    </font>
  </fonts>
  <fills count="20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33CC"/>
        <bgColor indexed="64"/>
      </patternFill>
    </fill>
    <fill>
      <patternFill patternType="solid">
        <fgColor rgb="FFDC709E"/>
        <bgColor indexed="64"/>
      </patternFill>
    </fill>
    <fill>
      <patternFill patternType="solid">
        <fgColor rgb="FF33CC3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rgb="FFFFC000"/>
        <bgColor indexed="64"/>
      </patternFill>
    </fill>
  </fills>
  <borders count="121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rgb="FF000000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thin">
        <color indexed="64"/>
      </bottom>
      <diagonal/>
    </border>
    <border>
      <left/>
      <right/>
      <top style="medium">
        <color rgb="FF000000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thin">
        <color indexed="64"/>
      </right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indexed="64"/>
      </top>
      <bottom/>
      <diagonal/>
    </border>
  </borders>
  <cellStyleXfs count="1">
    <xf numFmtId="0" fontId="0" fillId="0" borderId="0"/>
  </cellStyleXfs>
  <cellXfs count="388">
    <xf numFmtId="0" fontId="0" fillId="0" borderId="0" xfId="0" applyFont="1" applyAlignment="1"/>
    <xf numFmtId="0" fontId="1" fillId="0" borderId="0" xfId="0" applyFont="1" applyAlignment="1">
      <alignment horizontal="center"/>
    </xf>
    <xf numFmtId="0" fontId="3" fillId="0" borderId="21" xfId="0" applyFont="1" applyBorder="1" applyAlignment="1">
      <alignment horizontal="center"/>
    </xf>
    <xf numFmtId="2" fontId="1" fillId="0" borderId="28" xfId="0" applyNumberFormat="1" applyFont="1" applyBorder="1" applyAlignment="1">
      <alignment horizontal="center"/>
    </xf>
    <xf numFmtId="2" fontId="1" fillId="3" borderId="28" xfId="0" applyNumberFormat="1" applyFont="1" applyFill="1" applyBorder="1" applyAlignment="1">
      <alignment horizontal="center"/>
    </xf>
    <xf numFmtId="2" fontId="1" fillId="0" borderId="31" xfId="0" applyNumberFormat="1" applyFont="1" applyBorder="1" applyAlignment="1">
      <alignment horizontal="center"/>
    </xf>
    <xf numFmtId="0" fontId="1" fillId="0" borderId="33" xfId="0" applyFont="1" applyBorder="1"/>
    <xf numFmtId="0" fontId="7" fillId="0" borderId="34" xfId="0" applyFont="1" applyBorder="1" applyAlignment="1">
      <alignment horizontal="center"/>
    </xf>
    <xf numFmtId="0" fontId="5" fillId="0" borderId="35" xfId="0" applyFont="1" applyBorder="1" applyAlignment="1">
      <alignment horizontal="center"/>
    </xf>
    <xf numFmtId="0" fontId="5" fillId="0" borderId="33" xfId="0" applyFont="1" applyBorder="1" applyAlignment="1">
      <alignment horizontal="center"/>
    </xf>
    <xf numFmtId="0" fontId="5" fillId="0" borderId="34" xfId="0" applyFont="1" applyBorder="1" applyAlignment="1">
      <alignment horizontal="center"/>
    </xf>
    <xf numFmtId="0" fontId="5" fillId="0" borderId="32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36" xfId="0" applyFont="1" applyBorder="1" applyAlignment="1">
      <alignment horizontal="center"/>
    </xf>
    <xf numFmtId="0" fontId="1" fillId="0" borderId="32" xfId="0" applyFont="1" applyBorder="1" applyAlignment="1">
      <alignment horizontal="center"/>
    </xf>
    <xf numFmtId="0" fontId="1" fillId="0" borderId="33" xfId="0" applyFont="1" applyBorder="1" applyAlignment="1">
      <alignment horizontal="center"/>
    </xf>
    <xf numFmtId="0" fontId="1" fillId="0" borderId="36" xfId="0" applyFont="1" applyBorder="1" applyAlignment="1">
      <alignment horizontal="center"/>
    </xf>
    <xf numFmtId="0" fontId="1" fillId="0" borderId="35" xfId="0" applyFont="1" applyBorder="1" applyAlignment="1">
      <alignment horizontal="center"/>
    </xf>
    <xf numFmtId="164" fontId="1" fillId="0" borderId="37" xfId="0" applyNumberFormat="1" applyFont="1" applyBorder="1" applyAlignment="1">
      <alignment horizontal="center"/>
    </xf>
    <xf numFmtId="164" fontId="1" fillId="0" borderId="11" xfId="0" applyNumberFormat="1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2" fontId="1" fillId="0" borderId="39" xfId="0" applyNumberFormat="1" applyFont="1" applyBorder="1" applyAlignment="1">
      <alignment horizontal="center"/>
    </xf>
    <xf numFmtId="2" fontId="1" fillId="0" borderId="20" xfId="0" applyNumberFormat="1" applyFont="1" applyBorder="1" applyAlignment="1">
      <alignment horizontal="center"/>
    </xf>
    <xf numFmtId="0" fontId="6" fillId="0" borderId="45" xfId="0" applyFont="1" applyBorder="1" applyAlignment="1"/>
    <xf numFmtId="0" fontId="6" fillId="0" borderId="0" xfId="0" applyFont="1" applyAlignment="1">
      <alignment horizontal="center"/>
    </xf>
    <xf numFmtId="0" fontId="1" fillId="3" borderId="29" xfId="0" applyFont="1" applyFill="1" applyBorder="1" applyAlignment="1">
      <alignment horizontal="center"/>
    </xf>
    <xf numFmtId="0" fontId="1" fillId="0" borderId="48" xfId="0" applyFont="1" applyBorder="1"/>
    <xf numFmtId="0" fontId="7" fillId="0" borderId="49" xfId="0" applyFont="1" applyBorder="1" applyAlignment="1">
      <alignment horizontal="center"/>
    </xf>
    <xf numFmtId="0" fontId="5" fillId="0" borderId="50" xfId="0" applyFont="1" applyBorder="1" applyAlignment="1">
      <alignment horizontal="center"/>
    </xf>
    <xf numFmtId="0" fontId="5" fillId="0" borderId="48" xfId="0" applyFont="1" applyBorder="1" applyAlignment="1">
      <alignment horizontal="center"/>
    </xf>
    <xf numFmtId="0" fontId="1" fillId="0" borderId="39" xfId="0" applyFont="1" applyBorder="1" applyAlignment="1">
      <alignment horizontal="center"/>
    </xf>
    <xf numFmtId="164" fontId="1" fillId="0" borderId="0" xfId="0" applyNumberFormat="1" applyFont="1" applyAlignment="1">
      <alignment horizontal="center"/>
    </xf>
    <xf numFmtId="0" fontId="6" fillId="0" borderId="0" xfId="0" applyFont="1" applyAlignment="1"/>
    <xf numFmtId="0" fontId="0" fillId="0" borderId="0" xfId="0" applyFont="1" applyAlignment="1"/>
    <xf numFmtId="0" fontId="1" fillId="0" borderId="52" xfId="0" applyFont="1" applyBorder="1" applyAlignment="1">
      <alignment horizontal="center"/>
    </xf>
    <xf numFmtId="0" fontId="1" fillId="0" borderId="53" xfId="0" applyFont="1" applyBorder="1" applyAlignment="1">
      <alignment horizontal="center"/>
    </xf>
    <xf numFmtId="0" fontId="5" fillId="0" borderId="59" xfId="0" applyFont="1" applyBorder="1" applyAlignment="1">
      <alignment horizontal="center"/>
    </xf>
    <xf numFmtId="0" fontId="5" fillId="0" borderId="63" xfId="0" applyFont="1" applyBorder="1" applyAlignment="1">
      <alignment horizontal="center"/>
    </xf>
    <xf numFmtId="0" fontId="5" fillId="0" borderId="43" xfId="0" applyFont="1" applyBorder="1" applyAlignment="1">
      <alignment horizontal="center"/>
    </xf>
    <xf numFmtId="0" fontId="5" fillId="0" borderId="56" xfId="0" applyFont="1" applyBorder="1" applyAlignment="1">
      <alignment horizontal="center"/>
    </xf>
    <xf numFmtId="0" fontId="5" fillId="0" borderId="71" xfId="0" applyFont="1" applyBorder="1" applyAlignment="1">
      <alignment horizontal="center"/>
    </xf>
    <xf numFmtId="0" fontId="5" fillId="0" borderId="44" xfId="0" applyFont="1" applyBorder="1" applyAlignment="1">
      <alignment horizontal="center"/>
    </xf>
    <xf numFmtId="0" fontId="5" fillId="0" borderId="76" xfId="0" applyFont="1" applyBorder="1" applyAlignment="1">
      <alignment horizontal="center"/>
    </xf>
    <xf numFmtId="0" fontId="5" fillId="0" borderId="83" xfId="0" applyFont="1" applyBorder="1" applyAlignment="1">
      <alignment horizontal="center"/>
    </xf>
    <xf numFmtId="0" fontId="1" fillId="0" borderId="93" xfId="0" applyFont="1" applyBorder="1" applyAlignment="1">
      <alignment horizontal="center"/>
    </xf>
    <xf numFmtId="0" fontId="0" fillId="0" borderId="92" xfId="0" applyFont="1" applyBorder="1" applyAlignment="1"/>
    <xf numFmtId="0" fontId="5" fillId="0" borderId="94" xfId="0" applyFont="1" applyBorder="1" applyAlignment="1">
      <alignment horizontal="center"/>
    </xf>
    <xf numFmtId="0" fontId="0" fillId="0" borderId="0" xfId="0" applyFont="1" applyAlignment="1"/>
    <xf numFmtId="0" fontId="5" fillId="0" borderId="91" xfId="0" applyFont="1" applyBorder="1" applyAlignment="1">
      <alignment horizontal="center"/>
    </xf>
    <xf numFmtId="0" fontId="5" fillId="0" borderId="87" xfId="0" applyFont="1" applyBorder="1" applyAlignment="1">
      <alignment horizontal="center"/>
    </xf>
    <xf numFmtId="0" fontId="0" fillId="0" borderId="95" xfId="0" applyFont="1" applyBorder="1" applyAlignment="1"/>
    <xf numFmtId="0" fontId="5" fillId="0" borderId="96" xfId="0" applyFont="1" applyBorder="1" applyAlignment="1">
      <alignment horizontal="center"/>
    </xf>
    <xf numFmtId="0" fontId="5" fillId="0" borderId="89" xfId="0" applyFont="1" applyFill="1" applyBorder="1" applyAlignment="1">
      <alignment horizontal="center"/>
    </xf>
    <xf numFmtId="0" fontId="5" fillId="0" borderId="87" xfId="0" applyFont="1" applyFill="1" applyBorder="1" applyAlignment="1">
      <alignment horizontal="center"/>
    </xf>
    <xf numFmtId="0" fontId="5" fillId="0" borderId="67" xfId="0" applyFont="1" applyFill="1" applyBorder="1" applyAlignment="1">
      <alignment horizontal="center"/>
    </xf>
    <xf numFmtId="0" fontId="0" fillId="0" borderId="86" xfId="0" applyFont="1" applyBorder="1" applyAlignment="1"/>
    <xf numFmtId="0" fontId="0" fillId="0" borderId="0" xfId="0" applyFont="1" applyBorder="1" applyAlignment="1"/>
    <xf numFmtId="0" fontId="3" fillId="7" borderId="24" xfId="0" applyFont="1" applyFill="1" applyBorder="1" applyAlignment="1">
      <alignment horizontal="center"/>
    </xf>
    <xf numFmtId="0" fontId="4" fillId="7" borderId="24" xfId="0" applyFont="1" applyFill="1" applyBorder="1" applyAlignment="1">
      <alignment horizontal="center"/>
    </xf>
    <xf numFmtId="0" fontId="3" fillId="7" borderId="25" xfId="0" applyFont="1" applyFill="1" applyBorder="1" applyAlignment="1">
      <alignment horizontal="center"/>
    </xf>
    <xf numFmtId="0" fontId="10" fillId="7" borderId="66" xfId="0" applyFont="1" applyFill="1" applyBorder="1" applyAlignment="1">
      <alignment horizontal="center"/>
    </xf>
    <xf numFmtId="0" fontId="4" fillId="7" borderId="25" xfId="0" applyFont="1" applyFill="1" applyBorder="1" applyAlignment="1">
      <alignment horizontal="center"/>
    </xf>
    <xf numFmtId="0" fontId="3" fillId="7" borderId="57" xfId="0" applyFont="1" applyFill="1" applyBorder="1" applyAlignment="1">
      <alignment horizontal="center"/>
    </xf>
    <xf numFmtId="0" fontId="10" fillId="7" borderId="54" xfId="0" applyFont="1" applyFill="1" applyBorder="1" applyAlignment="1">
      <alignment horizontal="center"/>
    </xf>
    <xf numFmtId="0" fontId="10" fillId="7" borderId="65" xfId="0" applyFont="1" applyFill="1" applyBorder="1" applyAlignment="1">
      <alignment horizontal="center"/>
    </xf>
    <xf numFmtId="0" fontId="3" fillId="4" borderId="21" xfId="0" applyFont="1" applyFill="1" applyBorder="1" applyAlignment="1">
      <alignment horizontal="center"/>
    </xf>
    <xf numFmtId="0" fontId="10" fillId="4" borderId="68" xfId="0" applyFont="1" applyFill="1" applyBorder="1" applyAlignment="1">
      <alignment horizontal="center"/>
    </xf>
    <xf numFmtId="0" fontId="10" fillId="4" borderId="73" xfId="0" applyFont="1" applyFill="1" applyBorder="1" applyAlignment="1">
      <alignment horizontal="center"/>
    </xf>
    <xf numFmtId="0" fontId="4" fillId="4" borderId="21" xfId="0" applyFont="1" applyFill="1" applyBorder="1" applyAlignment="1">
      <alignment horizontal="center"/>
    </xf>
    <xf numFmtId="0" fontId="10" fillId="4" borderId="65" xfId="0" applyFont="1" applyFill="1" applyBorder="1" applyAlignment="1">
      <alignment horizontal="center"/>
    </xf>
    <xf numFmtId="0" fontId="3" fillId="19" borderId="20" xfId="0" applyFont="1" applyFill="1" applyBorder="1" applyAlignment="1">
      <alignment horizontal="center"/>
    </xf>
    <xf numFmtId="0" fontId="4" fillId="19" borderId="20" xfId="0" applyFont="1" applyFill="1" applyBorder="1" applyAlignment="1">
      <alignment horizontal="center"/>
    </xf>
    <xf numFmtId="0" fontId="10" fillId="19" borderId="64" xfId="0" applyFont="1" applyFill="1" applyBorder="1" applyAlignment="1">
      <alignment horizontal="center"/>
    </xf>
    <xf numFmtId="0" fontId="4" fillId="19" borderId="26" xfId="0" applyFont="1" applyFill="1" applyBorder="1" applyAlignment="1">
      <alignment horizontal="center"/>
    </xf>
    <xf numFmtId="0" fontId="3" fillId="19" borderId="26" xfId="0" applyFont="1" applyFill="1" applyBorder="1" applyAlignment="1">
      <alignment horizontal="center"/>
    </xf>
    <xf numFmtId="0" fontId="10" fillId="19" borderId="41" xfId="0" applyFont="1" applyFill="1" applyBorder="1" applyAlignment="1">
      <alignment horizontal="center"/>
    </xf>
    <xf numFmtId="0" fontId="10" fillId="19" borderId="80" xfId="0" applyFont="1" applyFill="1" applyBorder="1" applyAlignment="1">
      <alignment horizontal="center"/>
    </xf>
    <xf numFmtId="0" fontId="3" fillId="19" borderId="69" xfId="0" applyFont="1" applyFill="1" applyBorder="1" applyAlignment="1">
      <alignment horizontal="center"/>
    </xf>
    <xf numFmtId="0" fontId="3" fillId="7" borderId="65" xfId="0" applyFont="1" applyFill="1" applyBorder="1" applyAlignment="1">
      <alignment horizontal="center"/>
    </xf>
    <xf numFmtId="0" fontId="9" fillId="7" borderId="55" xfId="0" applyFont="1" applyFill="1" applyBorder="1" applyAlignment="1">
      <alignment horizontal="center"/>
    </xf>
    <xf numFmtId="0" fontId="10" fillId="4" borderId="54" xfId="0" applyFont="1" applyFill="1" applyBorder="1" applyAlignment="1">
      <alignment horizontal="center"/>
    </xf>
    <xf numFmtId="0" fontId="3" fillId="4" borderId="68" xfId="0" applyFont="1" applyFill="1" applyBorder="1" applyAlignment="1">
      <alignment horizontal="center"/>
    </xf>
    <xf numFmtId="0" fontId="10" fillId="4" borderId="77" xfId="0" applyFont="1" applyFill="1" applyBorder="1" applyAlignment="1">
      <alignment horizontal="center"/>
    </xf>
    <xf numFmtId="0" fontId="10" fillId="19" borderId="86" xfId="0" applyFont="1" applyFill="1" applyBorder="1" applyAlignment="1">
      <alignment horizontal="center"/>
    </xf>
    <xf numFmtId="0" fontId="3" fillId="19" borderId="80" xfId="0" applyFont="1" applyFill="1" applyBorder="1" applyAlignment="1">
      <alignment horizontal="center"/>
    </xf>
    <xf numFmtId="0" fontId="10" fillId="19" borderId="75" xfId="0" applyFont="1" applyFill="1" applyBorder="1" applyAlignment="1">
      <alignment horizontal="center"/>
    </xf>
    <xf numFmtId="0" fontId="0" fillId="0" borderId="0" xfId="0" applyFont="1" applyAlignment="1"/>
    <xf numFmtId="164" fontId="1" fillId="0" borderId="45" xfId="0" applyNumberFormat="1" applyFont="1" applyBorder="1" applyAlignment="1">
      <alignment horizontal="center"/>
    </xf>
    <xf numFmtId="0" fontId="0" fillId="0" borderId="0" xfId="0" applyFont="1" applyAlignment="1"/>
    <xf numFmtId="0" fontId="5" fillId="0" borderId="20" xfId="0" applyFont="1" applyFill="1" applyBorder="1" applyAlignment="1">
      <alignment horizontal="center"/>
    </xf>
    <xf numFmtId="0" fontId="5" fillId="0" borderId="21" xfId="0" applyFont="1" applyFill="1" applyBorder="1" applyAlignment="1">
      <alignment horizontal="center"/>
    </xf>
    <xf numFmtId="0" fontId="1" fillId="0" borderId="24" xfId="0" applyFont="1" applyFill="1" applyBorder="1" applyAlignment="1">
      <alignment horizontal="center"/>
    </xf>
    <xf numFmtId="2" fontId="5" fillId="0" borderId="20" xfId="0" applyNumberFormat="1" applyFont="1" applyFill="1" applyBorder="1" applyAlignment="1">
      <alignment horizontal="center"/>
    </xf>
    <xf numFmtId="2" fontId="5" fillId="0" borderId="21" xfId="0" applyNumberFormat="1" applyFont="1" applyFill="1" applyBorder="1" applyAlignment="1">
      <alignment horizontal="center"/>
    </xf>
    <xf numFmtId="2" fontId="5" fillId="0" borderId="24" xfId="0" applyNumberFormat="1" applyFont="1" applyFill="1" applyBorder="1" applyAlignment="1">
      <alignment horizontal="center"/>
    </xf>
    <xf numFmtId="2" fontId="6" fillId="0" borderId="0" xfId="0" applyNumberFormat="1" applyFont="1" applyFill="1" applyAlignment="1">
      <alignment horizontal="center"/>
    </xf>
    <xf numFmtId="2" fontId="1" fillId="0" borderId="25" xfId="0" applyNumberFormat="1" applyFont="1" applyFill="1" applyBorder="1" applyAlignment="1">
      <alignment horizontal="center"/>
    </xf>
    <xf numFmtId="2" fontId="1" fillId="0" borderId="21" xfId="0" applyNumberFormat="1" applyFont="1" applyFill="1" applyBorder="1" applyAlignment="1">
      <alignment horizontal="center"/>
    </xf>
    <xf numFmtId="2" fontId="5" fillId="0" borderId="64" xfId="0" applyNumberFormat="1" applyFont="1" applyFill="1" applyBorder="1" applyAlignment="1">
      <alignment horizontal="center"/>
    </xf>
    <xf numFmtId="2" fontId="5" fillId="0" borderId="65" xfId="0" applyNumberFormat="1" applyFont="1" applyFill="1" applyBorder="1" applyAlignment="1">
      <alignment horizontal="center"/>
    </xf>
    <xf numFmtId="2" fontId="5" fillId="0" borderId="66" xfId="0" applyNumberFormat="1" applyFont="1" applyFill="1" applyBorder="1" applyAlignment="1">
      <alignment horizontal="center"/>
    </xf>
    <xf numFmtId="2" fontId="5" fillId="0" borderId="26" xfId="0" applyNumberFormat="1" applyFont="1" applyFill="1" applyBorder="1" applyAlignment="1">
      <alignment horizontal="center"/>
    </xf>
    <xf numFmtId="2" fontId="1" fillId="0" borderId="41" xfId="0" applyNumberFormat="1" applyFont="1" applyFill="1" applyBorder="1" applyAlignment="1">
      <alignment horizontal="center"/>
    </xf>
    <xf numFmtId="2" fontId="1" fillId="0" borderId="54" xfId="0" applyNumberFormat="1" applyFont="1" applyFill="1" applyBorder="1" applyAlignment="1">
      <alignment horizontal="center"/>
    </xf>
    <xf numFmtId="2" fontId="1" fillId="0" borderId="55" xfId="0" applyNumberFormat="1" applyFont="1" applyFill="1" applyBorder="1" applyAlignment="1">
      <alignment horizontal="center"/>
    </xf>
    <xf numFmtId="2" fontId="1" fillId="0" borderId="73" xfId="0" applyNumberFormat="1" applyFont="1" applyFill="1" applyBorder="1" applyAlignment="1">
      <alignment horizontal="center"/>
    </xf>
    <xf numFmtId="2" fontId="1" fillId="0" borderId="80" xfId="0" applyNumberFormat="1" applyFont="1" applyFill="1" applyBorder="1" applyAlignment="1">
      <alignment horizontal="center"/>
    </xf>
    <xf numFmtId="2" fontId="1" fillId="0" borderId="68" xfId="0" applyNumberFormat="1" applyFont="1" applyFill="1" applyBorder="1" applyAlignment="1">
      <alignment horizontal="center"/>
    </xf>
    <xf numFmtId="2" fontId="1" fillId="0" borderId="65" xfId="0" applyNumberFormat="1" applyFont="1" applyFill="1" applyBorder="1" applyAlignment="1">
      <alignment horizontal="center"/>
    </xf>
    <xf numFmtId="2" fontId="1" fillId="0" borderId="75" xfId="0" applyNumberFormat="1" applyFont="1" applyFill="1" applyBorder="1" applyAlignment="1">
      <alignment horizontal="center"/>
    </xf>
    <xf numFmtId="2" fontId="5" fillId="0" borderId="69" xfId="0" applyNumberFormat="1" applyFont="1" applyFill="1" applyBorder="1" applyAlignment="1">
      <alignment horizontal="center"/>
    </xf>
    <xf numFmtId="2" fontId="6" fillId="0" borderId="21" xfId="0" applyNumberFormat="1" applyFont="1" applyFill="1" applyBorder="1" applyAlignment="1">
      <alignment horizontal="center"/>
    </xf>
    <xf numFmtId="2" fontId="6" fillId="0" borderId="25" xfId="0" applyNumberFormat="1" applyFont="1" applyFill="1" applyBorder="1" applyAlignment="1">
      <alignment horizontal="center"/>
    </xf>
    <xf numFmtId="2" fontId="5" fillId="0" borderId="25" xfId="0" applyNumberFormat="1" applyFont="1" applyFill="1" applyBorder="1" applyAlignment="1">
      <alignment horizontal="center"/>
    </xf>
    <xf numFmtId="2" fontId="5" fillId="0" borderId="41" xfId="0" applyNumberFormat="1" applyFont="1" applyFill="1" applyBorder="1" applyAlignment="1">
      <alignment horizontal="center"/>
    </xf>
    <xf numFmtId="2" fontId="5" fillId="0" borderId="54" xfId="0" applyNumberFormat="1" applyFont="1" applyFill="1" applyBorder="1" applyAlignment="1">
      <alignment horizontal="center"/>
    </xf>
    <xf numFmtId="2" fontId="5" fillId="0" borderId="55" xfId="0" applyNumberFormat="1" applyFont="1" applyFill="1" applyBorder="1" applyAlignment="1">
      <alignment horizontal="center"/>
    </xf>
    <xf numFmtId="2" fontId="1" fillId="0" borderId="66" xfId="0" applyNumberFormat="1" applyFont="1" applyFill="1" applyBorder="1" applyAlignment="1">
      <alignment horizontal="center"/>
    </xf>
    <xf numFmtId="2" fontId="5" fillId="0" borderId="72" xfId="0" applyNumberFormat="1" applyFont="1" applyFill="1" applyBorder="1" applyAlignment="1">
      <alignment horizontal="center"/>
    </xf>
    <xf numFmtId="2" fontId="5" fillId="0" borderId="75" xfId="0" applyNumberFormat="1" applyFont="1" applyFill="1" applyBorder="1" applyAlignment="1">
      <alignment horizontal="center"/>
    </xf>
    <xf numFmtId="2" fontId="5" fillId="0" borderId="57" xfId="0" applyNumberFormat="1" applyFont="1" applyFill="1" applyBorder="1" applyAlignment="1">
      <alignment horizontal="center"/>
    </xf>
    <xf numFmtId="2" fontId="5" fillId="0" borderId="101" xfId="0" applyNumberFormat="1" applyFont="1" applyFill="1" applyBorder="1" applyAlignment="1">
      <alignment horizontal="center"/>
    </xf>
    <xf numFmtId="2" fontId="5" fillId="0" borderId="80" xfId="0" applyNumberFormat="1" applyFont="1" applyFill="1" applyBorder="1" applyAlignment="1">
      <alignment horizontal="center"/>
    </xf>
    <xf numFmtId="2" fontId="5" fillId="0" borderId="73" xfId="0" applyNumberFormat="1" applyFont="1" applyFill="1" applyBorder="1" applyAlignment="1">
      <alignment horizontal="center"/>
    </xf>
    <xf numFmtId="2" fontId="5" fillId="0" borderId="68" xfId="0" applyNumberFormat="1" applyFont="1" applyFill="1" applyBorder="1" applyAlignment="1">
      <alignment horizontal="center"/>
    </xf>
    <xf numFmtId="2" fontId="5" fillId="0" borderId="78" xfId="0" applyNumberFormat="1" applyFont="1" applyFill="1" applyBorder="1" applyAlignment="1">
      <alignment horizontal="center"/>
    </xf>
    <xf numFmtId="2" fontId="5" fillId="0" borderId="81" xfId="0" applyNumberFormat="1" applyFont="1" applyFill="1" applyBorder="1" applyAlignment="1">
      <alignment horizontal="center"/>
    </xf>
    <xf numFmtId="0" fontId="1" fillId="0" borderId="20" xfId="0" applyFont="1" applyFill="1" applyBorder="1" applyAlignment="1">
      <alignment horizontal="center"/>
    </xf>
    <xf numFmtId="0" fontId="1" fillId="0" borderId="30" xfId="0" applyFont="1" applyFill="1" applyBorder="1" applyAlignment="1">
      <alignment horizontal="center"/>
    </xf>
    <xf numFmtId="2" fontId="5" fillId="0" borderId="30" xfId="0" applyNumberFormat="1" applyFont="1" applyFill="1" applyBorder="1" applyAlignment="1">
      <alignment horizontal="center"/>
    </xf>
    <xf numFmtId="2" fontId="5" fillId="0" borderId="83" xfId="0" applyNumberFormat="1" applyFont="1" applyFill="1" applyBorder="1" applyAlignment="1">
      <alignment horizontal="center"/>
    </xf>
    <xf numFmtId="2" fontId="5" fillId="0" borderId="82" xfId="0" applyNumberFormat="1" applyFont="1" applyFill="1" applyBorder="1" applyAlignment="1">
      <alignment horizontal="center"/>
    </xf>
    <xf numFmtId="2" fontId="5" fillId="0" borderId="88" xfId="0" applyNumberFormat="1" applyFont="1" applyFill="1" applyBorder="1" applyAlignment="1">
      <alignment horizontal="center"/>
    </xf>
    <xf numFmtId="2" fontId="5" fillId="0" borderId="89" xfId="0" applyNumberFormat="1" applyFont="1" applyFill="1" applyBorder="1" applyAlignment="1">
      <alignment horizontal="center"/>
    </xf>
    <xf numFmtId="2" fontId="5" fillId="0" borderId="87" xfId="0" applyNumberFormat="1" applyFont="1" applyFill="1" applyBorder="1" applyAlignment="1">
      <alignment horizontal="center"/>
    </xf>
    <xf numFmtId="2" fontId="5" fillId="0" borderId="91" xfId="0" applyNumberFormat="1" applyFont="1" applyFill="1" applyBorder="1" applyAlignment="1">
      <alignment horizontal="center"/>
    </xf>
    <xf numFmtId="0" fontId="6" fillId="0" borderId="103" xfId="0" applyFont="1" applyBorder="1" applyAlignment="1">
      <alignment horizontal="center" vertical="center"/>
    </xf>
    <xf numFmtId="0" fontId="6" fillId="0" borderId="103" xfId="0" applyFont="1" applyBorder="1" applyAlignment="1">
      <alignment horizontal="center"/>
    </xf>
    <xf numFmtId="0" fontId="6" fillId="0" borderId="104" xfId="0" applyFont="1" applyBorder="1" applyAlignment="1"/>
    <xf numFmtId="0" fontId="6" fillId="0" borderId="82" xfId="0" applyFont="1" applyBorder="1" applyAlignment="1">
      <alignment horizontal="center" vertical="center"/>
    </xf>
    <xf numFmtId="0" fontId="6" fillId="0" borderId="82" xfId="0" applyFont="1" applyBorder="1" applyAlignment="1">
      <alignment horizontal="center"/>
    </xf>
    <xf numFmtId="0" fontId="6" fillId="0" borderId="67" xfId="0" applyFont="1" applyBorder="1" applyAlignment="1"/>
    <xf numFmtId="0" fontId="5" fillId="0" borderId="24" xfId="0" applyFont="1" applyFill="1" applyBorder="1" applyAlignment="1">
      <alignment horizontal="center"/>
    </xf>
    <xf numFmtId="0" fontId="11" fillId="0" borderId="70" xfId="0" applyFont="1" applyFill="1" applyBorder="1" applyAlignment="1">
      <alignment horizontal="center"/>
    </xf>
    <xf numFmtId="0" fontId="5" fillId="0" borderId="54" xfId="0" applyFont="1" applyFill="1" applyBorder="1" applyAlignment="1">
      <alignment horizontal="center"/>
    </xf>
    <xf numFmtId="0" fontId="5" fillId="0" borderId="80" xfId="0" applyFont="1" applyFill="1" applyBorder="1" applyAlignment="1">
      <alignment horizontal="center"/>
    </xf>
    <xf numFmtId="0" fontId="5" fillId="0" borderId="66" xfId="0" applyFont="1" applyFill="1" applyBorder="1" applyAlignment="1">
      <alignment horizontal="center"/>
    </xf>
    <xf numFmtId="0" fontId="5" fillId="0" borderId="81" xfId="0" applyFont="1" applyFill="1" applyBorder="1" applyAlignment="1">
      <alignment horizontal="center"/>
    </xf>
    <xf numFmtId="0" fontId="5" fillId="0" borderId="68" xfId="0" applyFont="1" applyFill="1" applyBorder="1" applyAlignment="1">
      <alignment horizontal="center"/>
    </xf>
    <xf numFmtId="0" fontId="5" fillId="0" borderId="65" xfId="0" applyFont="1" applyFill="1" applyBorder="1" applyAlignment="1">
      <alignment horizontal="center"/>
    </xf>
    <xf numFmtId="0" fontId="5" fillId="0" borderId="75" xfId="0" applyFont="1" applyFill="1" applyBorder="1" applyAlignment="1">
      <alignment horizontal="center"/>
    </xf>
    <xf numFmtId="0" fontId="0" fillId="0" borderId="68" xfId="0" applyFont="1" applyFill="1" applyBorder="1" applyAlignment="1">
      <alignment horizontal="center"/>
    </xf>
    <xf numFmtId="0" fontId="5" fillId="0" borderId="17" xfId="0" applyFont="1" applyFill="1" applyBorder="1" applyAlignment="1">
      <alignment horizontal="center"/>
    </xf>
    <xf numFmtId="0" fontId="5" fillId="0" borderId="86" xfId="0" applyFont="1" applyFill="1" applyBorder="1" applyAlignment="1">
      <alignment horizontal="center"/>
    </xf>
    <xf numFmtId="0" fontId="1" fillId="0" borderId="21" xfId="0" applyFont="1" applyFill="1" applyBorder="1" applyAlignment="1">
      <alignment horizontal="center"/>
    </xf>
    <xf numFmtId="0" fontId="5" fillId="0" borderId="57" xfId="0" applyFont="1" applyFill="1" applyBorder="1" applyAlignment="1">
      <alignment horizontal="center"/>
    </xf>
    <xf numFmtId="0" fontId="5" fillId="0" borderId="79" xfId="0" applyFont="1" applyFill="1" applyBorder="1" applyAlignment="1">
      <alignment horizontal="center"/>
    </xf>
    <xf numFmtId="0" fontId="5" fillId="0" borderId="55" xfId="0" applyFont="1" applyFill="1" applyBorder="1" applyAlignment="1">
      <alignment horizontal="center"/>
    </xf>
    <xf numFmtId="0" fontId="5" fillId="0" borderId="70" xfId="0" applyFont="1" applyFill="1" applyBorder="1" applyAlignment="1">
      <alignment horizontal="center"/>
    </xf>
    <xf numFmtId="0" fontId="0" fillId="0" borderId="73" xfId="0" applyFont="1" applyFill="1" applyBorder="1" applyAlignment="1">
      <alignment horizontal="center"/>
    </xf>
    <xf numFmtId="0" fontId="5" fillId="0" borderId="41" xfId="0" applyFont="1" applyFill="1" applyBorder="1" applyAlignment="1">
      <alignment horizontal="center"/>
    </xf>
    <xf numFmtId="0" fontId="5" fillId="0" borderId="73" xfId="0" applyFont="1" applyFill="1" applyBorder="1" applyAlignment="1">
      <alignment horizontal="center"/>
    </xf>
    <xf numFmtId="0" fontId="5" fillId="0" borderId="90" xfId="0" applyFont="1" applyFill="1" applyBorder="1" applyAlignment="1">
      <alignment horizontal="center"/>
    </xf>
    <xf numFmtId="0" fontId="5" fillId="0" borderId="74" xfId="0" applyFont="1" applyFill="1" applyBorder="1" applyAlignment="1">
      <alignment horizontal="center"/>
    </xf>
    <xf numFmtId="0" fontId="15" fillId="0" borderId="21" xfId="0" applyFont="1" applyFill="1" applyBorder="1" applyAlignment="1">
      <alignment horizontal="center"/>
    </xf>
    <xf numFmtId="0" fontId="6" fillId="0" borderId="45" xfId="0" applyFont="1" applyBorder="1" applyAlignment="1">
      <alignment horizontal="center" vertical="center"/>
    </xf>
    <xf numFmtId="0" fontId="0" fillId="0" borderId="0" xfId="0" applyFont="1" applyAlignment="1"/>
    <xf numFmtId="0" fontId="0" fillId="0" borderId="0" xfId="0" applyFont="1" applyFill="1" applyAlignment="1"/>
    <xf numFmtId="0" fontId="1" fillId="0" borderId="0" xfId="0" applyFont="1" applyAlignment="1"/>
    <xf numFmtId="0" fontId="16" fillId="0" borderId="82" xfId="0" applyFont="1" applyBorder="1" applyAlignment="1">
      <alignment horizontal="center" vertical="center"/>
    </xf>
    <xf numFmtId="0" fontId="21" fillId="0" borderId="110" xfId="0" applyFont="1" applyFill="1" applyBorder="1" applyAlignment="1">
      <alignment horizontal="center" vertical="center"/>
    </xf>
    <xf numFmtId="0" fontId="21" fillId="0" borderId="111" xfId="0" applyFont="1" applyFill="1" applyBorder="1" applyAlignment="1">
      <alignment horizontal="center" vertical="center"/>
    </xf>
    <xf numFmtId="0" fontId="22" fillId="0" borderId="111" xfId="0" applyFont="1" applyFill="1" applyBorder="1" applyAlignment="1">
      <alignment horizontal="center" vertical="center"/>
    </xf>
    <xf numFmtId="0" fontId="22" fillId="3" borderId="112" xfId="0" applyFont="1" applyFill="1" applyBorder="1" applyAlignment="1">
      <alignment horizontal="center" vertical="center"/>
    </xf>
    <xf numFmtId="0" fontId="21" fillId="0" borderId="80" xfId="0" applyFont="1" applyFill="1" applyBorder="1" applyAlignment="1">
      <alignment horizontal="center" vertical="center"/>
    </xf>
    <xf numFmtId="0" fontId="21" fillId="0" borderId="68" xfId="0" applyFont="1" applyFill="1" applyBorder="1" applyAlignment="1">
      <alignment horizontal="center" vertical="center"/>
    </xf>
    <xf numFmtId="0" fontId="22" fillId="0" borderId="68" xfId="0" applyFont="1" applyFill="1" applyBorder="1" applyAlignment="1">
      <alignment horizontal="center" vertical="center"/>
    </xf>
    <xf numFmtId="0" fontId="22" fillId="3" borderId="66" xfId="0" applyFont="1" applyFill="1" applyBorder="1" applyAlignment="1">
      <alignment horizontal="center" vertical="center"/>
    </xf>
    <xf numFmtId="0" fontId="22" fillId="0" borderId="66" xfId="0" applyFont="1" applyFill="1" applyBorder="1" applyAlignment="1">
      <alignment horizontal="center" vertical="center"/>
    </xf>
    <xf numFmtId="0" fontId="21" fillId="0" borderId="89" xfId="0" applyFont="1" applyFill="1" applyBorder="1" applyAlignment="1">
      <alignment horizontal="center" vertical="center"/>
    </xf>
    <xf numFmtId="0" fontId="21" fillId="0" borderId="87" xfId="0" applyFont="1" applyFill="1" applyBorder="1" applyAlignment="1">
      <alignment horizontal="center" vertical="center"/>
    </xf>
    <xf numFmtId="0" fontId="22" fillId="0" borderId="87" xfId="0" applyFont="1" applyFill="1" applyBorder="1" applyAlignment="1">
      <alignment horizontal="center" vertical="center"/>
    </xf>
    <xf numFmtId="0" fontId="22" fillId="3" borderId="88" xfId="0" applyFont="1" applyFill="1" applyBorder="1" applyAlignment="1">
      <alignment horizontal="center" vertical="center"/>
    </xf>
    <xf numFmtId="0" fontId="21" fillId="0" borderId="113" xfId="0" applyFont="1" applyBorder="1" applyAlignment="1">
      <alignment horizontal="center" vertical="center"/>
    </xf>
    <xf numFmtId="0" fontId="23" fillId="0" borderId="0" xfId="0" applyFont="1" applyAlignment="1"/>
    <xf numFmtId="0" fontId="22" fillId="0" borderId="68" xfId="0" applyFont="1" applyBorder="1" applyAlignment="1">
      <alignment horizontal="center" vertical="center"/>
    </xf>
    <xf numFmtId="0" fontId="22" fillId="0" borderId="68" xfId="0" applyFont="1" applyBorder="1" applyAlignment="1"/>
    <xf numFmtId="0" fontId="24" fillId="0" borderId="0" xfId="0" applyFont="1" applyAlignment="1"/>
    <xf numFmtId="164" fontId="24" fillId="0" borderId="0" xfId="0" applyNumberFormat="1" applyFont="1" applyBorder="1" applyAlignment="1">
      <alignment horizontal="center"/>
    </xf>
    <xf numFmtId="0" fontId="24" fillId="0" borderId="0" xfId="0" applyFont="1" applyBorder="1" applyAlignment="1"/>
    <xf numFmtId="0" fontId="24" fillId="0" borderId="0" xfId="0" applyFont="1" applyAlignment="1">
      <alignment horizontal="center"/>
    </xf>
    <xf numFmtId="0" fontId="24" fillId="0" borderId="68" xfId="0" applyFont="1" applyBorder="1" applyAlignment="1"/>
    <xf numFmtId="0" fontId="24" fillId="0" borderId="68" xfId="0" applyFont="1" applyBorder="1" applyAlignment="1">
      <alignment horizontal="center"/>
    </xf>
    <xf numFmtId="2" fontId="24" fillId="0" borderId="68" xfId="0" applyNumberFormat="1" applyFont="1" applyBorder="1" applyAlignment="1"/>
    <xf numFmtId="0" fontId="25" fillId="0" borderId="82" xfId="0" applyFont="1" applyBorder="1" applyAlignment="1">
      <alignment horizontal="center" vertical="center"/>
    </xf>
    <xf numFmtId="0" fontId="29" fillId="0" borderId="110" xfId="0" applyFont="1" applyFill="1" applyBorder="1" applyAlignment="1">
      <alignment horizontal="center" vertical="center"/>
    </xf>
    <xf numFmtId="0" fontId="29" fillId="0" borderId="111" xfId="0" applyFont="1" applyFill="1" applyBorder="1" applyAlignment="1">
      <alignment horizontal="center" vertical="center"/>
    </xf>
    <xf numFmtId="0" fontId="24" fillId="0" borderId="111" xfId="0" applyFont="1" applyFill="1" applyBorder="1" applyAlignment="1">
      <alignment horizontal="center" vertical="center"/>
    </xf>
    <xf numFmtId="0" fontId="29" fillId="0" borderId="80" xfId="0" applyFont="1" applyFill="1" applyBorder="1" applyAlignment="1">
      <alignment horizontal="center" vertical="center"/>
    </xf>
    <xf numFmtId="0" fontId="29" fillId="0" borderId="68" xfId="0" applyFont="1" applyFill="1" applyBorder="1" applyAlignment="1">
      <alignment horizontal="center" vertical="center"/>
    </xf>
    <xf numFmtId="0" fontId="24" fillId="0" borderId="68" xfId="0" applyFont="1" applyFill="1" applyBorder="1" applyAlignment="1">
      <alignment horizontal="center" vertical="center"/>
    </xf>
    <xf numFmtId="0" fontId="24" fillId="0" borderId="80" xfId="0" applyFont="1" applyFill="1" applyBorder="1" applyAlignment="1">
      <alignment horizontal="center" vertical="center"/>
    </xf>
    <xf numFmtId="0" fontId="24" fillId="0" borderId="89" xfId="0" applyFont="1" applyFill="1" applyBorder="1" applyAlignment="1">
      <alignment horizontal="center" vertical="center"/>
    </xf>
    <xf numFmtId="0" fontId="29" fillId="0" borderId="87" xfId="0" applyFont="1" applyFill="1" applyBorder="1" applyAlignment="1">
      <alignment horizontal="center" vertical="center"/>
    </xf>
    <xf numFmtId="0" fontId="24" fillId="0" borderId="87" xfId="0" applyFont="1" applyFill="1" applyBorder="1" applyAlignment="1">
      <alignment horizontal="center" vertical="center"/>
    </xf>
    <xf numFmtId="0" fontId="24" fillId="0" borderId="68" xfId="0" applyFont="1" applyBorder="1" applyAlignment="1">
      <alignment horizontal="center" vertical="center"/>
    </xf>
    <xf numFmtId="0" fontId="21" fillId="0" borderId="118" xfId="0" applyFont="1" applyBorder="1" applyAlignment="1">
      <alignment horizontal="center" vertical="center"/>
    </xf>
    <xf numFmtId="0" fontId="22" fillId="0" borderId="108" xfId="0" applyFont="1" applyBorder="1" applyAlignment="1">
      <alignment horizontal="center" vertical="center"/>
    </xf>
    <xf numFmtId="0" fontId="25" fillId="0" borderId="108" xfId="0" applyFont="1" applyBorder="1" applyAlignment="1">
      <alignment horizontal="center" vertical="center"/>
    </xf>
    <xf numFmtId="0" fontId="21" fillId="0" borderId="115" xfId="0" applyFont="1" applyBorder="1" applyAlignment="1">
      <alignment horizontal="center" vertical="center"/>
    </xf>
    <xf numFmtId="0" fontId="16" fillId="0" borderId="108" xfId="0" applyFont="1" applyBorder="1" applyAlignment="1">
      <alignment horizontal="center" vertical="center"/>
    </xf>
    <xf numFmtId="1" fontId="29" fillId="0" borderId="111" xfId="0" applyNumberFormat="1" applyFont="1" applyFill="1" applyBorder="1" applyAlignment="1">
      <alignment horizontal="center" vertical="center"/>
    </xf>
    <xf numFmtId="1" fontId="29" fillId="0" borderId="68" xfId="0" applyNumberFormat="1" applyFont="1" applyFill="1" applyBorder="1" applyAlignment="1">
      <alignment horizontal="center" vertical="center"/>
    </xf>
    <xf numFmtId="1" fontId="29" fillId="0" borderId="87" xfId="0" applyNumberFormat="1" applyFont="1" applyFill="1" applyBorder="1" applyAlignment="1">
      <alignment horizontal="center" vertical="center"/>
    </xf>
    <xf numFmtId="1" fontId="29" fillId="0" borderId="115" xfId="0" applyNumberFormat="1" applyFont="1" applyBorder="1" applyAlignment="1">
      <alignment horizontal="center" vertical="center"/>
    </xf>
    <xf numFmtId="1" fontId="29" fillId="0" borderId="113" xfId="0" applyNumberFormat="1" applyFont="1" applyBorder="1" applyAlignment="1">
      <alignment horizontal="center" vertical="center"/>
    </xf>
    <xf numFmtId="1" fontId="29" fillId="0" borderId="118" xfId="0" applyNumberFormat="1" applyFont="1" applyBorder="1" applyAlignment="1">
      <alignment horizontal="center" vertical="center"/>
    </xf>
    <xf numFmtId="1" fontId="24" fillId="0" borderId="112" xfId="0" applyNumberFormat="1" applyFont="1" applyBorder="1" applyAlignment="1">
      <alignment horizontal="center" vertical="center"/>
    </xf>
    <xf numFmtId="1" fontId="24" fillId="0" borderId="66" xfId="0" applyNumberFormat="1" applyFont="1" applyBorder="1" applyAlignment="1">
      <alignment horizontal="center" vertical="center"/>
    </xf>
    <xf numFmtId="1" fontId="24" fillId="0" borderId="88" xfId="0" applyNumberFormat="1" applyFont="1" applyBorder="1" applyAlignment="1">
      <alignment horizontal="center" vertical="center"/>
    </xf>
    <xf numFmtId="1" fontId="24" fillId="0" borderId="108" xfId="0" applyNumberFormat="1" applyFont="1" applyBorder="1" applyAlignment="1">
      <alignment horizontal="center" vertical="center"/>
    </xf>
    <xf numFmtId="1" fontId="24" fillId="0" borderId="68" xfId="0" applyNumberFormat="1" applyFont="1" applyBorder="1" applyAlignment="1">
      <alignment horizontal="center" vertical="center"/>
    </xf>
    <xf numFmtId="2" fontId="1" fillId="0" borderId="40" xfId="0" applyNumberFormat="1" applyFont="1" applyBorder="1" applyAlignment="1">
      <alignment horizontal="center"/>
    </xf>
    <xf numFmtId="0" fontId="2" fillId="0" borderId="41" xfId="0" applyFont="1" applyBorder="1"/>
    <xf numFmtId="0" fontId="2" fillId="0" borderId="29" xfId="0" applyFont="1" applyBorder="1"/>
    <xf numFmtId="164" fontId="1" fillId="0" borderId="42" xfId="0" applyNumberFormat="1" applyFont="1" applyBorder="1" applyAlignment="1">
      <alignment horizontal="center"/>
    </xf>
    <xf numFmtId="0" fontId="2" fillId="0" borderId="43" xfId="0" applyFont="1" applyBorder="1"/>
    <xf numFmtId="0" fontId="2" fillId="0" borderId="44" xfId="0" applyFont="1" applyBorder="1"/>
    <xf numFmtId="0" fontId="1" fillId="0" borderId="1" xfId="0" applyFont="1" applyBorder="1" applyAlignment="1">
      <alignment horizontal="center"/>
    </xf>
    <xf numFmtId="0" fontId="2" fillId="0" borderId="1" xfId="0" applyFont="1" applyBorder="1"/>
    <xf numFmtId="0" fontId="3" fillId="2" borderId="2" xfId="0" applyFont="1" applyFill="1" applyBorder="1" applyAlignment="1">
      <alignment horizontal="center"/>
    </xf>
    <xf numFmtId="0" fontId="2" fillId="0" borderId="3" xfId="0" applyFont="1" applyBorder="1"/>
    <xf numFmtId="0" fontId="2" fillId="0" borderId="11" xfId="0" applyFont="1" applyBorder="1"/>
    <xf numFmtId="0" fontId="2" fillId="0" borderId="4" xfId="0" applyFont="1" applyBorder="1"/>
    <xf numFmtId="0" fontId="3" fillId="0" borderId="6" xfId="0" applyFont="1" applyBorder="1" applyAlignment="1">
      <alignment horizontal="center"/>
    </xf>
    <xf numFmtId="0" fontId="2" fillId="0" borderId="7" xfId="0" applyFont="1" applyBorder="1"/>
    <xf numFmtId="0" fontId="4" fillId="0" borderId="8" xfId="0" applyFont="1" applyBorder="1" applyAlignment="1">
      <alignment horizontal="center" wrapText="1"/>
    </xf>
    <xf numFmtId="0" fontId="2" fillId="0" borderId="22" xfId="0" applyFont="1" applyBorder="1"/>
    <xf numFmtId="0" fontId="3" fillId="0" borderId="9" xfId="0" applyFont="1" applyBorder="1" applyAlignment="1">
      <alignment horizontal="center" wrapText="1"/>
    </xf>
    <xf numFmtId="0" fontId="2" fillId="0" borderId="23" xfId="0" applyFont="1" applyBorder="1"/>
    <xf numFmtId="0" fontId="3" fillId="5" borderId="10" xfId="0" applyFont="1" applyFill="1" applyBorder="1" applyAlignment="1">
      <alignment horizontal="center"/>
    </xf>
    <xf numFmtId="0" fontId="2" fillId="5" borderId="11" xfId="0" applyFont="1" applyFill="1" applyBorder="1"/>
    <xf numFmtId="0" fontId="2" fillId="5" borderId="12" xfId="0" applyFont="1" applyFill="1" applyBorder="1"/>
    <xf numFmtId="0" fontId="4" fillId="6" borderId="13" xfId="0" applyFont="1" applyFill="1" applyBorder="1" applyAlignment="1">
      <alignment horizontal="center"/>
    </xf>
    <xf numFmtId="0" fontId="2" fillId="6" borderId="14" xfId="0" applyFont="1" applyFill="1" applyBorder="1"/>
    <xf numFmtId="0" fontId="2" fillId="6" borderId="15" xfId="0" applyFont="1" applyFill="1" applyBorder="1"/>
    <xf numFmtId="0" fontId="3" fillId="0" borderId="19" xfId="0" applyFont="1" applyBorder="1" applyAlignment="1">
      <alignment horizontal="center" wrapText="1"/>
    </xf>
    <xf numFmtId="0" fontId="2" fillId="0" borderId="27" xfId="0" applyFont="1" applyBorder="1"/>
    <xf numFmtId="0" fontId="9" fillId="4" borderId="13" xfId="0" applyFont="1" applyFill="1" applyBorder="1" applyAlignment="1">
      <alignment horizontal="center"/>
    </xf>
    <xf numFmtId="0" fontId="2" fillId="4" borderId="14" xfId="0" applyFont="1" applyFill="1" applyBorder="1"/>
    <xf numFmtId="0" fontId="2" fillId="4" borderId="15" xfId="0" applyFont="1" applyFill="1" applyBorder="1"/>
    <xf numFmtId="0" fontId="4" fillId="11" borderId="13" xfId="0" applyFont="1" applyFill="1" applyBorder="1" applyAlignment="1">
      <alignment horizontal="center"/>
    </xf>
    <xf numFmtId="0" fontId="2" fillId="11" borderId="14" xfId="0" applyFont="1" applyFill="1" applyBorder="1"/>
    <xf numFmtId="0" fontId="2" fillId="11" borderId="15" xfId="0" applyFont="1" applyFill="1" applyBorder="1"/>
    <xf numFmtId="0" fontId="3" fillId="8" borderId="13" xfId="0" applyFont="1" applyFill="1" applyBorder="1" applyAlignment="1">
      <alignment horizontal="center"/>
    </xf>
    <xf numFmtId="0" fontId="2" fillId="8" borderId="14" xfId="0" applyFont="1" applyFill="1" applyBorder="1"/>
    <xf numFmtId="0" fontId="2" fillId="8" borderId="15" xfId="0" applyFont="1" applyFill="1" applyBorder="1"/>
    <xf numFmtId="0" fontId="3" fillId="0" borderId="13" xfId="0" applyFont="1" applyBorder="1" applyAlignment="1">
      <alignment horizontal="center"/>
    </xf>
    <xf numFmtId="0" fontId="2" fillId="0" borderId="14" xfId="0" applyFont="1" applyBorder="1"/>
    <xf numFmtId="0" fontId="4" fillId="12" borderId="11" xfId="0" applyFont="1" applyFill="1" applyBorder="1" applyAlignment="1">
      <alignment horizontal="center"/>
    </xf>
    <xf numFmtId="0" fontId="2" fillId="12" borderId="11" xfId="0" applyFont="1" applyFill="1" applyBorder="1"/>
    <xf numFmtId="0" fontId="2" fillId="12" borderId="12" xfId="0" applyFont="1" applyFill="1" applyBorder="1"/>
    <xf numFmtId="0" fontId="3" fillId="9" borderId="16" xfId="0" applyFont="1" applyFill="1" applyBorder="1" applyAlignment="1">
      <alignment horizontal="center"/>
    </xf>
    <xf numFmtId="0" fontId="2" fillId="9" borderId="16" xfId="0" applyFont="1" applyFill="1" applyBorder="1"/>
    <xf numFmtId="0" fontId="2" fillId="9" borderId="17" xfId="0" applyFont="1" applyFill="1" applyBorder="1"/>
    <xf numFmtId="0" fontId="3" fillId="7" borderId="18" xfId="0" applyFont="1" applyFill="1" applyBorder="1" applyAlignment="1">
      <alignment horizontal="center"/>
    </xf>
    <xf numFmtId="0" fontId="2" fillId="7" borderId="16" xfId="0" applyFont="1" applyFill="1" applyBorder="1"/>
    <xf numFmtId="0" fontId="3" fillId="0" borderId="19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2" fillId="0" borderId="32" xfId="0" applyFont="1" applyBorder="1"/>
    <xf numFmtId="0" fontId="1" fillId="0" borderId="38" xfId="0" applyFont="1" applyBorder="1" applyAlignment="1">
      <alignment horizontal="center"/>
    </xf>
    <xf numFmtId="0" fontId="0" fillId="0" borderId="0" xfId="0" applyFont="1" applyAlignment="1"/>
    <xf numFmtId="0" fontId="1" fillId="0" borderId="13" xfId="0" applyFont="1" applyBorder="1" applyAlignment="1">
      <alignment horizontal="center"/>
    </xf>
    <xf numFmtId="0" fontId="2" fillId="0" borderId="15" xfId="0" applyFont="1" applyBorder="1"/>
    <xf numFmtId="0" fontId="1" fillId="0" borderId="40" xfId="0" applyFont="1" applyBorder="1" applyAlignment="1">
      <alignment horizontal="center"/>
    </xf>
    <xf numFmtId="0" fontId="6" fillId="0" borderId="103" xfId="0" applyFont="1" applyBorder="1" applyAlignment="1"/>
    <xf numFmtId="0" fontId="2" fillId="0" borderId="103" xfId="0" applyFont="1" applyBorder="1"/>
    <xf numFmtId="0" fontId="6" fillId="0" borderId="82" xfId="0" applyFont="1" applyBorder="1" applyAlignment="1"/>
    <xf numFmtId="0" fontId="2" fillId="0" borderId="82" xfId="0" applyFont="1" applyBorder="1"/>
    <xf numFmtId="0" fontId="1" fillId="0" borderId="40" xfId="0" applyFont="1" applyBorder="1" applyAlignment="1">
      <alignment horizontal="center" wrapText="1"/>
    </xf>
    <xf numFmtId="0" fontId="1" fillId="0" borderId="42" xfId="0" applyFont="1" applyBorder="1" applyAlignment="1">
      <alignment horizontal="center" wrapText="1"/>
    </xf>
    <xf numFmtId="0" fontId="1" fillId="0" borderId="83" xfId="0" applyFont="1" applyBorder="1" applyAlignment="1">
      <alignment horizontal="left" vertical="center"/>
    </xf>
    <xf numFmtId="0" fontId="1" fillId="0" borderId="82" xfId="0" applyFont="1" applyBorder="1" applyAlignment="1">
      <alignment horizontal="left" vertical="center"/>
    </xf>
    <xf numFmtId="0" fontId="1" fillId="0" borderId="102" xfId="0" applyFont="1" applyBorder="1" applyAlignment="1">
      <alignment horizontal="left" vertical="center"/>
    </xf>
    <xf numFmtId="0" fontId="1" fillId="0" borderId="103" xfId="0" applyFont="1" applyBorder="1" applyAlignment="1">
      <alignment horizontal="left" vertical="center"/>
    </xf>
    <xf numFmtId="0" fontId="8" fillId="15" borderId="13" xfId="0" applyFont="1" applyFill="1" applyBorder="1" applyAlignment="1">
      <alignment horizontal="center"/>
    </xf>
    <xf numFmtId="0" fontId="8" fillId="15" borderId="14" xfId="0" applyFont="1" applyFill="1" applyBorder="1" applyAlignment="1">
      <alignment horizontal="center"/>
    </xf>
    <xf numFmtId="0" fontId="8" fillId="15" borderId="15" xfId="0" applyFont="1" applyFill="1" applyBorder="1" applyAlignment="1">
      <alignment horizontal="center"/>
    </xf>
    <xf numFmtId="0" fontId="8" fillId="10" borderId="58" xfId="0" applyFont="1" applyFill="1" applyBorder="1" applyAlignment="1">
      <alignment horizontal="center"/>
    </xf>
    <xf numFmtId="0" fontId="8" fillId="10" borderId="14" xfId="0" applyFont="1" applyFill="1" applyBorder="1" applyAlignment="1">
      <alignment horizontal="center"/>
    </xf>
    <xf numFmtId="0" fontId="8" fillId="10" borderId="15" xfId="0" applyFont="1" applyFill="1" applyBorder="1" applyAlignment="1">
      <alignment horizontal="center"/>
    </xf>
    <xf numFmtId="0" fontId="8" fillId="0" borderId="60" xfId="0" applyFont="1" applyBorder="1" applyAlignment="1">
      <alignment horizontal="center"/>
    </xf>
    <xf numFmtId="0" fontId="2" fillId="0" borderId="61" xfId="0" applyFont="1" applyBorder="1" applyAlignment="1">
      <alignment horizontal="center"/>
    </xf>
    <xf numFmtId="0" fontId="2" fillId="0" borderId="62" xfId="0" applyFont="1" applyBorder="1" applyAlignment="1">
      <alignment horizontal="center"/>
    </xf>
    <xf numFmtId="0" fontId="8" fillId="14" borderId="13" xfId="0" applyFont="1" applyFill="1" applyBorder="1" applyAlignment="1">
      <alignment horizontal="center"/>
    </xf>
    <xf numFmtId="0" fontId="8" fillId="14" borderId="14" xfId="0" applyFont="1" applyFill="1" applyBorder="1" applyAlignment="1">
      <alignment horizontal="center"/>
    </xf>
    <xf numFmtId="0" fontId="8" fillId="14" borderId="15" xfId="0" applyFont="1" applyFill="1" applyBorder="1" applyAlignment="1">
      <alignment horizontal="center"/>
    </xf>
    <xf numFmtId="0" fontId="8" fillId="16" borderId="84" xfId="0" applyFont="1" applyFill="1" applyBorder="1" applyAlignment="1">
      <alignment horizontal="center"/>
    </xf>
    <xf numFmtId="0" fontId="8" fillId="16" borderId="85" xfId="0" applyFont="1" applyFill="1" applyBorder="1" applyAlignment="1">
      <alignment horizontal="center"/>
    </xf>
    <xf numFmtId="0" fontId="8" fillId="16" borderId="51" xfId="0" applyFont="1" applyFill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2" fillId="0" borderId="0" xfId="0" applyFont="1" applyBorder="1"/>
    <xf numFmtId="0" fontId="25" fillId="2" borderId="116" xfId="0" applyFont="1" applyFill="1" applyBorder="1" applyAlignment="1">
      <alignment horizontal="center" vertical="center"/>
    </xf>
    <xf numFmtId="0" fontId="26" fillId="0" borderId="92" xfId="0" applyFont="1" applyBorder="1" applyAlignment="1">
      <alignment horizontal="center" vertical="center"/>
    </xf>
    <xf numFmtId="0" fontId="26" fillId="0" borderId="117" xfId="0" applyFont="1" applyBorder="1" applyAlignment="1">
      <alignment horizontal="center" vertical="center"/>
    </xf>
    <xf numFmtId="0" fontId="25" fillId="0" borderId="103" xfId="0" applyFont="1" applyBorder="1" applyAlignment="1">
      <alignment horizontal="center" vertical="center"/>
    </xf>
    <xf numFmtId="0" fontId="26" fillId="0" borderId="103" xfId="0" applyFont="1" applyBorder="1" applyAlignment="1">
      <alignment horizontal="center" vertical="center"/>
    </xf>
    <xf numFmtId="0" fontId="27" fillId="0" borderId="103" xfId="0" applyFont="1" applyBorder="1" applyAlignment="1">
      <alignment horizontal="center" vertical="center" wrapText="1"/>
    </xf>
    <xf numFmtId="0" fontId="26" fillId="0" borderId="82" xfId="0" applyFont="1" applyBorder="1" applyAlignment="1">
      <alignment horizontal="center" vertical="center"/>
    </xf>
    <xf numFmtId="0" fontId="25" fillId="0" borderId="103" xfId="0" applyFont="1" applyBorder="1" applyAlignment="1">
      <alignment horizontal="center" vertical="center" wrapText="1"/>
    </xf>
    <xf numFmtId="0" fontId="25" fillId="5" borderId="103" xfId="0" applyFont="1" applyFill="1" applyBorder="1" applyAlignment="1">
      <alignment horizontal="center" vertical="center"/>
    </xf>
    <xf numFmtId="0" fontId="26" fillId="5" borderId="103" xfId="0" applyFont="1" applyFill="1" applyBorder="1" applyAlignment="1">
      <alignment horizontal="center" vertical="center"/>
    </xf>
    <xf numFmtId="0" fontId="27" fillId="6" borderId="103" xfId="0" applyFont="1" applyFill="1" applyBorder="1" applyAlignment="1">
      <alignment horizontal="center" vertical="center"/>
    </xf>
    <xf numFmtId="0" fontId="26" fillId="6" borderId="103" xfId="0" applyFont="1" applyFill="1" applyBorder="1" applyAlignment="1">
      <alignment horizontal="center" vertical="center"/>
    </xf>
    <xf numFmtId="0" fontId="27" fillId="4" borderId="103" xfId="0" applyFont="1" applyFill="1" applyBorder="1" applyAlignment="1">
      <alignment horizontal="center" vertical="center"/>
    </xf>
    <xf numFmtId="0" fontId="26" fillId="4" borderId="103" xfId="0" applyFont="1" applyFill="1" applyBorder="1" applyAlignment="1">
      <alignment horizontal="center" vertical="center"/>
    </xf>
    <xf numFmtId="0" fontId="27" fillId="11" borderId="103" xfId="0" applyFont="1" applyFill="1" applyBorder="1" applyAlignment="1">
      <alignment horizontal="center" vertical="center"/>
    </xf>
    <xf numFmtId="0" fontId="26" fillId="11" borderId="103" xfId="0" applyFont="1" applyFill="1" applyBorder="1" applyAlignment="1">
      <alignment horizontal="center" vertical="center"/>
    </xf>
    <xf numFmtId="0" fontId="25" fillId="8" borderId="103" xfId="0" applyFont="1" applyFill="1" applyBorder="1" applyAlignment="1">
      <alignment horizontal="center" vertical="center"/>
    </xf>
    <xf numFmtId="0" fontId="26" fillId="8" borderId="103" xfId="0" applyFont="1" applyFill="1" applyBorder="1" applyAlignment="1">
      <alignment horizontal="center" vertical="center"/>
    </xf>
    <xf numFmtId="0" fontId="28" fillId="14" borderId="103" xfId="0" applyFont="1" applyFill="1" applyBorder="1" applyAlignment="1">
      <alignment horizontal="center" vertical="center"/>
    </xf>
    <xf numFmtId="0" fontId="28" fillId="16" borderId="103" xfId="0" applyFont="1" applyFill="1" applyBorder="1" applyAlignment="1">
      <alignment horizontal="center" vertical="center"/>
    </xf>
    <xf numFmtId="0" fontId="28" fillId="15" borderId="103" xfId="0" applyFont="1" applyFill="1" applyBorder="1" applyAlignment="1">
      <alignment horizontal="center" vertical="center"/>
    </xf>
    <xf numFmtId="0" fontId="25" fillId="0" borderId="104" xfId="0" applyFont="1" applyBorder="1" applyAlignment="1">
      <alignment horizontal="center" vertical="center" wrapText="1"/>
    </xf>
    <xf numFmtId="0" fontId="26" fillId="0" borderId="6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/>
    </xf>
    <xf numFmtId="0" fontId="24" fillId="0" borderId="0" xfId="0" applyFont="1" applyBorder="1" applyAlignment="1"/>
    <xf numFmtId="0" fontId="28" fillId="0" borderId="103" xfId="0" applyFont="1" applyBorder="1" applyAlignment="1">
      <alignment horizontal="center" vertical="center"/>
    </xf>
    <xf numFmtId="0" fontId="27" fillId="12" borderId="103" xfId="0" applyFont="1" applyFill="1" applyBorder="1" applyAlignment="1">
      <alignment horizontal="center" vertical="center"/>
    </xf>
    <xf numFmtId="0" fontId="26" fillId="12" borderId="103" xfId="0" applyFont="1" applyFill="1" applyBorder="1" applyAlignment="1">
      <alignment horizontal="center" vertical="center"/>
    </xf>
    <xf numFmtId="0" fontId="25" fillId="9" borderId="103" xfId="0" applyFont="1" applyFill="1" applyBorder="1" applyAlignment="1">
      <alignment horizontal="center" vertical="center"/>
    </xf>
    <xf numFmtId="0" fontId="26" fillId="9" borderId="103" xfId="0" applyFont="1" applyFill="1" applyBorder="1" applyAlignment="1">
      <alignment horizontal="center" vertical="center"/>
    </xf>
    <xf numFmtId="0" fontId="25" fillId="7" borderId="103" xfId="0" applyFont="1" applyFill="1" applyBorder="1" applyAlignment="1">
      <alignment horizontal="center" vertical="center"/>
    </xf>
    <xf numFmtId="0" fontId="26" fillId="7" borderId="103" xfId="0" applyFont="1" applyFill="1" applyBorder="1" applyAlignment="1">
      <alignment horizontal="center" vertical="center"/>
    </xf>
    <xf numFmtId="0" fontId="28" fillId="10" borderId="103" xfId="0" applyFont="1" applyFill="1" applyBorder="1" applyAlignment="1">
      <alignment horizontal="center" vertical="center"/>
    </xf>
    <xf numFmtId="0" fontId="24" fillId="0" borderId="68" xfId="0" applyFont="1" applyBorder="1" applyAlignment="1">
      <alignment horizontal="left"/>
    </xf>
    <xf numFmtId="0" fontId="24" fillId="0" borderId="105" xfId="0" applyFont="1" applyBorder="1" applyAlignment="1">
      <alignment horizontal="center" vertical="center"/>
    </xf>
    <xf numFmtId="0" fontId="24" fillId="0" borderId="106" xfId="0" applyFont="1" applyBorder="1" applyAlignment="1">
      <alignment horizontal="center" vertical="center"/>
    </xf>
    <xf numFmtId="0" fontId="25" fillId="0" borderId="102" xfId="0" applyFont="1" applyBorder="1" applyAlignment="1">
      <alignment horizontal="center" vertical="center"/>
    </xf>
    <xf numFmtId="0" fontId="25" fillId="0" borderId="83" xfId="0" applyFont="1" applyBorder="1" applyAlignment="1">
      <alignment horizontal="center" vertical="center"/>
    </xf>
    <xf numFmtId="0" fontId="4" fillId="2" borderId="99" xfId="0" applyFont="1" applyFill="1" applyBorder="1" applyAlignment="1">
      <alignment horizontal="center"/>
    </xf>
    <xf numFmtId="0" fontId="2" fillId="0" borderId="100" xfId="0" applyFont="1" applyBorder="1"/>
    <xf numFmtId="0" fontId="2" fillId="0" borderId="53" xfId="0" applyFont="1" applyBorder="1"/>
    <xf numFmtId="0" fontId="4" fillId="0" borderId="97" xfId="0" applyFont="1" applyBorder="1" applyAlignment="1">
      <alignment horizontal="center"/>
    </xf>
    <xf numFmtId="0" fontId="2" fillId="0" borderId="46" xfId="0" applyFont="1" applyBorder="1"/>
    <xf numFmtId="0" fontId="3" fillId="0" borderId="46" xfId="0" applyFont="1" applyBorder="1" applyAlignment="1">
      <alignment horizontal="center" vertical="center"/>
    </xf>
    <xf numFmtId="0" fontId="2" fillId="0" borderId="17" xfId="0" applyFont="1" applyBorder="1"/>
    <xf numFmtId="0" fontId="6" fillId="0" borderId="2" xfId="0" applyFont="1" applyBorder="1" applyAlignment="1">
      <alignment horizontal="center"/>
    </xf>
    <xf numFmtId="0" fontId="6" fillId="0" borderId="2" xfId="0" applyFont="1" applyBorder="1" applyAlignment="1"/>
    <xf numFmtId="0" fontId="4" fillId="0" borderId="98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12" fillId="13" borderId="18" xfId="0" applyFont="1" applyFill="1" applyBorder="1" applyAlignment="1">
      <alignment horizontal="center"/>
    </xf>
    <xf numFmtId="0" fontId="13" fillId="13" borderId="16" xfId="0" applyFont="1" applyFill="1" applyBorder="1" applyAlignment="1">
      <alignment horizontal="center"/>
    </xf>
    <xf numFmtId="0" fontId="14" fillId="17" borderId="60" xfId="0" applyFont="1" applyFill="1" applyBorder="1" applyAlignment="1">
      <alignment horizontal="center"/>
    </xf>
    <xf numFmtId="0" fontId="12" fillId="17" borderId="61" xfId="0" applyFont="1" applyFill="1" applyBorder="1" applyAlignment="1">
      <alignment horizontal="center"/>
    </xf>
    <xf numFmtId="0" fontId="12" fillId="17" borderId="62" xfId="0" applyFont="1" applyFill="1" applyBorder="1" applyAlignment="1">
      <alignment horizontal="center"/>
    </xf>
    <xf numFmtId="0" fontId="1" fillId="0" borderId="42" xfId="0" applyFont="1" applyBorder="1" applyAlignment="1">
      <alignment horizontal="center"/>
    </xf>
    <xf numFmtId="0" fontId="2" fillId="0" borderId="47" xfId="0" applyFont="1" applyBorder="1"/>
    <xf numFmtId="0" fontId="12" fillId="18" borderId="60" xfId="0" applyFont="1" applyFill="1" applyBorder="1" applyAlignment="1">
      <alignment horizontal="center"/>
    </xf>
    <xf numFmtId="0" fontId="12" fillId="18" borderId="61" xfId="0" applyFont="1" applyFill="1" applyBorder="1" applyAlignment="1">
      <alignment horizontal="center"/>
    </xf>
    <xf numFmtId="0" fontId="12" fillId="18" borderId="62" xfId="0" applyFont="1" applyFill="1" applyBorder="1" applyAlignment="1">
      <alignment horizontal="center"/>
    </xf>
    <xf numFmtId="0" fontId="4" fillId="2" borderId="105" xfId="0" applyFont="1" applyFill="1" applyBorder="1" applyAlignment="1">
      <alignment horizontal="center" vertical="center"/>
    </xf>
    <xf numFmtId="0" fontId="4" fillId="2" borderId="106" xfId="0" applyFont="1" applyFill="1" applyBorder="1" applyAlignment="1">
      <alignment horizontal="center" vertical="center"/>
    </xf>
    <xf numFmtId="0" fontId="4" fillId="2" borderId="107" xfId="0" applyFont="1" applyFill="1" applyBorder="1" applyAlignment="1">
      <alignment horizontal="center" vertical="center"/>
    </xf>
    <xf numFmtId="0" fontId="16" fillId="0" borderId="103" xfId="0" applyFont="1" applyBorder="1" applyAlignment="1">
      <alignment horizontal="center" vertical="center"/>
    </xf>
    <xf numFmtId="0" fontId="17" fillId="0" borderId="103" xfId="0" applyFont="1" applyBorder="1" applyAlignment="1">
      <alignment horizontal="center" vertical="center"/>
    </xf>
    <xf numFmtId="0" fontId="18" fillId="0" borderId="103" xfId="0" applyFont="1" applyBorder="1" applyAlignment="1">
      <alignment horizontal="center" vertical="center" wrapText="1"/>
    </xf>
    <xf numFmtId="0" fontId="17" fillId="0" borderId="82" xfId="0" applyFont="1" applyBorder="1" applyAlignment="1">
      <alignment horizontal="center" vertical="center"/>
    </xf>
    <xf numFmtId="0" fontId="16" fillId="0" borderId="103" xfId="0" applyFont="1" applyBorder="1" applyAlignment="1">
      <alignment horizontal="center" vertical="center" wrapText="1"/>
    </xf>
    <xf numFmtId="0" fontId="18" fillId="0" borderId="103" xfId="0" applyFont="1" applyBorder="1" applyAlignment="1">
      <alignment horizontal="center" vertical="center"/>
    </xf>
    <xf numFmtId="0" fontId="19" fillId="13" borderId="103" xfId="0" applyFont="1" applyFill="1" applyBorder="1" applyAlignment="1">
      <alignment horizontal="center" vertical="center"/>
    </xf>
    <xf numFmtId="0" fontId="20" fillId="13" borderId="103" xfId="0" applyFont="1" applyFill="1" applyBorder="1" applyAlignment="1">
      <alignment horizontal="center" vertical="center"/>
    </xf>
    <xf numFmtId="0" fontId="19" fillId="17" borderId="103" xfId="0" applyFont="1" applyFill="1" applyBorder="1" applyAlignment="1">
      <alignment horizontal="center" vertical="center"/>
    </xf>
    <xf numFmtId="0" fontId="19" fillId="18" borderId="103" xfId="0" applyFont="1" applyFill="1" applyBorder="1" applyAlignment="1">
      <alignment horizontal="center" vertical="center"/>
    </xf>
    <xf numFmtId="0" fontId="22" fillId="0" borderId="68" xfId="0" applyFont="1" applyBorder="1" applyAlignment="1">
      <alignment horizontal="left"/>
    </xf>
    <xf numFmtId="0" fontId="24" fillId="0" borderId="65" xfId="0" applyFont="1" applyBorder="1" applyAlignment="1">
      <alignment horizontal="left"/>
    </xf>
    <xf numFmtId="0" fontId="24" fillId="0" borderId="101" xfId="0" applyFont="1" applyBorder="1" applyAlignment="1">
      <alignment horizontal="left"/>
    </xf>
    <xf numFmtId="0" fontId="24" fillId="0" borderId="81" xfId="0" applyFont="1" applyBorder="1" applyAlignment="1">
      <alignment horizontal="left"/>
    </xf>
    <xf numFmtId="0" fontId="16" fillId="0" borderId="109" xfId="0" applyFont="1" applyBorder="1" applyAlignment="1">
      <alignment horizontal="center" vertical="center"/>
    </xf>
    <xf numFmtId="0" fontId="16" fillId="0" borderId="114" xfId="0" applyFont="1" applyBorder="1" applyAlignment="1">
      <alignment horizontal="center" vertical="center"/>
    </xf>
    <xf numFmtId="0" fontId="22" fillId="0" borderId="105" xfId="0" applyFont="1" applyBorder="1" applyAlignment="1">
      <alignment horizontal="center" vertical="center"/>
    </xf>
    <xf numFmtId="0" fontId="22" fillId="0" borderId="106" xfId="0" applyFont="1" applyBorder="1" applyAlignment="1">
      <alignment horizontal="center" vertical="center"/>
    </xf>
    <xf numFmtId="0" fontId="22" fillId="0" borderId="68" xfId="0" applyFont="1" applyBorder="1" applyAlignment="1"/>
    <xf numFmtId="0" fontId="17" fillId="0" borderId="68" xfId="0" applyFont="1" applyBorder="1"/>
    <xf numFmtId="0" fontId="3" fillId="0" borderId="119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2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CC00"/>
      <color rgb="FFDC709E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cap="none" spc="2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ÁREA AFECTADA POR TRAMOS (M2)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cap="none" spc="2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es-419"/>
        </a:p>
      </c:txPr>
    </c:title>
    <c:autoTitleDeleted val="0"/>
    <c:plotArea>
      <c:layout/>
      <c:barChart>
        <c:barDir val="col"/>
        <c:grouping val="clustered"/>
        <c:varyColors val="1"/>
        <c:ser>
          <c:idx val="0"/>
          <c:order val="0"/>
          <c:tx>
            <c:strRef>
              <c:f>Patologías_Generales!$AW$7:$AW$9</c:f>
              <c:strCache>
                <c:ptCount val="3"/>
                <c:pt idx="0">
                  <c:v>DAÑOS EN EL PAVIMENTO (SIN INCLUIR DAÑOS SUPERFICIALES NI DAÑOS EN LAS BERMAS)</c:v>
                </c:pt>
                <c:pt idx="1">
                  <c:v>TOTAL</c:v>
                </c:pt>
                <c:pt idx="2">
                  <c:v>A</c:v>
                </c:pt>
              </c:strCache>
            </c:strRef>
          </c:tx>
          <c:invertIfNegative val="1"/>
          <c:dPt>
            <c:idx val="0"/>
            <c:invertIfNegative val="1"/>
            <c:bubble3D val="0"/>
            <c:spPr>
              <a:gradFill rotWithShape="1">
                <a:gsLst>
                  <a:gs pos="0">
                    <a:schemeClr val="accent1"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1"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1"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1">
                    <a:shade val="9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268-4530-A0D7-777668B9E17F}"/>
              </c:ext>
            </c:extLst>
          </c:dPt>
          <c:dPt>
            <c:idx val="1"/>
            <c:invertIfNegative val="1"/>
            <c:bubble3D val="0"/>
            <c:spPr>
              <a:gradFill rotWithShape="1">
                <a:gsLst>
                  <a:gs pos="0">
                    <a:schemeClr val="accent2"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2"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2"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2">
                    <a:shade val="9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3-7268-4530-A0D7-777668B9E17F}"/>
              </c:ext>
            </c:extLst>
          </c:dPt>
          <c:dPt>
            <c:idx val="2"/>
            <c:invertIfNegative val="1"/>
            <c:bubble3D val="0"/>
            <c:spPr>
              <a:gradFill rotWithShape="1">
                <a:gsLst>
                  <a:gs pos="0">
                    <a:schemeClr val="accent3"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3"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3"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3">
                    <a:shade val="9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5-7268-4530-A0D7-777668B9E17F}"/>
              </c:ext>
            </c:extLst>
          </c:dPt>
          <c:dPt>
            <c:idx val="3"/>
            <c:invertIfNegative val="1"/>
            <c:bubble3D val="0"/>
            <c:spPr>
              <a:gradFill rotWithShape="1">
                <a:gsLst>
                  <a:gs pos="0">
                    <a:schemeClr val="accent4"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4"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4"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4">
                    <a:shade val="9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268-4530-A0D7-777668B9E17F}"/>
              </c:ext>
            </c:extLst>
          </c:dPt>
          <c:dPt>
            <c:idx val="4"/>
            <c:invertIfNegative val="1"/>
            <c:bubble3D val="0"/>
            <c:spPr>
              <a:gradFill rotWithShape="1">
                <a:gsLst>
                  <a:gs pos="0">
                    <a:schemeClr val="accent5"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5"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5"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5">
                    <a:shade val="9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7268-4530-A0D7-777668B9E17F}"/>
              </c:ext>
            </c:extLst>
          </c:dPt>
          <c:dPt>
            <c:idx val="5"/>
            <c:invertIfNegative val="1"/>
            <c:bubble3D val="0"/>
            <c:spPr>
              <a:gradFill rotWithShape="1">
                <a:gsLst>
                  <a:gs pos="0">
                    <a:schemeClr val="accent6"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6"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6"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6">
                    <a:shade val="9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B-7268-4530-A0D7-777668B9E17F}"/>
              </c:ext>
            </c:extLst>
          </c:dPt>
          <c:dPt>
            <c:idx val="6"/>
            <c:invertIfNegative val="1"/>
            <c:bubble3D val="0"/>
            <c:spPr>
              <a:gradFill rotWithShape="1">
                <a:gsLst>
                  <a:gs pos="0">
                    <a:schemeClr val="accent1">
                      <a:lumMod val="60000"/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1">
                      <a:lumMod val="60000"/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1">
                      <a:lumMod val="60000"/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1">
                    <a:lumMod val="60000"/>
                    <a:shade val="9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D-7268-4530-A0D7-777668B9E17F}"/>
              </c:ext>
            </c:extLst>
          </c:dPt>
          <c:dPt>
            <c:idx val="7"/>
            <c:invertIfNegative val="1"/>
            <c:bubble3D val="0"/>
            <c:spPr>
              <a:gradFill rotWithShape="1">
                <a:gsLst>
                  <a:gs pos="0">
                    <a:schemeClr val="accent2">
                      <a:lumMod val="60000"/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2">
                      <a:lumMod val="60000"/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2">
                      <a:lumMod val="60000"/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2">
                    <a:lumMod val="60000"/>
                    <a:shade val="9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F-7268-4530-A0D7-777668B9E17F}"/>
              </c:ext>
            </c:extLst>
          </c:dPt>
          <c:dPt>
            <c:idx val="8"/>
            <c:invertIfNegative val="1"/>
            <c:bubble3D val="0"/>
            <c:spPr>
              <a:gradFill rotWithShape="1">
                <a:gsLst>
                  <a:gs pos="0">
                    <a:schemeClr val="accent3">
                      <a:lumMod val="60000"/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3">
                      <a:lumMod val="60000"/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3">
                      <a:lumMod val="60000"/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3">
                    <a:lumMod val="60000"/>
                    <a:shade val="9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1-7268-4530-A0D7-777668B9E17F}"/>
              </c:ext>
            </c:extLst>
          </c:dPt>
          <c:dPt>
            <c:idx val="9"/>
            <c:invertIfNegative val="1"/>
            <c:bubble3D val="0"/>
            <c:spPr>
              <a:gradFill rotWithShape="1">
                <a:gsLst>
                  <a:gs pos="0">
                    <a:schemeClr val="accent4">
                      <a:lumMod val="60000"/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4">
                      <a:lumMod val="60000"/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4">
                      <a:lumMod val="60000"/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4">
                    <a:lumMod val="60000"/>
                    <a:shade val="9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3-7268-4530-A0D7-777668B9E17F}"/>
              </c:ext>
            </c:extLst>
          </c:dPt>
          <c:dPt>
            <c:idx val="10"/>
            <c:invertIfNegative val="1"/>
            <c:bubble3D val="0"/>
            <c:spPr>
              <a:gradFill rotWithShape="1">
                <a:gsLst>
                  <a:gs pos="0">
                    <a:schemeClr val="accent5">
                      <a:lumMod val="60000"/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5">
                      <a:lumMod val="60000"/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5">
                      <a:lumMod val="60000"/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5">
                    <a:lumMod val="60000"/>
                    <a:shade val="9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5-7268-4530-A0D7-777668B9E17F}"/>
              </c:ext>
            </c:extLst>
          </c:dPt>
          <c:dPt>
            <c:idx val="11"/>
            <c:invertIfNegative val="1"/>
            <c:bubble3D val="0"/>
            <c:spPr>
              <a:gradFill rotWithShape="1">
                <a:gsLst>
                  <a:gs pos="0">
                    <a:schemeClr val="accent6">
                      <a:lumMod val="60000"/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6">
                      <a:lumMod val="60000"/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6">
                      <a:lumMod val="60000"/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6">
                    <a:lumMod val="60000"/>
                    <a:shade val="9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7-7268-4530-A0D7-777668B9E17F}"/>
              </c:ext>
            </c:extLst>
          </c:dPt>
          <c:dPt>
            <c:idx val="12"/>
            <c:invertIfNegative val="1"/>
            <c:bubble3D val="0"/>
            <c:spPr>
              <a:gradFill rotWithShape="1">
                <a:gsLst>
                  <a:gs pos="0">
                    <a:schemeClr val="accent1">
                      <a:lumMod val="80000"/>
                      <a:lumOff val="20000"/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1">
                      <a:lumMod val="80000"/>
                      <a:lumOff val="20000"/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1">
                      <a:lumMod val="80000"/>
                      <a:lumOff val="20000"/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1">
                    <a:lumMod val="80000"/>
                    <a:lumOff val="20000"/>
                    <a:shade val="9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9-7268-4530-A0D7-777668B9E17F}"/>
              </c:ext>
            </c:extLst>
          </c:dPt>
          <c:dPt>
            <c:idx val="13"/>
            <c:invertIfNegative val="1"/>
            <c:bubble3D val="0"/>
            <c:spPr>
              <a:gradFill rotWithShape="1">
                <a:gsLst>
                  <a:gs pos="0">
                    <a:schemeClr val="accent2">
                      <a:lumMod val="80000"/>
                      <a:lumOff val="20000"/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2">
                      <a:lumMod val="80000"/>
                      <a:lumOff val="20000"/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2">
                      <a:lumMod val="80000"/>
                      <a:lumOff val="20000"/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2">
                    <a:lumMod val="80000"/>
                    <a:lumOff val="20000"/>
                    <a:shade val="9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B-7268-4530-A0D7-777668B9E17F}"/>
              </c:ext>
            </c:extLst>
          </c:dPt>
          <c:dPt>
            <c:idx val="14"/>
            <c:invertIfNegative val="1"/>
            <c:bubble3D val="0"/>
            <c:spPr>
              <a:gradFill rotWithShape="1">
                <a:gsLst>
                  <a:gs pos="0">
                    <a:schemeClr val="accent3">
                      <a:lumMod val="80000"/>
                      <a:lumOff val="20000"/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3">
                      <a:lumMod val="80000"/>
                      <a:lumOff val="20000"/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3">
                      <a:lumMod val="80000"/>
                      <a:lumOff val="20000"/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3">
                    <a:lumMod val="80000"/>
                    <a:lumOff val="20000"/>
                    <a:shade val="9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D-7268-4530-A0D7-777668B9E17F}"/>
              </c:ext>
            </c:extLst>
          </c:dPt>
          <c:dPt>
            <c:idx val="15"/>
            <c:invertIfNegative val="1"/>
            <c:bubble3D val="0"/>
            <c:spPr>
              <a:gradFill rotWithShape="1">
                <a:gsLst>
                  <a:gs pos="0">
                    <a:schemeClr val="accent4">
                      <a:lumMod val="80000"/>
                      <a:lumOff val="20000"/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4">
                      <a:lumMod val="80000"/>
                      <a:lumOff val="20000"/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4">
                      <a:lumMod val="80000"/>
                      <a:lumOff val="20000"/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4">
                    <a:lumMod val="80000"/>
                    <a:lumOff val="20000"/>
                    <a:shade val="9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F-7268-4530-A0D7-777668B9E17F}"/>
              </c:ext>
            </c:extLst>
          </c:dPt>
          <c:dPt>
            <c:idx val="16"/>
            <c:invertIfNegative val="1"/>
            <c:bubble3D val="0"/>
            <c:spPr>
              <a:gradFill rotWithShape="1">
                <a:gsLst>
                  <a:gs pos="0">
                    <a:schemeClr val="accent5">
                      <a:lumMod val="80000"/>
                      <a:lumOff val="20000"/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5">
                      <a:lumMod val="80000"/>
                      <a:lumOff val="20000"/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5">
                      <a:lumMod val="80000"/>
                      <a:lumOff val="20000"/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5">
                    <a:lumMod val="80000"/>
                    <a:lumOff val="20000"/>
                    <a:shade val="9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21-7268-4530-A0D7-777668B9E17F}"/>
              </c:ext>
            </c:extLst>
          </c:dPt>
          <c:dPt>
            <c:idx val="17"/>
            <c:invertIfNegative val="1"/>
            <c:bubble3D val="0"/>
            <c:spPr>
              <a:gradFill rotWithShape="1">
                <a:gsLst>
                  <a:gs pos="0">
                    <a:schemeClr val="accent6">
                      <a:lumMod val="80000"/>
                      <a:lumOff val="20000"/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6">
                      <a:lumMod val="80000"/>
                      <a:lumOff val="20000"/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6">
                      <a:lumMod val="80000"/>
                      <a:lumOff val="20000"/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6">
                    <a:lumMod val="80000"/>
                    <a:lumOff val="20000"/>
                    <a:shade val="9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23-7268-4530-A0D7-777668B9E17F}"/>
              </c:ext>
            </c:extLst>
          </c:dPt>
          <c:dPt>
            <c:idx val="18"/>
            <c:invertIfNegative val="1"/>
            <c:bubble3D val="0"/>
            <c:spPr>
              <a:gradFill rotWithShape="1">
                <a:gsLst>
                  <a:gs pos="0">
                    <a:schemeClr val="accent1">
                      <a:lumMod val="80000"/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1">
                      <a:lumMod val="80000"/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1">
                      <a:lumMod val="80000"/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1">
                    <a:lumMod val="80000"/>
                    <a:shade val="9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25-7268-4530-A0D7-777668B9E17F}"/>
              </c:ext>
            </c:extLst>
          </c:dPt>
          <c:dPt>
            <c:idx val="19"/>
            <c:invertIfNegative val="1"/>
            <c:bubble3D val="0"/>
            <c:spPr>
              <a:gradFill rotWithShape="1">
                <a:gsLst>
                  <a:gs pos="0">
                    <a:schemeClr val="accent2">
                      <a:lumMod val="80000"/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2">
                      <a:lumMod val="80000"/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2">
                      <a:lumMod val="80000"/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2">
                    <a:lumMod val="80000"/>
                    <a:shade val="9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27-7268-4530-A0D7-777668B9E17F}"/>
              </c:ext>
            </c:extLst>
          </c:dPt>
          <c:dPt>
            <c:idx val="20"/>
            <c:invertIfNegative val="1"/>
            <c:bubble3D val="0"/>
            <c:spPr>
              <a:gradFill rotWithShape="1">
                <a:gsLst>
                  <a:gs pos="0">
                    <a:schemeClr val="accent3">
                      <a:lumMod val="80000"/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3">
                      <a:lumMod val="80000"/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3">
                      <a:lumMod val="80000"/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3">
                    <a:lumMod val="80000"/>
                    <a:shade val="9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29-7268-4530-A0D7-777668B9E17F}"/>
              </c:ext>
            </c:extLst>
          </c:dPt>
          <c:dPt>
            <c:idx val="21"/>
            <c:invertIfNegative val="1"/>
            <c:bubble3D val="0"/>
            <c:spPr>
              <a:gradFill rotWithShape="1">
                <a:gsLst>
                  <a:gs pos="0">
                    <a:schemeClr val="accent4">
                      <a:lumMod val="80000"/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4">
                      <a:lumMod val="80000"/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4">
                      <a:lumMod val="80000"/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4">
                    <a:lumMod val="80000"/>
                    <a:shade val="9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2B-7268-4530-A0D7-777668B9E17F}"/>
              </c:ext>
            </c:extLst>
          </c:dPt>
          <c:dPt>
            <c:idx val="22"/>
            <c:invertIfNegative val="1"/>
            <c:bubble3D val="0"/>
            <c:spPr>
              <a:gradFill rotWithShape="1">
                <a:gsLst>
                  <a:gs pos="0">
                    <a:schemeClr val="accent5">
                      <a:lumMod val="80000"/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5">
                      <a:lumMod val="80000"/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5">
                      <a:lumMod val="80000"/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5">
                    <a:lumMod val="80000"/>
                    <a:shade val="9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2D-7268-4530-A0D7-777668B9E17F}"/>
              </c:ext>
            </c:extLst>
          </c:dPt>
          <c:dPt>
            <c:idx val="23"/>
            <c:invertIfNegative val="1"/>
            <c:bubble3D val="0"/>
            <c:spPr>
              <a:gradFill rotWithShape="1">
                <a:gsLst>
                  <a:gs pos="0">
                    <a:schemeClr val="accent6">
                      <a:lumMod val="80000"/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6">
                      <a:lumMod val="80000"/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6">
                      <a:lumMod val="80000"/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6">
                    <a:lumMod val="80000"/>
                    <a:shade val="9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2F-7268-4530-A0D7-777668B9E17F}"/>
              </c:ext>
            </c:extLst>
          </c:dPt>
          <c:dPt>
            <c:idx val="24"/>
            <c:invertIfNegative val="1"/>
            <c:bubble3D val="0"/>
            <c:spPr>
              <a:gradFill rotWithShape="1">
                <a:gsLst>
                  <a:gs pos="0">
                    <a:schemeClr val="accent1">
                      <a:lumMod val="60000"/>
                      <a:lumOff val="40000"/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1">
                      <a:lumMod val="60000"/>
                      <a:lumOff val="40000"/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1">
                      <a:lumMod val="60000"/>
                      <a:lumOff val="40000"/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1">
                    <a:lumMod val="60000"/>
                    <a:lumOff val="40000"/>
                    <a:shade val="9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31-7268-4530-A0D7-777668B9E17F}"/>
              </c:ext>
            </c:extLst>
          </c:dPt>
          <c:dPt>
            <c:idx val="25"/>
            <c:invertIfNegative val="1"/>
            <c:bubble3D val="0"/>
            <c:spPr>
              <a:gradFill rotWithShape="1">
                <a:gsLst>
                  <a:gs pos="0">
                    <a:schemeClr val="accent2">
                      <a:lumMod val="60000"/>
                      <a:lumOff val="40000"/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2">
                      <a:lumMod val="60000"/>
                      <a:lumOff val="40000"/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2">
                      <a:lumMod val="60000"/>
                      <a:lumOff val="40000"/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2">
                    <a:lumMod val="60000"/>
                    <a:lumOff val="40000"/>
                    <a:shade val="9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33-7268-4530-A0D7-777668B9E17F}"/>
              </c:ext>
            </c:extLst>
          </c:dPt>
          <c:dPt>
            <c:idx val="26"/>
            <c:invertIfNegative val="1"/>
            <c:bubble3D val="0"/>
            <c:spPr>
              <a:gradFill rotWithShape="1">
                <a:gsLst>
                  <a:gs pos="0">
                    <a:schemeClr val="accent3">
                      <a:lumMod val="60000"/>
                      <a:lumOff val="40000"/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3">
                      <a:lumMod val="60000"/>
                      <a:lumOff val="40000"/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3">
                      <a:lumMod val="60000"/>
                      <a:lumOff val="40000"/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3">
                    <a:lumMod val="60000"/>
                    <a:lumOff val="40000"/>
                    <a:shade val="9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35-7268-4530-A0D7-777668B9E17F}"/>
              </c:ext>
            </c:extLst>
          </c:dPt>
          <c:dPt>
            <c:idx val="27"/>
            <c:invertIfNegative val="1"/>
            <c:bubble3D val="0"/>
            <c:spPr>
              <a:gradFill rotWithShape="1">
                <a:gsLst>
                  <a:gs pos="0">
                    <a:schemeClr val="accent4">
                      <a:lumMod val="60000"/>
                      <a:lumOff val="40000"/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4">
                      <a:lumMod val="60000"/>
                      <a:lumOff val="40000"/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4">
                      <a:lumMod val="60000"/>
                      <a:lumOff val="40000"/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4">
                    <a:lumMod val="60000"/>
                    <a:lumOff val="40000"/>
                    <a:shade val="9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37-7268-4530-A0D7-777668B9E17F}"/>
              </c:ext>
            </c:extLst>
          </c:dPt>
          <c:dPt>
            <c:idx val="28"/>
            <c:invertIfNegative val="1"/>
            <c:bubble3D val="0"/>
            <c:spPr>
              <a:gradFill rotWithShape="1">
                <a:gsLst>
                  <a:gs pos="0">
                    <a:schemeClr val="accent5">
                      <a:lumMod val="60000"/>
                      <a:lumOff val="40000"/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5">
                      <a:lumMod val="60000"/>
                      <a:lumOff val="40000"/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5">
                      <a:lumMod val="60000"/>
                      <a:lumOff val="40000"/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5">
                    <a:lumMod val="60000"/>
                    <a:lumOff val="40000"/>
                    <a:shade val="9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39-7268-4530-A0D7-777668B9E17F}"/>
              </c:ext>
            </c:extLst>
          </c:dPt>
          <c:dPt>
            <c:idx val="29"/>
            <c:invertIfNegative val="1"/>
            <c:bubble3D val="0"/>
            <c:spPr>
              <a:gradFill rotWithShape="1">
                <a:gsLst>
                  <a:gs pos="0">
                    <a:schemeClr val="accent6">
                      <a:lumMod val="60000"/>
                      <a:lumOff val="40000"/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6">
                      <a:lumMod val="60000"/>
                      <a:lumOff val="40000"/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6">
                      <a:lumMod val="60000"/>
                      <a:lumOff val="40000"/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6">
                    <a:lumMod val="60000"/>
                    <a:lumOff val="40000"/>
                    <a:shade val="9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3B-7268-4530-A0D7-777668B9E17F}"/>
              </c:ext>
            </c:extLst>
          </c:dPt>
          <c:dPt>
            <c:idx val="30"/>
            <c:invertIfNegative val="1"/>
            <c:bubble3D val="0"/>
            <c:spPr>
              <a:gradFill rotWithShape="1">
                <a:gsLst>
                  <a:gs pos="0">
                    <a:schemeClr val="accent1">
                      <a:lumMod val="50000"/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1">
                      <a:lumMod val="50000"/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1">
                      <a:lumMod val="50000"/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1">
                    <a:lumMod val="50000"/>
                    <a:shade val="9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3D-7268-4530-A0D7-777668B9E17F}"/>
              </c:ext>
            </c:extLst>
          </c:dPt>
          <c:dPt>
            <c:idx val="31"/>
            <c:invertIfNegative val="1"/>
            <c:bubble3D val="0"/>
            <c:spPr>
              <a:gradFill rotWithShape="1">
                <a:gsLst>
                  <a:gs pos="0">
                    <a:schemeClr val="accent2">
                      <a:lumMod val="50000"/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2">
                      <a:lumMod val="50000"/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2">
                      <a:lumMod val="50000"/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2">
                    <a:lumMod val="50000"/>
                    <a:shade val="9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3F-7268-4530-A0D7-777668B9E17F}"/>
              </c:ext>
            </c:extLst>
          </c:dPt>
          <c:dPt>
            <c:idx val="32"/>
            <c:invertIfNegative val="1"/>
            <c:bubble3D val="0"/>
            <c:spPr>
              <a:gradFill rotWithShape="1">
                <a:gsLst>
                  <a:gs pos="0">
                    <a:schemeClr val="accent3">
                      <a:lumMod val="50000"/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3">
                      <a:lumMod val="50000"/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3">
                      <a:lumMod val="50000"/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3">
                    <a:lumMod val="50000"/>
                    <a:shade val="9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41-7268-4530-A0D7-777668B9E17F}"/>
              </c:ext>
            </c:extLst>
          </c:dPt>
          <c:cat>
            <c:strRef>
              <c:f>Patologías_Generales!$B$10:$B$42</c:f>
              <c:strCache>
                <c:ptCount val="33"/>
                <c:pt idx="0">
                  <c:v>T1</c:v>
                </c:pt>
                <c:pt idx="1">
                  <c:v>T2</c:v>
                </c:pt>
                <c:pt idx="2">
                  <c:v>T3</c:v>
                </c:pt>
                <c:pt idx="3">
                  <c:v>T4</c:v>
                </c:pt>
                <c:pt idx="4">
                  <c:v>T5</c:v>
                </c:pt>
                <c:pt idx="5">
                  <c:v>T6</c:v>
                </c:pt>
                <c:pt idx="6">
                  <c:v>T7</c:v>
                </c:pt>
                <c:pt idx="7">
                  <c:v>T8</c:v>
                </c:pt>
                <c:pt idx="8">
                  <c:v>T9</c:v>
                </c:pt>
                <c:pt idx="9">
                  <c:v>T10</c:v>
                </c:pt>
                <c:pt idx="10">
                  <c:v>T11</c:v>
                </c:pt>
                <c:pt idx="11">
                  <c:v>T12</c:v>
                </c:pt>
                <c:pt idx="12">
                  <c:v>T13</c:v>
                </c:pt>
                <c:pt idx="13">
                  <c:v>T14</c:v>
                </c:pt>
                <c:pt idx="14">
                  <c:v>T15</c:v>
                </c:pt>
                <c:pt idx="15">
                  <c:v>T16</c:v>
                </c:pt>
                <c:pt idx="16">
                  <c:v>T17</c:v>
                </c:pt>
                <c:pt idx="17">
                  <c:v>T18</c:v>
                </c:pt>
                <c:pt idx="18">
                  <c:v>T19</c:v>
                </c:pt>
                <c:pt idx="19">
                  <c:v>T20</c:v>
                </c:pt>
                <c:pt idx="20">
                  <c:v>T21</c:v>
                </c:pt>
                <c:pt idx="21">
                  <c:v>T22</c:v>
                </c:pt>
                <c:pt idx="22">
                  <c:v>T23</c:v>
                </c:pt>
                <c:pt idx="23">
                  <c:v>T24</c:v>
                </c:pt>
                <c:pt idx="24">
                  <c:v>T25</c:v>
                </c:pt>
                <c:pt idx="25">
                  <c:v>T26</c:v>
                </c:pt>
                <c:pt idx="26">
                  <c:v>T27</c:v>
                </c:pt>
                <c:pt idx="27">
                  <c:v>T28</c:v>
                </c:pt>
                <c:pt idx="28">
                  <c:v>T29</c:v>
                </c:pt>
                <c:pt idx="29">
                  <c:v>T30</c:v>
                </c:pt>
                <c:pt idx="30">
                  <c:v>T31</c:v>
                </c:pt>
                <c:pt idx="31">
                  <c:v>T32</c:v>
                </c:pt>
                <c:pt idx="32">
                  <c:v>T33</c:v>
                </c:pt>
              </c:strCache>
            </c:strRef>
          </c:cat>
          <c:val>
            <c:numRef>
              <c:f>Patologías_Generales!$AW$10:$AW$42</c:f>
              <c:numCache>
                <c:formatCode>0.00</c:formatCode>
                <c:ptCount val="33"/>
                <c:pt idx="0">
                  <c:v>212.16239999999999</c:v>
                </c:pt>
                <c:pt idx="1">
                  <c:v>270.30559999999997</c:v>
                </c:pt>
                <c:pt idx="2">
                  <c:v>646.29639999999995</c:v>
                </c:pt>
                <c:pt idx="3">
                  <c:v>118.937</c:v>
                </c:pt>
                <c:pt idx="4">
                  <c:v>180.69671458000002</c:v>
                </c:pt>
                <c:pt idx="5">
                  <c:v>119.43135000000001</c:v>
                </c:pt>
                <c:pt idx="6">
                  <c:v>61.992100000000008</c:v>
                </c:pt>
                <c:pt idx="7">
                  <c:v>68.233500000000006</c:v>
                </c:pt>
                <c:pt idx="8">
                  <c:v>142.37310000000002</c:v>
                </c:pt>
                <c:pt idx="9">
                  <c:v>192.71570000000003</c:v>
                </c:pt>
                <c:pt idx="10">
                  <c:v>292.20526000000001</c:v>
                </c:pt>
                <c:pt idx="11">
                  <c:v>92.860100000000017</c:v>
                </c:pt>
                <c:pt idx="12">
                  <c:v>38.339000000000006</c:v>
                </c:pt>
                <c:pt idx="13">
                  <c:v>62.963899999999995</c:v>
                </c:pt>
                <c:pt idx="14">
                  <c:v>93.318899999999999</c:v>
                </c:pt>
                <c:pt idx="15">
                  <c:v>129.8931</c:v>
                </c:pt>
                <c:pt idx="16">
                  <c:v>33.608399999999996</c:v>
                </c:pt>
                <c:pt idx="17">
                  <c:v>5.2410999999999994</c:v>
                </c:pt>
                <c:pt idx="18">
                  <c:v>55.030200000000008</c:v>
                </c:pt>
                <c:pt idx="19">
                  <c:v>28.3673</c:v>
                </c:pt>
                <c:pt idx="20">
                  <c:v>36.982199999999992</c:v>
                </c:pt>
                <c:pt idx="21">
                  <c:v>66.295099999999991</c:v>
                </c:pt>
                <c:pt idx="22">
                  <c:v>58.802700000000002</c:v>
                </c:pt>
                <c:pt idx="23">
                  <c:v>139.25800000000001</c:v>
                </c:pt>
                <c:pt idx="24">
                  <c:v>105.09970000000001</c:v>
                </c:pt>
                <c:pt idx="25">
                  <c:v>66.960099999999983</c:v>
                </c:pt>
                <c:pt idx="26">
                  <c:v>119.66975000000001</c:v>
                </c:pt>
                <c:pt idx="27">
                  <c:v>70.590500000000006</c:v>
                </c:pt>
                <c:pt idx="28">
                  <c:v>34.096299999999992</c:v>
                </c:pt>
                <c:pt idx="29">
                  <c:v>169.4083</c:v>
                </c:pt>
                <c:pt idx="30">
                  <c:v>200.73349999999996</c:v>
                </c:pt>
                <c:pt idx="31">
                  <c:v>36.280999999999999</c:v>
                </c:pt>
                <c:pt idx="32">
                  <c:v>4.7874999999999996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9BB-45DD-A4CF-2C9D649C13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414741072"/>
        <c:axId val="414744992"/>
      </c:barChart>
      <c:catAx>
        <c:axId val="41474107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cap="all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TRAMOS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0" i="0" u="none" strike="noStrike" kern="1200" cap="all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419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419"/>
          </a:p>
        </c:txPr>
        <c:crossAx val="414744992"/>
        <c:crosses val="autoZero"/>
        <c:auto val="1"/>
        <c:lblAlgn val="ctr"/>
        <c:lblOffset val="100"/>
        <c:noMultiLvlLbl val="1"/>
      </c:catAx>
      <c:valAx>
        <c:axId val="4147449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cap="all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ÁREA AFECTADA (m2)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cap="all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419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419"/>
          </a:p>
        </c:txPr>
        <c:crossAx val="4147410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es-419"/>
        </a:p>
      </c:txPr>
    </c:legend>
    <c:plotVisOnly val="1"/>
    <c:dispBlanksAs val="zero"/>
    <c:showDLblsOverMax val="1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419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ÁREA AFECTADA POR SEVERIDAD Y POR DAÑO VS TIPO DE PATOLOGÍA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419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Pt>
            <c:idx val="0"/>
            <c:invertIfNegative val="0"/>
            <c:bubble3D val="0"/>
            <c:spPr>
              <a:solidFill>
                <a:srgbClr val="FFC000"/>
              </a:solidFill>
              <a:ln>
                <a:solidFill>
                  <a:srgbClr val="FFC000"/>
                </a:solidFill>
              </a:ln>
              <a:effectLst/>
              <a:sp3d>
                <a:contourClr>
                  <a:srgbClr val="FFC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5CD4-423A-8F6D-A66BB0E72222}"/>
              </c:ext>
            </c:extLst>
          </c:dPt>
          <c:dPt>
            <c:idx val="1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10-5CD4-423A-8F6D-A66BB0E72222}"/>
              </c:ext>
            </c:extLst>
          </c:dPt>
          <c:dPt>
            <c:idx val="2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29-5CD4-423A-8F6D-A66BB0E72222}"/>
              </c:ext>
            </c:extLst>
          </c:dPt>
          <c:dPt>
            <c:idx val="3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3-5CD4-423A-8F6D-A66BB0E72222}"/>
              </c:ext>
            </c:extLst>
          </c:dPt>
          <c:dPt>
            <c:idx val="4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11-5CD4-423A-8F6D-A66BB0E72222}"/>
              </c:ext>
            </c:extLst>
          </c:dPt>
          <c:dPt>
            <c:idx val="5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28-5CD4-423A-8F6D-A66BB0E72222}"/>
              </c:ext>
            </c:extLst>
          </c:dPt>
          <c:dPt>
            <c:idx val="6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4-5CD4-423A-8F6D-A66BB0E72222}"/>
              </c:ext>
            </c:extLst>
          </c:dPt>
          <c:dPt>
            <c:idx val="7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12-5CD4-423A-8F6D-A66BB0E72222}"/>
              </c:ext>
            </c:extLst>
          </c:dPt>
          <c:dPt>
            <c:idx val="8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27-5CD4-423A-8F6D-A66BB0E72222}"/>
              </c:ext>
            </c:extLst>
          </c:dPt>
          <c:dPt>
            <c:idx val="9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5-5CD4-423A-8F6D-A66BB0E72222}"/>
              </c:ext>
            </c:extLst>
          </c:dPt>
          <c:dPt>
            <c:idx val="10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13-5CD4-423A-8F6D-A66BB0E72222}"/>
              </c:ext>
            </c:extLst>
          </c:dPt>
          <c:dPt>
            <c:idx val="12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6-5CD4-423A-8F6D-A66BB0E72222}"/>
              </c:ext>
            </c:extLst>
          </c:dPt>
          <c:dPt>
            <c:idx val="13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14-5CD4-423A-8F6D-A66BB0E72222}"/>
              </c:ext>
            </c:extLst>
          </c:dPt>
          <c:dPt>
            <c:idx val="14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26-5CD4-423A-8F6D-A66BB0E72222}"/>
              </c:ext>
            </c:extLst>
          </c:dPt>
          <c:dPt>
            <c:idx val="15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7-5CD4-423A-8F6D-A66BB0E72222}"/>
              </c:ext>
            </c:extLst>
          </c:dPt>
          <c:dPt>
            <c:idx val="16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15-5CD4-423A-8F6D-A66BB0E72222}"/>
              </c:ext>
            </c:extLst>
          </c:dPt>
          <c:dPt>
            <c:idx val="17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25-5CD4-423A-8F6D-A66BB0E72222}"/>
              </c:ext>
            </c:extLst>
          </c:dPt>
          <c:dPt>
            <c:idx val="18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8-5CD4-423A-8F6D-A66BB0E72222}"/>
              </c:ext>
            </c:extLst>
          </c:dPt>
          <c:dPt>
            <c:idx val="19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16-5CD4-423A-8F6D-A66BB0E72222}"/>
              </c:ext>
            </c:extLst>
          </c:dPt>
          <c:dPt>
            <c:idx val="20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24-5CD4-423A-8F6D-A66BB0E72222}"/>
              </c:ext>
            </c:extLst>
          </c:dPt>
          <c:dPt>
            <c:idx val="21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9-5CD4-423A-8F6D-A66BB0E72222}"/>
              </c:ext>
            </c:extLst>
          </c:dPt>
          <c:dPt>
            <c:idx val="22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17-5CD4-423A-8F6D-A66BB0E72222}"/>
              </c:ext>
            </c:extLst>
          </c:dPt>
          <c:dPt>
            <c:idx val="23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23-5CD4-423A-8F6D-A66BB0E72222}"/>
              </c:ext>
            </c:extLst>
          </c:dPt>
          <c:dPt>
            <c:idx val="24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A-5CD4-423A-8F6D-A66BB0E72222}"/>
              </c:ext>
            </c:extLst>
          </c:dPt>
          <c:dPt>
            <c:idx val="25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18-5CD4-423A-8F6D-A66BB0E72222}"/>
              </c:ext>
            </c:extLst>
          </c:dPt>
          <c:dPt>
            <c:idx val="26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22-5CD4-423A-8F6D-A66BB0E72222}"/>
              </c:ext>
            </c:extLst>
          </c:dPt>
          <c:dPt>
            <c:idx val="27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B-5CD4-423A-8F6D-A66BB0E72222}"/>
              </c:ext>
            </c:extLst>
          </c:dPt>
          <c:dPt>
            <c:idx val="28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19-5CD4-423A-8F6D-A66BB0E72222}"/>
              </c:ext>
            </c:extLst>
          </c:dPt>
          <c:dPt>
            <c:idx val="29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21-5CD4-423A-8F6D-A66BB0E72222}"/>
              </c:ext>
            </c:extLst>
          </c:dPt>
          <c:dPt>
            <c:idx val="30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C-5CD4-423A-8F6D-A66BB0E72222}"/>
              </c:ext>
            </c:extLst>
          </c:dPt>
          <c:dPt>
            <c:idx val="31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1A-5CD4-423A-8F6D-A66BB0E72222}"/>
              </c:ext>
            </c:extLst>
          </c:dPt>
          <c:dPt>
            <c:idx val="32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20-5CD4-423A-8F6D-A66BB0E72222}"/>
              </c:ext>
            </c:extLst>
          </c:dPt>
          <c:dPt>
            <c:idx val="33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D-5CD4-423A-8F6D-A66BB0E72222}"/>
              </c:ext>
            </c:extLst>
          </c:dPt>
          <c:dPt>
            <c:idx val="34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1B-5CD4-423A-8F6D-A66BB0E72222}"/>
              </c:ext>
            </c:extLst>
          </c:dPt>
          <c:dPt>
            <c:idx val="35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1F-5CD4-423A-8F6D-A66BB0E72222}"/>
              </c:ext>
            </c:extLst>
          </c:dPt>
          <c:dPt>
            <c:idx val="36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E-5CD4-423A-8F6D-A66BB0E72222}"/>
              </c:ext>
            </c:extLst>
          </c:dPt>
          <c:dPt>
            <c:idx val="37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1C-5CD4-423A-8F6D-A66BB0E72222}"/>
              </c:ext>
            </c:extLst>
          </c:dPt>
          <c:dPt>
            <c:idx val="39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F-5CD4-423A-8F6D-A66BB0E72222}"/>
              </c:ext>
            </c:extLst>
          </c:dPt>
          <c:dPt>
            <c:idx val="40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1D-5CD4-423A-8F6D-A66BB0E72222}"/>
              </c:ext>
            </c:extLst>
          </c:dPt>
          <c:dPt>
            <c:idx val="41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1E-5CD4-423A-8F6D-A66BB0E72222}"/>
              </c:ext>
            </c:extLst>
          </c:dPt>
          <c:cat>
            <c:multiLvlStrRef>
              <c:f>Patologías_Generales!$G$8:$AV$9</c:f>
              <c:multiLvlStrCache>
                <c:ptCount val="42"/>
                <c:lvl>
                  <c:pt idx="0">
                    <c:v>B</c:v>
                  </c:pt>
                  <c:pt idx="1">
                    <c:v>M</c:v>
                  </c:pt>
                  <c:pt idx="2">
                    <c:v>A</c:v>
                  </c:pt>
                  <c:pt idx="3">
                    <c:v>B</c:v>
                  </c:pt>
                  <c:pt idx="4">
                    <c:v>M</c:v>
                  </c:pt>
                  <c:pt idx="5">
                    <c:v>A</c:v>
                  </c:pt>
                  <c:pt idx="6">
                    <c:v>B</c:v>
                  </c:pt>
                  <c:pt idx="7">
                    <c:v>M</c:v>
                  </c:pt>
                  <c:pt idx="8">
                    <c:v>A</c:v>
                  </c:pt>
                  <c:pt idx="9">
                    <c:v>B</c:v>
                  </c:pt>
                  <c:pt idx="10">
                    <c:v>M</c:v>
                  </c:pt>
                  <c:pt idx="11">
                    <c:v>A</c:v>
                  </c:pt>
                  <c:pt idx="12">
                    <c:v>B</c:v>
                  </c:pt>
                  <c:pt idx="13">
                    <c:v>M</c:v>
                  </c:pt>
                  <c:pt idx="14">
                    <c:v>A</c:v>
                  </c:pt>
                  <c:pt idx="15">
                    <c:v>B</c:v>
                  </c:pt>
                  <c:pt idx="16">
                    <c:v>M</c:v>
                  </c:pt>
                  <c:pt idx="17">
                    <c:v>A</c:v>
                  </c:pt>
                  <c:pt idx="18">
                    <c:v>B</c:v>
                  </c:pt>
                  <c:pt idx="19">
                    <c:v>M</c:v>
                  </c:pt>
                  <c:pt idx="20">
                    <c:v>A</c:v>
                  </c:pt>
                  <c:pt idx="21">
                    <c:v>B</c:v>
                  </c:pt>
                  <c:pt idx="22">
                    <c:v>M</c:v>
                  </c:pt>
                  <c:pt idx="23">
                    <c:v>A</c:v>
                  </c:pt>
                  <c:pt idx="24">
                    <c:v>B</c:v>
                  </c:pt>
                  <c:pt idx="25">
                    <c:v>M</c:v>
                  </c:pt>
                  <c:pt idx="26">
                    <c:v>A</c:v>
                  </c:pt>
                  <c:pt idx="27">
                    <c:v>B</c:v>
                  </c:pt>
                  <c:pt idx="28">
                    <c:v>M</c:v>
                  </c:pt>
                  <c:pt idx="29">
                    <c:v>A</c:v>
                  </c:pt>
                  <c:pt idx="30">
                    <c:v>B</c:v>
                  </c:pt>
                  <c:pt idx="31">
                    <c:v>M</c:v>
                  </c:pt>
                  <c:pt idx="32">
                    <c:v>A</c:v>
                  </c:pt>
                  <c:pt idx="33">
                    <c:v>B</c:v>
                  </c:pt>
                  <c:pt idx="34">
                    <c:v>M</c:v>
                  </c:pt>
                  <c:pt idx="35">
                    <c:v>A</c:v>
                  </c:pt>
                  <c:pt idx="36">
                    <c:v>AB</c:v>
                  </c:pt>
                  <c:pt idx="37">
                    <c:v>M</c:v>
                  </c:pt>
                  <c:pt idx="38">
                    <c:v>A</c:v>
                  </c:pt>
                  <c:pt idx="39">
                    <c:v>B</c:v>
                  </c:pt>
                  <c:pt idx="40">
                    <c:v>M</c:v>
                  </c:pt>
                  <c:pt idx="41">
                    <c:v>A</c:v>
                  </c:pt>
                </c:lvl>
                <c:lvl>
                  <c:pt idx="0">
                    <c:v>FL</c:v>
                  </c:pt>
                  <c:pt idx="3">
                    <c:v>FT</c:v>
                  </c:pt>
                  <c:pt idx="6">
                    <c:v>FB</c:v>
                  </c:pt>
                  <c:pt idx="9">
                    <c:v>FBD</c:v>
                  </c:pt>
                  <c:pt idx="12">
                    <c:v>PC</c:v>
                  </c:pt>
                  <c:pt idx="15">
                    <c:v>DC</c:v>
                  </c:pt>
                  <c:pt idx="18">
                    <c:v>AHU</c:v>
                  </c:pt>
                  <c:pt idx="21">
                    <c:v>HUN</c:v>
                  </c:pt>
                  <c:pt idx="24">
                    <c:v>BCH</c:v>
                  </c:pt>
                  <c:pt idx="27">
                    <c:v>PCH</c:v>
                  </c:pt>
                  <c:pt idx="30">
                    <c:v>FML</c:v>
                  </c:pt>
                  <c:pt idx="33">
                    <c:v>SB</c:v>
                  </c:pt>
                  <c:pt idx="36">
                    <c:v>AB</c:v>
                  </c:pt>
                  <c:pt idx="39">
                    <c:v>FCL-FCT</c:v>
                  </c:pt>
                </c:lvl>
              </c:multiLvlStrCache>
            </c:multiLvlStrRef>
          </c:cat>
          <c:val>
            <c:numRef>
              <c:f>Patologías_Generales!$G$45:$AV$45</c:f>
              <c:numCache>
                <c:formatCode>0.00</c:formatCode>
                <c:ptCount val="42"/>
                <c:pt idx="0">
                  <c:v>109.16839999999999</c:v>
                </c:pt>
                <c:pt idx="1">
                  <c:v>63.288599999999995</c:v>
                </c:pt>
                <c:pt idx="2">
                  <c:v>33.198</c:v>
                </c:pt>
                <c:pt idx="3">
                  <c:v>44.388499999999986</c:v>
                </c:pt>
                <c:pt idx="4">
                  <c:v>31.512</c:v>
                </c:pt>
                <c:pt idx="5">
                  <c:v>21.587999999999997</c:v>
                </c:pt>
                <c:pt idx="6">
                  <c:v>230.13810000000001</c:v>
                </c:pt>
                <c:pt idx="7">
                  <c:v>771.31056457999989</c:v>
                </c:pt>
                <c:pt idx="8">
                  <c:v>422.82939999999991</c:v>
                </c:pt>
                <c:pt idx="9">
                  <c:v>0.95399999999999996</c:v>
                </c:pt>
                <c:pt idx="10">
                  <c:v>2.13</c:v>
                </c:pt>
                <c:pt idx="11">
                  <c:v>0</c:v>
                </c:pt>
                <c:pt idx="12">
                  <c:v>29.968299999999999</c:v>
                </c:pt>
                <c:pt idx="13">
                  <c:v>131.8502</c:v>
                </c:pt>
                <c:pt idx="14">
                  <c:v>744.72549999999978</c:v>
                </c:pt>
                <c:pt idx="15">
                  <c:v>8.5679999999999996</c:v>
                </c:pt>
                <c:pt idx="16">
                  <c:v>38.387</c:v>
                </c:pt>
                <c:pt idx="17">
                  <c:v>18.2744</c:v>
                </c:pt>
                <c:pt idx="18">
                  <c:v>1.4280000000000002</c:v>
                </c:pt>
                <c:pt idx="19">
                  <c:v>0.432</c:v>
                </c:pt>
                <c:pt idx="20">
                  <c:v>0</c:v>
                </c:pt>
                <c:pt idx="21">
                  <c:v>24.818300000000001</c:v>
                </c:pt>
                <c:pt idx="22">
                  <c:v>9.8097999999999992</c:v>
                </c:pt>
                <c:pt idx="23">
                  <c:v>88.007000000000005</c:v>
                </c:pt>
                <c:pt idx="24">
                  <c:v>1.5686</c:v>
                </c:pt>
                <c:pt idx="25">
                  <c:v>0.5232</c:v>
                </c:pt>
                <c:pt idx="26">
                  <c:v>9.7120499999999996</c:v>
                </c:pt>
                <c:pt idx="27">
                  <c:v>432.78336000000007</c:v>
                </c:pt>
                <c:pt idx="28">
                  <c:v>241.51840000000001</c:v>
                </c:pt>
                <c:pt idx="29">
                  <c:v>306.1354</c:v>
                </c:pt>
                <c:pt idx="30">
                  <c:v>7.5006999999999993</c:v>
                </c:pt>
                <c:pt idx="31">
                  <c:v>20.9602</c:v>
                </c:pt>
                <c:pt idx="32">
                  <c:v>1.5478000000000001</c:v>
                </c:pt>
                <c:pt idx="33">
                  <c:v>0</c:v>
                </c:pt>
                <c:pt idx="34">
                  <c:v>0</c:v>
                </c:pt>
                <c:pt idx="35">
                  <c:v>22.908000000000001</c:v>
                </c:pt>
                <c:pt idx="36">
                  <c:v>0</c:v>
                </c:pt>
                <c:pt idx="37">
                  <c:v>20.408000000000001</c:v>
                </c:pt>
                <c:pt idx="38">
                  <c:v>0</c:v>
                </c:pt>
                <c:pt idx="39">
                  <c:v>23.532000000000004</c:v>
                </c:pt>
                <c:pt idx="40">
                  <c:v>8.363999999999999</c:v>
                </c:pt>
                <c:pt idx="41">
                  <c:v>29.700000000000003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CD4-423A-8F6D-A66BB0E722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685004703"/>
        <c:axId val="1685007199"/>
        <c:axId val="0"/>
      </c:bar3DChart>
      <c:catAx>
        <c:axId val="1685004703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TIPOS DE PATOLOGÍA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419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419"/>
          </a:p>
        </c:txPr>
        <c:crossAx val="1685007199"/>
        <c:crosses val="autoZero"/>
        <c:auto val="1"/>
        <c:lblAlgn val="ctr"/>
        <c:lblOffset val="100"/>
        <c:noMultiLvlLbl val="0"/>
      </c:catAx>
      <c:valAx>
        <c:axId val="168500719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ÁREA TOTAL</a:t>
                </a:r>
                <a:r>
                  <a:rPr lang="es-CO" baseline="0"/>
                  <a:t> AFECTADA POR SEVERIDAD Y POR DAÑO (m2)</a:t>
                </a:r>
                <a:endParaRPr lang="es-CO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419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419"/>
          </a:p>
        </c:txPr>
        <c:crossAx val="168500470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419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PESO DEL DAÑO DENTRO DEL ÁREA INSPECCIONADA VS TIPO DE PATOLOGÍA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419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2B32-44E3-935D-2F7F4269FB30}"/>
              </c:ext>
            </c:extLst>
          </c:dPt>
          <c:dPt>
            <c:idx val="3"/>
            <c:invertIfNegative val="0"/>
            <c:bubble3D val="0"/>
            <c:spPr>
              <a:solidFill>
                <a:srgbClr val="00B0F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2B32-44E3-935D-2F7F4269FB30}"/>
              </c:ext>
            </c:extLst>
          </c:dPt>
          <c:dPt>
            <c:idx val="6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2B32-44E3-935D-2F7F4269FB30}"/>
              </c:ext>
            </c:extLst>
          </c:dPt>
          <c:dPt>
            <c:idx val="12"/>
            <c:invertIfNegative val="0"/>
            <c:bubble3D val="0"/>
            <c:spPr>
              <a:solidFill>
                <a:srgbClr val="7030A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2B32-44E3-935D-2F7F4269FB30}"/>
              </c:ext>
            </c:extLst>
          </c:dPt>
          <c:dPt>
            <c:idx val="15"/>
            <c:invertIfNegative val="0"/>
            <c:bubble3D val="0"/>
            <c:spPr>
              <a:solidFill>
                <a:schemeClr val="bg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2B32-44E3-935D-2F7F4269FB30}"/>
              </c:ext>
            </c:extLst>
          </c:dPt>
          <c:dPt>
            <c:idx val="21"/>
            <c:invertIfNegative val="0"/>
            <c:bubble3D val="0"/>
            <c:spPr>
              <a:solidFill>
                <a:schemeClr val="accent5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6-2B32-44E3-935D-2F7F4269FB30}"/>
              </c:ext>
            </c:extLst>
          </c:dPt>
          <c:dPt>
            <c:idx val="24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2B32-44E3-935D-2F7F4269FB30}"/>
              </c:ext>
            </c:extLst>
          </c:dPt>
          <c:dPt>
            <c:idx val="27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8-2B32-44E3-935D-2F7F4269FB30}"/>
              </c:ext>
            </c:extLst>
          </c:dPt>
          <c:dPt>
            <c:idx val="30"/>
            <c:invertIfNegative val="0"/>
            <c:bubble3D val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2B32-44E3-935D-2F7F4269FB30}"/>
              </c:ext>
            </c:extLst>
          </c:dPt>
          <c:dPt>
            <c:idx val="33"/>
            <c:invertIfNegative val="0"/>
            <c:bubble3D val="0"/>
            <c:spPr>
              <a:solidFill>
                <a:srgbClr val="DC709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A-2B32-44E3-935D-2F7F4269FB30}"/>
              </c:ext>
            </c:extLst>
          </c:dPt>
          <c:dPt>
            <c:idx val="36"/>
            <c:invertIfNegative val="0"/>
            <c:bubble3D val="0"/>
            <c:spPr>
              <a:solidFill>
                <a:srgbClr val="FFCC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2B32-44E3-935D-2F7F4269FB30}"/>
              </c:ext>
            </c:extLst>
          </c:dPt>
          <c:dPt>
            <c:idx val="39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C-2B32-44E3-935D-2F7F4269FB3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419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Patologías_Generales!$G$8:$AV$8</c:f>
              <c:strCache>
                <c:ptCount val="40"/>
                <c:pt idx="0">
                  <c:v>FL</c:v>
                </c:pt>
                <c:pt idx="3">
                  <c:v>FT</c:v>
                </c:pt>
                <c:pt idx="6">
                  <c:v>FB</c:v>
                </c:pt>
                <c:pt idx="9">
                  <c:v>FBD</c:v>
                </c:pt>
                <c:pt idx="12">
                  <c:v>PC</c:v>
                </c:pt>
                <c:pt idx="15">
                  <c:v>DC</c:v>
                </c:pt>
                <c:pt idx="18">
                  <c:v>AHU</c:v>
                </c:pt>
                <c:pt idx="21">
                  <c:v>HUN</c:v>
                </c:pt>
                <c:pt idx="24">
                  <c:v>BCH</c:v>
                </c:pt>
                <c:pt idx="27">
                  <c:v>PCH</c:v>
                </c:pt>
                <c:pt idx="30">
                  <c:v>FML</c:v>
                </c:pt>
                <c:pt idx="33">
                  <c:v>SB</c:v>
                </c:pt>
                <c:pt idx="36">
                  <c:v>AB</c:v>
                </c:pt>
                <c:pt idx="39">
                  <c:v>FCL-FCT</c:v>
                </c:pt>
              </c:strCache>
            </c:strRef>
          </c:cat>
          <c:val>
            <c:numRef>
              <c:f>Patologías_Generales!$G$48:$AV$48</c:f>
              <c:numCache>
                <c:formatCode>General</c:formatCode>
                <c:ptCount val="42"/>
                <c:pt idx="0" formatCode="0.000">
                  <c:v>1.0004626388707134</c:v>
                </c:pt>
                <c:pt idx="3" formatCode="0.000">
                  <c:v>0.47425835486395929</c:v>
                </c:pt>
                <c:pt idx="6" formatCode="0.000">
                  <c:v>6.9287738736008322</c:v>
                </c:pt>
                <c:pt idx="9" formatCode="0.000">
                  <c:v>1.5002926154371547E-2</c:v>
                </c:pt>
                <c:pt idx="12" formatCode="0.000">
                  <c:v>4.4101208455540188</c:v>
                </c:pt>
                <c:pt idx="15" formatCode="0.000">
                  <c:v>0.31732550949869109</c:v>
                </c:pt>
                <c:pt idx="18" formatCode="0.000">
                  <c:v>9.0484574082785613E-3</c:v>
                </c:pt>
                <c:pt idx="21" formatCode="0.000">
                  <c:v>0.596590580166657</c:v>
                </c:pt>
                <c:pt idx="24" formatCode="0.000">
                  <c:v>5.742292149392951E-2</c:v>
                </c:pt>
                <c:pt idx="27" formatCode="0.000">
                  <c:v>4.7695934858890281</c:v>
                </c:pt>
                <c:pt idx="30" formatCode="0.000">
                  <c:v>0.14598518485366063</c:v>
                </c:pt>
                <c:pt idx="33" formatCode="0.000">
                  <c:v>0.11144196898325014</c:v>
                </c:pt>
                <c:pt idx="36" formatCode="0.000">
                  <c:v>9.9280063864596146E-2</c:v>
                </c:pt>
                <c:pt idx="39" formatCode="0.000">
                  <c:v>0.29964988307544421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B32-44E3-935D-2F7F4269FB30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541576495"/>
        <c:axId val="1541583983"/>
      </c:barChart>
      <c:catAx>
        <c:axId val="1541576495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TIPOS</a:t>
                </a:r>
                <a:r>
                  <a:rPr lang="es-CO" baseline="0"/>
                  <a:t> DE PATOLOGÍA</a:t>
                </a:r>
                <a:endParaRPr lang="es-CO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419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419"/>
          </a:p>
        </c:txPr>
        <c:crossAx val="1541583983"/>
        <c:crosses val="autoZero"/>
        <c:auto val="1"/>
        <c:lblAlgn val="ctr"/>
        <c:lblOffset val="100"/>
        <c:noMultiLvlLbl val="0"/>
      </c:catAx>
      <c:valAx>
        <c:axId val="154158398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PESO DEL DAÑO</a:t>
                </a:r>
                <a:r>
                  <a:rPr lang="es-CO" baseline="0"/>
                  <a:t> DENTRO DEL ÁREA INSPECCIONADA (%)</a:t>
                </a:r>
                <a:endParaRPr lang="es-CO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419"/>
            </a:p>
          </c:txPr>
        </c:title>
        <c:numFmt formatCode="0.0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419"/>
          </a:p>
        </c:txPr>
        <c:crossAx val="154157649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419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cap="none" spc="2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ÁREA TOTAL POR SEVERIDAD Y POR DAÑO VS TIPO DE PATOLOGÍA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cap="none" spc="2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es-419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lumMod val="110000"/>
                    <a:satMod val="105000"/>
                    <a:tint val="67000"/>
                  </a:schemeClr>
                </a:gs>
                <a:gs pos="50000">
                  <a:schemeClr val="accent1">
                    <a:lumMod val="105000"/>
                    <a:satMod val="103000"/>
                    <a:tint val="73000"/>
                  </a:schemeClr>
                </a:gs>
                <a:gs pos="100000">
                  <a:schemeClr val="accent1"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bg1"/>
              </a:solidFill>
              <a:round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FFFF00"/>
              </a:solidFill>
              <a:ln w="9525" cap="flat" cmpd="sng" algn="ctr">
                <a:solidFill>
                  <a:schemeClr val="bg1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052-4345-A3D4-9CDA7EAC236E}"/>
              </c:ext>
            </c:extLst>
          </c:dPt>
          <c:dPt>
            <c:idx val="2"/>
            <c:invertIfNegative val="0"/>
            <c:bubble3D val="0"/>
            <c:spPr>
              <a:solidFill>
                <a:srgbClr val="92D050"/>
              </a:solidFill>
              <a:ln w="9525" cap="flat" cmpd="sng" algn="ctr">
                <a:solidFill>
                  <a:schemeClr val="bg1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052-4345-A3D4-9CDA7EAC236E}"/>
              </c:ext>
            </c:extLst>
          </c:dPt>
          <c:dPt>
            <c:idx val="4"/>
            <c:invertIfNegative val="0"/>
            <c:bubble3D val="0"/>
            <c:spPr>
              <a:solidFill>
                <a:srgbClr val="FFFF00"/>
              </a:solidFill>
              <a:ln w="9525" cap="flat" cmpd="sng" algn="ctr">
                <a:solidFill>
                  <a:schemeClr val="bg1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2-D052-4345-A3D4-9CDA7EAC236E}"/>
              </c:ext>
            </c:extLst>
          </c:dPt>
          <c:dPt>
            <c:idx val="8"/>
            <c:invertIfNegative val="0"/>
            <c:bubble3D val="0"/>
            <c:spPr>
              <a:solidFill>
                <a:srgbClr val="92D050"/>
              </a:solidFill>
              <a:ln w="9525" cap="flat" cmpd="sng" algn="ctr">
                <a:solidFill>
                  <a:schemeClr val="bg1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6-D052-4345-A3D4-9CDA7EAC236E}"/>
              </c:ext>
            </c:extLst>
          </c:dPt>
          <c:dPt>
            <c:idx val="10"/>
            <c:invertIfNegative val="0"/>
            <c:bubble3D val="0"/>
            <c:spPr>
              <a:solidFill>
                <a:srgbClr val="FFFF00"/>
              </a:solidFill>
              <a:ln w="9525" cap="flat" cmpd="sng" algn="ctr">
                <a:solidFill>
                  <a:schemeClr val="bg1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3-D052-4345-A3D4-9CDA7EAC236E}"/>
              </c:ext>
            </c:extLst>
          </c:dPt>
          <c:dPt>
            <c:idx val="11"/>
            <c:invertIfNegative val="0"/>
            <c:bubble3D val="0"/>
            <c:spPr>
              <a:solidFill>
                <a:srgbClr val="92D050"/>
              </a:solidFill>
              <a:ln w="9525" cap="flat" cmpd="sng" algn="ctr">
                <a:solidFill>
                  <a:schemeClr val="bg1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5-D052-4345-A3D4-9CDA7EAC236E}"/>
              </c:ext>
            </c:extLst>
          </c:dPt>
          <c:dPt>
            <c:idx val="13"/>
            <c:invertIfNegative val="0"/>
            <c:bubble3D val="0"/>
            <c:spPr>
              <a:solidFill>
                <a:srgbClr val="FFFF00"/>
              </a:solidFill>
              <a:ln w="9525" cap="flat" cmpd="sng" algn="ctr">
                <a:solidFill>
                  <a:schemeClr val="bg1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052-4345-A3D4-9CDA7EAC236E}"/>
              </c:ext>
            </c:extLst>
          </c:dPt>
          <c:cat>
            <c:multiLvlStrRef>
              <c:f>Patologías_Superficiales!$G$8:$U$9</c:f>
              <c:multiLvlStrCache>
                <c:ptCount val="15"/>
                <c:lvl>
                  <c:pt idx="0">
                    <c:v>B</c:v>
                  </c:pt>
                  <c:pt idx="1">
                    <c:v>M</c:v>
                  </c:pt>
                  <c:pt idx="2">
                    <c:v>A</c:v>
                  </c:pt>
                  <c:pt idx="3">
                    <c:v>B</c:v>
                  </c:pt>
                  <c:pt idx="4">
                    <c:v>M</c:v>
                  </c:pt>
                  <c:pt idx="5">
                    <c:v>A</c:v>
                  </c:pt>
                  <c:pt idx="6">
                    <c:v>B</c:v>
                  </c:pt>
                  <c:pt idx="7">
                    <c:v>M</c:v>
                  </c:pt>
                  <c:pt idx="8">
                    <c:v>A</c:v>
                  </c:pt>
                  <c:pt idx="9">
                    <c:v>B</c:v>
                  </c:pt>
                  <c:pt idx="10">
                    <c:v>M</c:v>
                  </c:pt>
                  <c:pt idx="11">
                    <c:v>A</c:v>
                  </c:pt>
                  <c:pt idx="12">
                    <c:v>B</c:v>
                  </c:pt>
                  <c:pt idx="13">
                    <c:v>M</c:v>
                  </c:pt>
                  <c:pt idx="14">
                    <c:v>A</c:v>
                  </c:pt>
                </c:lvl>
                <c:lvl>
                  <c:pt idx="0">
                    <c:v>PA</c:v>
                  </c:pt>
                  <c:pt idx="3">
                    <c:v>DSU</c:v>
                  </c:pt>
                  <c:pt idx="6">
                    <c:v>SU</c:v>
                  </c:pt>
                  <c:pt idx="9">
                    <c:v>PU</c:v>
                  </c:pt>
                  <c:pt idx="12">
                    <c:v>CD</c:v>
                  </c:pt>
                </c:lvl>
              </c:multiLvlStrCache>
            </c:multiLvlStrRef>
          </c:cat>
          <c:val>
            <c:numRef>
              <c:f>Patologías_Superficiales!$G$45:$U$45</c:f>
              <c:numCache>
                <c:formatCode>General</c:formatCode>
                <c:ptCount val="15"/>
                <c:pt idx="0">
                  <c:v>0</c:v>
                </c:pt>
                <c:pt idx="1">
                  <c:v>30</c:v>
                </c:pt>
                <c:pt idx="2">
                  <c:v>14.04</c:v>
                </c:pt>
                <c:pt idx="3">
                  <c:v>0</c:v>
                </c:pt>
                <c:pt idx="4">
                  <c:v>0</c:v>
                </c:pt>
                <c:pt idx="5">
                  <c:v>2.0299999999999998</c:v>
                </c:pt>
                <c:pt idx="6">
                  <c:v>0</c:v>
                </c:pt>
                <c:pt idx="7">
                  <c:v>0</c:v>
                </c:pt>
                <c:pt idx="8">
                  <c:v>7.9560000000000004</c:v>
                </c:pt>
                <c:pt idx="9">
                  <c:v>0</c:v>
                </c:pt>
                <c:pt idx="10">
                  <c:v>15.9964</c:v>
                </c:pt>
                <c:pt idx="11">
                  <c:v>10.4</c:v>
                </c:pt>
                <c:pt idx="12">
                  <c:v>0</c:v>
                </c:pt>
                <c:pt idx="13">
                  <c:v>8.8079999999999998</c:v>
                </c:pt>
                <c:pt idx="1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052-4345-A3D4-9CDA7EAC23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1458088831"/>
        <c:axId val="1458089663"/>
      </c:barChart>
      <c:catAx>
        <c:axId val="1458088831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cap="all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tipo</a:t>
                </a:r>
                <a:r>
                  <a:rPr lang="es-CO" baseline="0"/>
                  <a:t> de patología</a:t>
                </a:r>
                <a:endParaRPr lang="es-CO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0" i="0" u="none" strike="noStrike" kern="1200" cap="all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419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419"/>
          </a:p>
        </c:txPr>
        <c:crossAx val="1458089663"/>
        <c:crosses val="autoZero"/>
        <c:auto val="1"/>
        <c:lblAlgn val="ctr"/>
        <c:lblOffset val="100"/>
        <c:noMultiLvlLbl val="0"/>
      </c:catAx>
      <c:valAx>
        <c:axId val="145808966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cap="all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ÁREA TOTAL AFECTADA POR SEVERIDAD Y POR DAÑO (m2)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cap="all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419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419"/>
          </a:p>
        </c:txPr>
        <c:crossAx val="145808883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419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PESO DEL DAÑO VS TIPO DE PATOLOGÍA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419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bg1"/>
              </a:solidFill>
              <a:ln>
                <a:solidFill>
                  <a:schemeClr val="bg1">
                    <a:lumMod val="75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6F79-459E-A011-EDFA9F4DE69E}"/>
              </c:ext>
            </c:extLst>
          </c:dPt>
          <c:dPt>
            <c:idx val="3"/>
            <c:invertIfNegative val="0"/>
            <c:bubble3D val="0"/>
            <c:spPr>
              <a:solidFill>
                <a:srgbClr val="DC709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6F79-459E-A011-EDFA9F4DE69E}"/>
              </c:ext>
            </c:extLst>
          </c:dPt>
          <c:dPt>
            <c:idx val="6"/>
            <c:invertIfNegative val="0"/>
            <c:bubble3D val="0"/>
            <c:spPr>
              <a:solidFill>
                <a:srgbClr val="FFCC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6F79-459E-A011-EDFA9F4DE69E}"/>
              </c:ext>
            </c:extLst>
          </c:dPt>
          <c:dPt>
            <c:idx val="9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6F79-459E-A011-EDFA9F4DE69E}"/>
              </c:ext>
            </c:extLst>
          </c:dPt>
          <c:dPt>
            <c:idx val="12"/>
            <c:invertIfNegative val="0"/>
            <c:bubble3D val="0"/>
            <c:spPr>
              <a:solidFill>
                <a:schemeClr val="bg1"/>
              </a:solidFill>
              <a:ln>
                <a:solidFill>
                  <a:schemeClr val="bg1">
                    <a:lumMod val="75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6F79-459E-A011-EDFA9F4DE69E}"/>
              </c:ext>
            </c:extLst>
          </c:dPt>
          <c:cat>
            <c:strRef>
              <c:f>Patologías_Superficiales!$G$8:$U$8</c:f>
              <c:strCache>
                <c:ptCount val="13"/>
                <c:pt idx="0">
                  <c:v>PA</c:v>
                </c:pt>
                <c:pt idx="3">
                  <c:v>DSU</c:v>
                </c:pt>
                <c:pt idx="6">
                  <c:v>SU</c:v>
                </c:pt>
                <c:pt idx="9">
                  <c:v>PU</c:v>
                </c:pt>
                <c:pt idx="12">
                  <c:v>CD</c:v>
                </c:pt>
              </c:strCache>
            </c:strRef>
          </c:cat>
          <c:val>
            <c:numRef>
              <c:f>Patologías_Superficiales!$G$48:$U$48</c:f>
              <c:numCache>
                <c:formatCode>General</c:formatCode>
                <c:ptCount val="15"/>
                <c:pt idx="0" formatCode="0.000">
                  <c:v>0.21424412057020847</c:v>
                </c:pt>
                <c:pt idx="3" formatCode="0.000">
                  <c:v>9.8754669563470288E-3</c:v>
                </c:pt>
                <c:pt idx="6" formatCode="0.000">
                  <c:v>3.870404684960442E-2</c:v>
                </c:pt>
                <c:pt idx="9" formatCode="0.000">
                  <c:v>0.12841220490961514</c:v>
                </c:pt>
                <c:pt idx="12" formatCode="0.000">
                  <c:v>4.2848824114041693E-2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F79-459E-A011-EDFA9F4DE6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36578943"/>
        <c:axId val="1536582271"/>
      </c:barChart>
      <c:catAx>
        <c:axId val="1536578943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TIPO DE PATOLOGÍA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419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419"/>
          </a:p>
        </c:txPr>
        <c:crossAx val="1536582271"/>
        <c:crosses val="autoZero"/>
        <c:auto val="1"/>
        <c:lblAlgn val="ctr"/>
        <c:lblOffset val="100"/>
        <c:noMultiLvlLbl val="0"/>
      </c:catAx>
      <c:valAx>
        <c:axId val="153658227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PESO DEL DAÑO DENTRO DEL ÁREA</a:t>
                </a:r>
                <a:r>
                  <a:rPr lang="es-CO" baseline="0"/>
                  <a:t> INSPECCIONADA (%)</a:t>
                </a:r>
                <a:endParaRPr lang="es-CO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419"/>
            </a:p>
          </c:txPr>
        </c:title>
        <c:numFmt formatCode="0.0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419"/>
          </a:p>
        </c:txPr>
        <c:crossAx val="153657894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419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cap="none" spc="2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ÁREA AFECTADA POR TRAMOS (M2)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cap="none" spc="2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es-419"/>
        </a:p>
      </c:txPr>
    </c:title>
    <c:autoTitleDeleted val="0"/>
    <c:plotArea>
      <c:layout/>
      <c:barChart>
        <c:barDir val="col"/>
        <c:grouping val="clustered"/>
        <c:varyColors val="1"/>
        <c:ser>
          <c:idx val="0"/>
          <c:order val="0"/>
          <c:invertIfNegative val="1"/>
          <c:dPt>
            <c:idx val="0"/>
            <c:invertIfNegative val="1"/>
            <c:bubble3D val="0"/>
            <c:spPr>
              <a:gradFill rotWithShape="1">
                <a:gsLst>
                  <a:gs pos="0">
                    <a:schemeClr val="accent1"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1"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1"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1">
                    <a:shade val="9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9A4-4DDA-BEC4-95BF083A24D4}"/>
              </c:ext>
            </c:extLst>
          </c:dPt>
          <c:dPt>
            <c:idx val="1"/>
            <c:invertIfNegative val="1"/>
            <c:bubble3D val="0"/>
            <c:spPr>
              <a:gradFill rotWithShape="1">
                <a:gsLst>
                  <a:gs pos="0">
                    <a:schemeClr val="accent2"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2"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2"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2">
                    <a:shade val="9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3-E9A4-4DDA-BEC4-95BF083A24D4}"/>
              </c:ext>
            </c:extLst>
          </c:dPt>
          <c:dPt>
            <c:idx val="2"/>
            <c:invertIfNegative val="1"/>
            <c:bubble3D val="0"/>
            <c:spPr>
              <a:gradFill rotWithShape="1">
                <a:gsLst>
                  <a:gs pos="0">
                    <a:schemeClr val="accent3"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3"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3"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3">
                    <a:shade val="9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5-E9A4-4DDA-BEC4-95BF083A24D4}"/>
              </c:ext>
            </c:extLst>
          </c:dPt>
          <c:dPt>
            <c:idx val="3"/>
            <c:invertIfNegative val="1"/>
            <c:bubble3D val="0"/>
            <c:spPr>
              <a:gradFill rotWithShape="1">
                <a:gsLst>
                  <a:gs pos="0">
                    <a:schemeClr val="accent4"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4"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4"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4">
                    <a:shade val="9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9A4-4DDA-BEC4-95BF083A24D4}"/>
              </c:ext>
            </c:extLst>
          </c:dPt>
          <c:dPt>
            <c:idx val="4"/>
            <c:invertIfNegative val="1"/>
            <c:bubble3D val="0"/>
            <c:spPr>
              <a:gradFill rotWithShape="1">
                <a:gsLst>
                  <a:gs pos="0">
                    <a:schemeClr val="accent5"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5"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5"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5">
                    <a:shade val="9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E9A4-4DDA-BEC4-95BF083A24D4}"/>
              </c:ext>
            </c:extLst>
          </c:dPt>
          <c:dPt>
            <c:idx val="5"/>
            <c:invertIfNegative val="1"/>
            <c:bubble3D val="0"/>
            <c:spPr>
              <a:gradFill rotWithShape="1">
                <a:gsLst>
                  <a:gs pos="0">
                    <a:schemeClr val="accent6"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6"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6"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6">
                    <a:shade val="9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B-E9A4-4DDA-BEC4-95BF083A24D4}"/>
              </c:ext>
            </c:extLst>
          </c:dPt>
          <c:dPt>
            <c:idx val="6"/>
            <c:invertIfNegative val="1"/>
            <c:bubble3D val="0"/>
            <c:spPr>
              <a:gradFill rotWithShape="1">
                <a:gsLst>
                  <a:gs pos="0">
                    <a:schemeClr val="accent1">
                      <a:lumMod val="60000"/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1">
                      <a:lumMod val="60000"/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1">
                      <a:lumMod val="60000"/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1">
                    <a:lumMod val="60000"/>
                    <a:shade val="9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D-E9A4-4DDA-BEC4-95BF083A24D4}"/>
              </c:ext>
            </c:extLst>
          </c:dPt>
          <c:dPt>
            <c:idx val="7"/>
            <c:invertIfNegative val="1"/>
            <c:bubble3D val="0"/>
            <c:spPr>
              <a:gradFill rotWithShape="1">
                <a:gsLst>
                  <a:gs pos="0">
                    <a:schemeClr val="accent2">
                      <a:lumMod val="60000"/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2">
                      <a:lumMod val="60000"/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2">
                      <a:lumMod val="60000"/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2">
                    <a:lumMod val="60000"/>
                    <a:shade val="9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F-E9A4-4DDA-BEC4-95BF083A24D4}"/>
              </c:ext>
            </c:extLst>
          </c:dPt>
          <c:dPt>
            <c:idx val="8"/>
            <c:invertIfNegative val="1"/>
            <c:bubble3D val="0"/>
            <c:spPr>
              <a:gradFill rotWithShape="1">
                <a:gsLst>
                  <a:gs pos="0">
                    <a:schemeClr val="accent3">
                      <a:lumMod val="60000"/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3">
                      <a:lumMod val="60000"/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3">
                      <a:lumMod val="60000"/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3">
                    <a:lumMod val="60000"/>
                    <a:shade val="9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1-E9A4-4DDA-BEC4-95BF083A24D4}"/>
              </c:ext>
            </c:extLst>
          </c:dPt>
          <c:dPt>
            <c:idx val="9"/>
            <c:invertIfNegative val="1"/>
            <c:bubble3D val="0"/>
            <c:spPr>
              <a:gradFill rotWithShape="1">
                <a:gsLst>
                  <a:gs pos="0">
                    <a:schemeClr val="accent4">
                      <a:lumMod val="60000"/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4">
                      <a:lumMod val="60000"/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4">
                      <a:lumMod val="60000"/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4">
                    <a:lumMod val="60000"/>
                    <a:shade val="9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3-E9A4-4DDA-BEC4-95BF083A24D4}"/>
              </c:ext>
            </c:extLst>
          </c:dPt>
          <c:dPt>
            <c:idx val="10"/>
            <c:invertIfNegative val="1"/>
            <c:bubble3D val="0"/>
            <c:spPr>
              <a:gradFill rotWithShape="1">
                <a:gsLst>
                  <a:gs pos="0">
                    <a:schemeClr val="accent5">
                      <a:lumMod val="60000"/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5">
                      <a:lumMod val="60000"/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5">
                      <a:lumMod val="60000"/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5">
                    <a:lumMod val="60000"/>
                    <a:shade val="9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5-E9A4-4DDA-BEC4-95BF083A24D4}"/>
              </c:ext>
            </c:extLst>
          </c:dPt>
          <c:dPt>
            <c:idx val="11"/>
            <c:invertIfNegative val="1"/>
            <c:bubble3D val="0"/>
            <c:spPr>
              <a:gradFill rotWithShape="1">
                <a:gsLst>
                  <a:gs pos="0">
                    <a:schemeClr val="accent6">
                      <a:lumMod val="60000"/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6">
                      <a:lumMod val="60000"/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6">
                      <a:lumMod val="60000"/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6">
                    <a:lumMod val="60000"/>
                    <a:shade val="9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7-E9A4-4DDA-BEC4-95BF083A24D4}"/>
              </c:ext>
            </c:extLst>
          </c:dPt>
          <c:dPt>
            <c:idx val="12"/>
            <c:invertIfNegative val="1"/>
            <c:bubble3D val="0"/>
            <c:spPr>
              <a:gradFill rotWithShape="1">
                <a:gsLst>
                  <a:gs pos="0">
                    <a:schemeClr val="accent1">
                      <a:lumMod val="80000"/>
                      <a:lumOff val="20000"/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1">
                      <a:lumMod val="80000"/>
                      <a:lumOff val="20000"/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1">
                      <a:lumMod val="80000"/>
                      <a:lumOff val="20000"/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1">
                    <a:lumMod val="80000"/>
                    <a:lumOff val="20000"/>
                    <a:shade val="9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9-E9A4-4DDA-BEC4-95BF083A24D4}"/>
              </c:ext>
            </c:extLst>
          </c:dPt>
          <c:dPt>
            <c:idx val="13"/>
            <c:invertIfNegative val="1"/>
            <c:bubble3D val="0"/>
            <c:spPr>
              <a:gradFill rotWithShape="1">
                <a:gsLst>
                  <a:gs pos="0">
                    <a:schemeClr val="accent2">
                      <a:lumMod val="80000"/>
                      <a:lumOff val="20000"/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2">
                      <a:lumMod val="80000"/>
                      <a:lumOff val="20000"/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2">
                      <a:lumMod val="80000"/>
                      <a:lumOff val="20000"/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2">
                    <a:lumMod val="80000"/>
                    <a:lumOff val="20000"/>
                    <a:shade val="9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B-E9A4-4DDA-BEC4-95BF083A24D4}"/>
              </c:ext>
            </c:extLst>
          </c:dPt>
          <c:dPt>
            <c:idx val="14"/>
            <c:invertIfNegative val="1"/>
            <c:bubble3D val="0"/>
            <c:spPr>
              <a:gradFill rotWithShape="1">
                <a:gsLst>
                  <a:gs pos="0">
                    <a:schemeClr val="accent3">
                      <a:lumMod val="80000"/>
                      <a:lumOff val="20000"/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3">
                      <a:lumMod val="80000"/>
                      <a:lumOff val="20000"/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3">
                      <a:lumMod val="80000"/>
                      <a:lumOff val="20000"/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3">
                    <a:lumMod val="80000"/>
                    <a:lumOff val="20000"/>
                    <a:shade val="9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D-E9A4-4DDA-BEC4-95BF083A24D4}"/>
              </c:ext>
            </c:extLst>
          </c:dPt>
          <c:dPt>
            <c:idx val="15"/>
            <c:invertIfNegative val="1"/>
            <c:bubble3D val="0"/>
            <c:spPr>
              <a:gradFill rotWithShape="1">
                <a:gsLst>
                  <a:gs pos="0">
                    <a:schemeClr val="accent4">
                      <a:lumMod val="80000"/>
                      <a:lumOff val="20000"/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4">
                      <a:lumMod val="80000"/>
                      <a:lumOff val="20000"/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4">
                      <a:lumMod val="80000"/>
                      <a:lumOff val="20000"/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4">
                    <a:lumMod val="80000"/>
                    <a:lumOff val="20000"/>
                    <a:shade val="9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F-E9A4-4DDA-BEC4-95BF083A24D4}"/>
              </c:ext>
            </c:extLst>
          </c:dPt>
          <c:dPt>
            <c:idx val="16"/>
            <c:invertIfNegative val="1"/>
            <c:bubble3D val="0"/>
            <c:spPr>
              <a:gradFill rotWithShape="1">
                <a:gsLst>
                  <a:gs pos="0">
                    <a:schemeClr val="accent5">
                      <a:lumMod val="80000"/>
                      <a:lumOff val="20000"/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5">
                      <a:lumMod val="80000"/>
                      <a:lumOff val="20000"/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5">
                      <a:lumMod val="80000"/>
                      <a:lumOff val="20000"/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5">
                    <a:lumMod val="80000"/>
                    <a:lumOff val="20000"/>
                    <a:shade val="9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21-E9A4-4DDA-BEC4-95BF083A24D4}"/>
              </c:ext>
            </c:extLst>
          </c:dPt>
          <c:dPt>
            <c:idx val="17"/>
            <c:invertIfNegative val="1"/>
            <c:bubble3D val="0"/>
            <c:spPr>
              <a:gradFill rotWithShape="1">
                <a:gsLst>
                  <a:gs pos="0">
                    <a:schemeClr val="accent6">
                      <a:lumMod val="80000"/>
                      <a:lumOff val="20000"/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6">
                      <a:lumMod val="80000"/>
                      <a:lumOff val="20000"/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6">
                      <a:lumMod val="80000"/>
                      <a:lumOff val="20000"/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6">
                    <a:lumMod val="80000"/>
                    <a:lumOff val="20000"/>
                    <a:shade val="9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23-E9A4-4DDA-BEC4-95BF083A24D4}"/>
              </c:ext>
            </c:extLst>
          </c:dPt>
          <c:dPt>
            <c:idx val="18"/>
            <c:invertIfNegative val="1"/>
            <c:bubble3D val="0"/>
            <c:spPr>
              <a:gradFill rotWithShape="1">
                <a:gsLst>
                  <a:gs pos="0">
                    <a:schemeClr val="accent1">
                      <a:lumMod val="80000"/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1">
                      <a:lumMod val="80000"/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1">
                      <a:lumMod val="80000"/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1">
                    <a:lumMod val="80000"/>
                    <a:shade val="9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25-E9A4-4DDA-BEC4-95BF083A24D4}"/>
              </c:ext>
            </c:extLst>
          </c:dPt>
          <c:dPt>
            <c:idx val="19"/>
            <c:invertIfNegative val="1"/>
            <c:bubble3D val="0"/>
            <c:spPr>
              <a:gradFill rotWithShape="1">
                <a:gsLst>
                  <a:gs pos="0">
                    <a:schemeClr val="accent2">
                      <a:lumMod val="80000"/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2">
                      <a:lumMod val="80000"/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2">
                      <a:lumMod val="80000"/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2">
                    <a:lumMod val="80000"/>
                    <a:shade val="9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27-E9A4-4DDA-BEC4-95BF083A24D4}"/>
              </c:ext>
            </c:extLst>
          </c:dPt>
          <c:dPt>
            <c:idx val="20"/>
            <c:invertIfNegative val="1"/>
            <c:bubble3D val="0"/>
            <c:spPr>
              <a:gradFill rotWithShape="1">
                <a:gsLst>
                  <a:gs pos="0">
                    <a:schemeClr val="accent3">
                      <a:lumMod val="80000"/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3">
                      <a:lumMod val="80000"/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3">
                      <a:lumMod val="80000"/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3">
                    <a:lumMod val="80000"/>
                    <a:shade val="9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29-E9A4-4DDA-BEC4-95BF083A24D4}"/>
              </c:ext>
            </c:extLst>
          </c:dPt>
          <c:dPt>
            <c:idx val="21"/>
            <c:invertIfNegative val="1"/>
            <c:bubble3D val="0"/>
            <c:spPr>
              <a:gradFill rotWithShape="1">
                <a:gsLst>
                  <a:gs pos="0">
                    <a:schemeClr val="accent4">
                      <a:lumMod val="80000"/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4">
                      <a:lumMod val="80000"/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4">
                      <a:lumMod val="80000"/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4">
                    <a:lumMod val="80000"/>
                    <a:shade val="9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2B-E9A4-4DDA-BEC4-95BF083A24D4}"/>
              </c:ext>
            </c:extLst>
          </c:dPt>
          <c:dPt>
            <c:idx val="22"/>
            <c:invertIfNegative val="1"/>
            <c:bubble3D val="0"/>
            <c:spPr>
              <a:gradFill rotWithShape="1">
                <a:gsLst>
                  <a:gs pos="0">
                    <a:schemeClr val="accent5">
                      <a:lumMod val="80000"/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5">
                      <a:lumMod val="80000"/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5">
                      <a:lumMod val="80000"/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5">
                    <a:lumMod val="80000"/>
                    <a:shade val="9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2D-E9A4-4DDA-BEC4-95BF083A24D4}"/>
              </c:ext>
            </c:extLst>
          </c:dPt>
          <c:dPt>
            <c:idx val="23"/>
            <c:invertIfNegative val="1"/>
            <c:bubble3D val="0"/>
            <c:spPr>
              <a:gradFill rotWithShape="1">
                <a:gsLst>
                  <a:gs pos="0">
                    <a:schemeClr val="accent6">
                      <a:lumMod val="80000"/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6">
                      <a:lumMod val="80000"/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6">
                      <a:lumMod val="80000"/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6">
                    <a:lumMod val="80000"/>
                    <a:shade val="9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2F-E9A4-4DDA-BEC4-95BF083A24D4}"/>
              </c:ext>
            </c:extLst>
          </c:dPt>
          <c:dPt>
            <c:idx val="24"/>
            <c:invertIfNegative val="1"/>
            <c:bubble3D val="0"/>
            <c:spPr>
              <a:gradFill rotWithShape="1">
                <a:gsLst>
                  <a:gs pos="0">
                    <a:schemeClr val="accent1">
                      <a:lumMod val="60000"/>
                      <a:lumOff val="40000"/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1">
                      <a:lumMod val="60000"/>
                      <a:lumOff val="40000"/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1">
                      <a:lumMod val="60000"/>
                      <a:lumOff val="40000"/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1">
                    <a:lumMod val="60000"/>
                    <a:lumOff val="40000"/>
                    <a:shade val="9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31-E9A4-4DDA-BEC4-95BF083A24D4}"/>
              </c:ext>
            </c:extLst>
          </c:dPt>
          <c:dPt>
            <c:idx val="25"/>
            <c:invertIfNegative val="1"/>
            <c:bubble3D val="0"/>
            <c:spPr>
              <a:gradFill rotWithShape="1">
                <a:gsLst>
                  <a:gs pos="0">
                    <a:schemeClr val="accent2">
                      <a:lumMod val="60000"/>
                      <a:lumOff val="40000"/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2">
                      <a:lumMod val="60000"/>
                      <a:lumOff val="40000"/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2">
                      <a:lumMod val="60000"/>
                      <a:lumOff val="40000"/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2">
                    <a:lumMod val="60000"/>
                    <a:lumOff val="40000"/>
                    <a:shade val="9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33-E9A4-4DDA-BEC4-95BF083A24D4}"/>
              </c:ext>
            </c:extLst>
          </c:dPt>
          <c:dPt>
            <c:idx val="26"/>
            <c:invertIfNegative val="1"/>
            <c:bubble3D val="0"/>
            <c:spPr>
              <a:gradFill rotWithShape="1">
                <a:gsLst>
                  <a:gs pos="0">
                    <a:schemeClr val="accent3">
                      <a:lumMod val="60000"/>
                      <a:lumOff val="40000"/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3">
                      <a:lumMod val="60000"/>
                      <a:lumOff val="40000"/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3">
                      <a:lumMod val="60000"/>
                      <a:lumOff val="40000"/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3">
                    <a:lumMod val="60000"/>
                    <a:lumOff val="40000"/>
                    <a:shade val="9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35-E9A4-4DDA-BEC4-95BF083A24D4}"/>
              </c:ext>
            </c:extLst>
          </c:dPt>
          <c:dPt>
            <c:idx val="27"/>
            <c:invertIfNegative val="1"/>
            <c:bubble3D val="0"/>
            <c:spPr>
              <a:gradFill rotWithShape="1">
                <a:gsLst>
                  <a:gs pos="0">
                    <a:schemeClr val="accent4">
                      <a:lumMod val="60000"/>
                      <a:lumOff val="40000"/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4">
                      <a:lumMod val="60000"/>
                      <a:lumOff val="40000"/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4">
                      <a:lumMod val="60000"/>
                      <a:lumOff val="40000"/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4">
                    <a:lumMod val="60000"/>
                    <a:lumOff val="40000"/>
                    <a:shade val="9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37-E9A4-4DDA-BEC4-95BF083A24D4}"/>
              </c:ext>
            </c:extLst>
          </c:dPt>
          <c:dPt>
            <c:idx val="28"/>
            <c:invertIfNegative val="1"/>
            <c:bubble3D val="0"/>
            <c:spPr>
              <a:gradFill rotWithShape="1">
                <a:gsLst>
                  <a:gs pos="0">
                    <a:schemeClr val="accent5">
                      <a:lumMod val="60000"/>
                      <a:lumOff val="40000"/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5">
                      <a:lumMod val="60000"/>
                      <a:lumOff val="40000"/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5">
                      <a:lumMod val="60000"/>
                      <a:lumOff val="40000"/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5">
                    <a:lumMod val="60000"/>
                    <a:lumOff val="40000"/>
                    <a:shade val="9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39-E9A4-4DDA-BEC4-95BF083A24D4}"/>
              </c:ext>
            </c:extLst>
          </c:dPt>
          <c:dPt>
            <c:idx val="29"/>
            <c:invertIfNegative val="1"/>
            <c:bubble3D val="0"/>
            <c:spPr>
              <a:gradFill rotWithShape="1">
                <a:gsLst>
                  <a:gs pos="0">
                    <a:schemeClr val="accent6">
                      <a:lumMod val="60000"/>
                      <a:lumOff val="40000"/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6">
                      <a:lumMod val="60000"/>
                      <a:lumOff val="40000"/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6">
                      <a:lumMod val="60000"/>
                      <a:lumOff val="40000"/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6">
                    <a:lumMod val="60000"/>
                    <a:lumOff val="40000"/>
                    <a:shade val="9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3B-E9A4-4DDA-BEC4-95BF083A24D4}"/>
              </c:ext>
            </c:extLst>
          </c:dPt>
          <c:dPt>
            <c:idx val="30"/>
            <c:invertIfNegative val="1"/>
            <c:bubble3D val="0"/>
            <c:spPr>
              <a:gradFill rotWithShape="1">
                <a:gsLst>
                  <a:gs pos="0">
                    <a:schemeClr val="accent1">
                      <a:lumMod val="50000"/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1">
                      <a:lumMod val="50000"/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1">
                      <a:lumMod val="50000"/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1">
                    <a:lumMod val="50000"/>
                    <a:shade val="9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3D-E9A4-4DDA-BEC4-95BF083A24D4}"/>
              </c:ext>
            </c:extLst>
          </c:dPt>
          <c:dPt>
            <c:idx val="31"/>
            <c:invertIfNegative val="1"/>
            <c:bubble3D val="0"/>
            <c:spPr>
              <a:gradFill rotWithShape="1">
                <a:gsLst>
                  <a:gs pos="0">
                    <a:schemeClr val="accent2">
                      <a:lumMod val="50000"/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2">
                      <a:lumMod val="50000"/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2">
                      <a:lumMod val="50000"/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2">
                    <a:lumMod val="50000"/>
                    <a:shade val="9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3F-E9A4-4DDA-BEC4-95BF083A24D4}"/>
              </c:ext>
            </c:extLst>
          </c:dPt>
          <c:dPt>
            <c:idx val="32"/>
            <c:invertIfNegative val="1"/>
            <c:bubble3D val="0"/>
            <c:spPr>
              <a:gradFill rotWithShape="1">
                <a:gsLst>
                  <a:gs pos="0">
                    <a:schemeClr val="accent3">
                      <a:lumMod val="50000"/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3">
                      <a:lumMod val="50000"/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3">
                      <a:lumMod val="50000"/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3">
                    <a:lumMod val="50000"/>
                    <a:shade val="9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41-E9A4-4DDA-BEC4-95BF083A24D4}"/>
              </c:ext>
            </c:extLst>
          </c:dPt>
          <c:cat>
            <c:strRef>
              <c:f>Patologías_Superficiales!$B$10:$B$42</c:f>
              <c:strCache>
                <c:ptCount val="33"/>
                <c:pt idx="0">
                  <c:v>T1</c:v>
                </c:pt>
                <c:pt idx="1">
                  <c:v>T2</c:v>
                </c:pt>
                <c:pt idx="2">
                  <c:v>T3</c:v>
                </c:pt>
                <c:pt idx="3">
                  <c:v>T4</c:v>
                </c:pt>
                <c:pt idx="4">
                  <c:v>T5</c:v>
                </c:pt>
                <c:pt idx="5">
                  <c:v>T6</c:v>
                </c:pt>
                <c:pt idx="6">
                  <c:v>T7</c:v>
                </c:pt>
                <c:pt idx="7">
                  <c:v>T8</c:v>
                </c:pt>
                <c:pt idx="8">
                  <c:v>T9</c:v>
                </c:pt>
                <c:pt idx="9">
                  <c:v>T10</c:v>
                </c:pt>
                <c:pt idx="10">
                  <c:v>T11</c:v>
                </c:pt>
                <c:pt idx="11">
                  <c:v>T12</c:v>
                </c:pt>
                <c:pt idx="12">
                  <c:v>T13</c:v>
                </c:pt>
                <c:pt idx="13">
                  <c:v>T14</c:v>
                </c:pt>
                <c:pt idx="14">
                  <c:v>T15</c:v>
                </c:pt>
                <c:pt idx="15">
                  <c:v>T16</c:v>
                </c:pt>
                <c:pt idx="16">
                  <c:v>T17</c:v>
                </c:pt>
                <c:pt idx="17">
                  <c:v>T18</c:v>
                </c:pt>
                <c:pt idx="18">
                  <c:v>T19</c:v>
                </c:pt>
                <c:pt idx="19">
                  <c:v>T20</c:v>
                </c:pt>
                <c:pt idx="20">
                  <c:v>T21</c:v>
                </c:pt>
                <c:pt idx="21">
                  <c:v>T22</c:v>
                </c:pt>
                <c:pt idx="22">
                  <c:v>T23</c:v>
                </c:pt>
                <c:pt idx="23">
                  <c:v>T24</c:v>
                </c:pt>
                <c:pt idx="24">
                  <c:v>T25</c:v>
                </c:pt>
                <c:pt idx="25">
                  <c:v>T26</c:v>
                </c:pt>
                <c:pt idx="26">
                  <c:v>T27</c:v>
                </c:pt>
                <c:pt idx="27">
                  <c:v>T28</c:v>
                </c:pt>
                <c:pt idx="28">
                  <c:v>T29</c:v>
                </c:pt>
                <c:pt idx="29">
                  <c:v>T30</c:v>
                </c:pt>
                <c:pt idx="30">
                  <c:v>T31</c:v>
                </c:pt>
                <c:pt idx="31">
                  <c:v>T32</c:v>
                </c:pt>
                <c:pt idx="32">
                  <c:v>T33</c:v>
                </c:pt>
              </c:strCache>
            </c:strRef>
          </c:cat>
          <c:val>
            <c:numRef>
              <c:f>Patologías_Superficiales!$V$10:$V$42</c:f>
              <c:numCache>
                <c:formatCode>General</c:formatCode>
                <c:ptCount val="3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32.712000000000003</c:v>
                </c:pt>
                <c:pt idx="5">
                  <c:v>2.0299999999999998</c:v>
                </c:pt>
                <c:pt idx="6">
                  <c:v>14.052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4.9610000000000003</c:v>
                </c:pt>
                <c:pt idx="14">
                  <c:v>6.0953999999999997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10.4</c:v>
                </c:pt>
                <c:pt idx="22">
                  <c:v>4.9399999999999995</c:v>
                </c:pt>
                <c:pt idx="23">
                  <c:v>0</c:v>
                </c:pt>
                <c:pt idx="24">
                  <c:v>14.04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2-E9A4-4DDA-BEC4-95BF083A24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414741072"/>
        <c:axId val="414744992"/>
      </c:barChart>
      <c:catAx>
        <c:axId val="41474107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cap="all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TRAMOS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0" i="0" u="none" strike="noStrike" kern="1200" cap="all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419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419"/>
          </a:p>
        </c:txPr>
        <c:crossAx val="414744992"/>
        <c:crosses val="autoZero"/>
        <c:auto val="1"/>
        <c:lblAlgn val="ctr"/>
        <c:lblOffset val="100"/>
        <c:noMultiLvlLbl val="1"/>
      </c:catAx>
      <c:valAx>
        <c:axId val="4147449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cap="all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ÁREA AFECTADA (m2)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cap="all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419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419"/>
          </a:p>
        </c:txPr>
        <c:crossAx val="4147410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es-419"/>
        </a:p>
      </c:txPr>
    </c:legend>
    <c:plotVisOnly val="1"/>
    <c:dispBlanksAs val="zero"/>
    <c:showDLblsOverMax val="1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419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6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6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6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chart" Target="../charts/chart5.xml"/><Relationship Id="rId1" Type="http://schemas.openxmlformats.org/officeDocument/2006/relationships/chart" Target="../charts/chart4.xml"/><Relationship Id="rId4" Type="http://schemas.openxmlformats.org/officeDocument/2006/relationships/chart" Target="../charts/chart6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498417</xdr:colOff>
      <xdr:row>56</xdr:row>
      <xdr:rowOff>171450</xdr:rowOff>
    </xdr:from>
    <xdr:ext cx="7226878" cy="4497532"/>
    <xdr:graphicFrame macro="">
      <xdr:nvGraphicFramePr>
        <xdr:cNvPr id="740803596" name="Chart 1" title="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  <xdr:twoCellAnchor>
    <xdr:from>
      <xdr:col>14</xdr:col>
      <xdr:colOff>182781</xdr:colOff>
      <xdr:row>57</xdr:row>
      <xdr:rowOff>29068</xdr:rowOff>
    </xdr:from>
    <xdr:to>
      <xdr:col>26</xdr:col>
      <xdr:colOff>355420</xdr:colOff>
      <xdr:row>83</xdr:row>
      <xdr:rowOff>21772</xdr:rowOff>
    </xdr:to>
    <xdr:graphicFrame macro="">
      <xdr:nvGraphicFramePr>
        <xdr:cNvPr id="7" name="Gráfico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27</xdr:col>
      <xdr:colOff>320138</xdr:colOff>
      <xdr:row>56</xdr:row>
      <xdr:rowOff>169718</xdr:rowOff>
    </xdr:from>
    <xdr:to>
      <xdr:col>39</xdr:col>
      <xdr:colOff>217170</xdr:colOff>
      <xdr:row>83</xdr:row>
      <xdr:rowOff>95250</xdr:rowOff>
    </xdr:to>
    <xdr:graphicFrame macro="">
      <xdr:nvGraphicFramePr>
        <xdr:cNvPr id="10" name="Gráfico 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oneCellAnchor>
    <xdr:from>
      <xdr:col>19</xdr:col>
      <xdr:colOff>478972</xdr:colOff>
      <xdr:row>1</xdr:row>
      <xdr:rowOff>76200</xdr:rowOff>
    </xdr:from>
    <xdr:ext cx="3668486" cy="707571"/>
    <xdr:pic>
      <xdr:nvPicPr>
        <xdr:cNvPr id="5" name="image1.png" descr="Resultado de imagen para usta colombia"/>
        <xdr:cNvPicPr preferRelativeResize="0"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11016343" y="272143"/>
          <a:ext cx="3668486" cy="707571"/>
        </a:xfrm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193172</xdr:colOff>
      <xdr:row>1</xdr:row>
      <xdr:rowOff>56409</xdr:rowOff>
    </xdr:from>
    <xdr:ext cx="3668486" cy="707571"/>
    <xdr:pic>
      <xdr:nvPicPr>
        <xdr:cNvPr id="2" name="image1.png" descr="Resultado de imagen para usta colombia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444045" y="250373"/>
          <a:ext cx="3668486" cy="707571"/>
        </a:xfrm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19050</xdr:colOff>
      <xdr:row>53</xdr:row>
      <xdr:rowOff>162792</xdr:rowOff>
    </xdr:from>
    <xdr:to>
      <xdr:col>22</xdr:col>
      <xdr:colOff>38100</xdr:colOff>
      <xdr:row>80</xdr:row>
      <xdr:rowOff>76200</xdr:rowOff>
    </xdr:to>
    <xdr:graphicFrame macro="">
      <xdr:nvGraphicFramePr>
        <xdr:cNvPr id="4" name="Gráfico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22</xdr:col>
      <xdr:colOff>942109</xdr:colOff>
      <xdr:row>54</xdr:row>
      <xdr:rowOff>33769</xdr:rowOff>
    </xdr:from>
    <xdr:to>
      <xdr:col>31</xdr:col>
      <xdr:colOff>166254</xdr:colOff>
      <xdr:row>80</xdr:row>
      <xdr:rowOff>27709</xdr:rowOff>
    </xdr:to>
    <xdr:graphicFrame macro="">
      <xdr:nvGraphicFramePr>
        <xdr:cNvPr id="5" name="Gráfico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oneCellAnchor>
    <xdr:from>
      <xdr:col>8</xdr:col>
      <xdr:colOff>660400</xdr:colOff>
      <xdr:row>1</xdr:row>
      <xdr:rowOff>63500</xdr:rowOff>
    </xdr:from>
    <xdr:ext cx="3668486" cy="707571"/>
    <xdr:pic>
      <xdr:nvPicPr>
        <xdr:cNvPr id="6" name="image1.png" descr="Resultado de imagen para usta colombia"/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7061200" y="254000"/>
          <a:ext cx="3668486" cy="707571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905741</xdr:colOff>
      <xdr:row>53</xdr:row>
      <xdr:rowOff>152401</xdr:rowOff>
    </xdr:from>
    <xdr:ext cx="7226878" cy="4497532"/>
    <xdr:graphicFrame macro="">
      <xdr:nvGraphicFramePr>
        <xdr:cNvPr id="7" name="Chart 1" title="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936171</xdr:colOff>
      <xdr:row>1</xdr:row>
      <xdr:rowOff>130629</xdr:rowOff>
    </xdr:from>
    <xdr:ext cx="3668486" cy="707571"/>
    <xdr:pic>
      <xdr:nvPicPr>
        <xdr:cNvPr id="2" name="image1.png" descr="Resultado de imagen para usta colombia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029200" y="326572"/>
          <a:ext cx="3668486" cy="707571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1025"/>
  <sheetViews>
    <sheetView showGridLines="0" zoomScale="58" zoomScaleNormal="58" workbookViewId="0">
      <selection activeCell="O5" sqref="O5"/>
    </sheetView>
  </sheetViews>
  <sheetFormatPr baseColWidth="10" defaultColWidth="12.59765625" defaultRowHeight="15" customHeight="1" x14ac:dyDescent="0.25"/>
  <cols>
    <col min="1" max="1" width="3" style="86" customWidth="1"/>
    <col min="2" max="2" width="13.69921875" customWidth="1"/>
    <col min="3" max="6" width="9.3984375" customWidth="1"/>
    <col min="7" max="7" width="6.69921875" bestFit="1" customWidth="1"/>
    <col min="8" max="12" width="6.19921875" customWidth="1"/>
    <col min="13" max="13" width="7.09765625" bestFit="1" customWidth="1"/>
    <col min="14" max="14" width="7.09765625" customWidth="1"/>
    <col min="15" max="15" width="7.5" bestFit="1" customWidth="1"/>
    <col min="16" max="19" width="6.19921875" customWidth="1"/>
    <col min="20" max="20" width="6.69921875" bestFit="1" customWidth="1"/>
    <col min="21" max="21" width="7.5" bestFit="1" customWidth="1"/>
    <col min="22" max="33" width="6.19921875" customWidth="1"/>
    <col min="34" max="34" width="7.09765625" bestFit="1" customWidth="1"/>
    <col min="35" max="36" width="6.69921875" bestFit="1" customWidth="1"/>
    <col min="37" max="48" width="6.19921875" customWidth="1"/>
    <col min="49" max="49" width="10.09765625" bestFit="1" customWidth="1"/>
    <col min="50" max="50" width="12.69921875" customWidth="1"/>
    <col min="51" max="51" width="2.19921875" customWidth="1"/>
  </cols>
  <sheetData>
    <row r="1" spans="2:50" s="166" customFormat="1" ht="15" customHeight="1" x14ac:dyDescent="0.25"/>
    <row r="2" spans="2:50" s="166" customFormat="1" ht="15" customHeight="1" x14ac:dyDescent="0.25"/>
    <row r="3" spans="2:50" s="166" customFormat="1" ht="15" customHeight="1" x14ac:dyDescent="0.25"/>
    <row r="4" spans="2:50" ht="14.25" customHeight="1" x14ac:dyDescent="0.25"/>
    <row r="5" spans="2:50" ht="14.25" customHeight="1" x14ac:dyDescent="0.25"/>
    <row r="6" spans="2:50" ht="13.8" customHeight="1" thickBot="1" x14ac:dyDescent="0.35">
      <c r="B6" s="228"/>
      <c r="C6" s="229"/>
      <c r="D6" s="1"/>
    </row>
    <row r="7" spans="2:50" ht="17.399999999999999" customHeight="1" thickBot="1" x14ac:dyDescent="0.35">
      <c r="B7" s="230" t="s">
        <v>0</v>
      </c>
      <c r="C7" s="231"/>
      <c r="D7" s="231"/>
      <c r="E7" s="231"/>
      <c r="F7" s="231"/>
      <c r="G7" s="231"/>
      <c r="H7" s="231"/>
      <c r="I7" s="231"/>
      <c r="J7" s="231"/>
      <c r="K7" s="231"/>
      <c r="L7" s="231"/>
      <c r="M7" s="231"/>
      <c r="N7" s="231"/>
      <c r="O7" s="231"/>
      <c r="P7" s="231"/>
      <c r="Q7" s="231"/>
      <c r="R7" s="231"/>
      <c r="S7" s="231"/>
      <c r="T7" s="231"/>
      <c r="U7" s="231"/>
      <c r="V7" s="231"/>
      <c r="W7" s="231"/>
      <c r="X7" s="231"/>
      <c r="Y7" s="232"/>
      <c r="Z7" s="232"/>
      <c r="AA7" s="232"/>
      <c r="AB7" s="231"/>
      <c r="AC7" s="231"/>
      <c r="AD7" s="231"/>
      <c r="AE7" s="231"/>
      <c r="AF7" s="231"/>
      <c r="AG7" s="231"/>
      <c r="AH7" s="231"/>
      <c r="AI7" s="231"/>
      <c r="AJ7" s="231"/>
      <c r="AK7" s="231"/>
      <c r="AL7" s="231"/>
      <c r="AM7" s="231"/>
      <c r="AN7" s="231"/>
      <c r="AO7" s="231"/>
      <c r="AP7" s="231"/>
      <c r="AQ7" s="231"/>
      <c r="AR7" s="231"/>
      <c r="AS7" s="231"/>
      <c r="AT7" s="231"/>
      <c r="AU7" s="231"/>
      <c r="AV7" s="231"/>
      <c r="AW7" s="231"/>
      <c r="AX7" s="233"/>
    </row>
    <row r="8" spans="2:50" ht="21" customHeight="1" x14ac:dyDescent="0.3">
      <c r="B8" s="385" t="s">
        <v>15</v>
      </c>
      <c r="C8" s="234" t="s">
        <v>1</v>
      </c>
      <c r="D8" s="235"/>
      <c r="E8" s="236" t="s">
        <v>2</v>
      </c>
      <c r="F8" s="238" t="s">
        <v>3</v>
      </c>
      <c r="G8" s="240" t="s">
        <v>4</v>
      </c>
      <c r="H8" s="241"/>
      <c r="I8" s="242"/>
      <c r="J8" s="243" t="s">
        <v>5</v>
      </c>
      <c r="K8" s="244"/>
      <c r="L8" s="245"/>
      <c r="M8" s="248" t="s">
        <v>56</v>
      </c>
      <c r="N8" s="249"/>
      <c r="O8" s="250"/>
      <c r="P8" s="251" t="s">
        <v>7</v>
      </c>
      <c r="Q8" s="252"/>
      <c r="R8" s="253"/>
      <c r="S8" s="254" t="s">
        <v>8</v>
      </c>
      <c r="T8" s="255"/>
      <c r="U8" s="256"/>
      <c r="V8" s="257" t="s">
        <v>9</v>
      </c>
      <c r="W8" s="258"/>
      <c r="X8" s="258"/>
      <c r="Y8" s="291" t="s">
        <v>58</v>
      </c>
      <c r="Z8" s="292"/>
      <c r="AA8" s="293"/>
      <c r="AB8" s="259" t="s">
        <v>10</v>
      </c>
      <c r="AC8" s="260"/>
      <c r="AD8" s="261"/>
      <c r="AE8" s="262" t="s">
        <v>11</v>
      </c>
      <c r="AF8" s="263"/>
      <c r="AG8" s="264"/>
      <c r="AH8" s="265" t="s">
        <v>12</v>
      </c>
      <c r="AI8" s="266"/>
      <c r="AJ8" s="266"/>
      <c r="AK8" s="288" t="s">
        <v>57</v>
      </c>
      <c r="AL8" s="289"/>
      <c r="AM8" s="290"/>
      <c r="AN8" s="294" t="s">
        <v>60</v>
      </c>
      <c r="AO8" s="295"/>
      <c r="AP8" s="296"/>
      <c r="AQ8" s="297" t="s">
        <v>6</v>
      </c>
      <c r="AR8" s="298"/>
      <c r="AS8" s="299"/>
      <c r="AT8" s="285" t="s">
        <v>108</v>
      </c>
      <c r="AU8" s="286"/>
      <c r="AV8" s="287"/>
      <c r="AW8" s="267" t="s">
        <v>13</v>
      </c>
      <c r="AX8" s="246" t="s">
        <v>14</v>
      </c>
    </row>
    <row r="9" spans="2:50" ht="26.25" customHeight="1" x14ac:dyDescent="0.3">
      <c r="B9" s="386"/>
      <c r="C9" s="2" t="s">
        <v>16</v>
      </c>
      <c r="D9" s="2" t="s">
        <v>17</v>
      </c>
      <c r="E9" s="237"/>
      <c r="F9" s="239"/>
      <c r="G9" s="70" t="s">
        <v>18</v>
      </c>
      <c r="H9" s="65" t="s">
        <v>19</v>
      </c>
      <c r="I9" s="57" t="s">
        <v>20</v>
      </c>
      <c r="J9" s="71" t="s">
        <v>18</v>
      </c>
      <c r="K9" s="68" t="s">
        <v>19</v>
      </c>
      <c r="L9" s="58" t="s">
        <v>20</v>
      </c>
      <c r="M9" s="71" t="s">
        <v>18</v>
      </c>
      <c r="N9" s="68" t="s">
        <v>19</v>
      </c>
      <c r="O9" s="58" t="s">
        <v>20</v>
      </c>
      <c r="P9" s="71" t="s">
        <v>18</v>
      </c>
      <c r="Q9" s="68" t="s">
        <v>19</v>
      </c>
      <c r="R9" s="58" t="s">
        <v>20</v>
      </c>
      <c r="S9" s="70" t="s">
        <v>18</v>
      </c>
      <c r="T9" s="65" t="s">
        <v>19</v>
      </c>
      <c r="U9" s="59" t="s">
        <v>20</v>
      </c>
      <c r="V9" s="70" t="s">
        <v>18</v>
      </c>
      <c r="W9" s="65" t="s">
        <v>19</v>
      </c>
      <c r="X9" s="57" t="s">
        <v>20</v>
      </c>
      <c r="Y9" s="72" t="s">
        <v>18</v>
      </c>
      <c r="Z9" s="69" t="s">
        <v>19</v>
      </c>
      <c r="AA9" s="60" t="s">
        <v>20</v>
      </c>
      <c r="AB9" s="73" t="s">
        <v>18</v>
      </c>
      <c r="AC9" s="68" t="s">
        <v>19</v>
      </c>
      <c r="AD9" s="61" t="s">
        <v>20</v>
      </c>
      <c r="AE9" s="74" t="s">
        <v>18</v>
      </c>
      <c r="AF9" s="65" t="s">
        <v>19</v>
      </c>
      <c r="AG9" s="59" t="s">
        <v>20</v>
      </c>
      <c r="AH9" s="70" t="s">
        <v>18</v>
      </c>
      <c r="AI9" s="65" t="s">
        <v>19</v>
      </c>
      <c r="AJ9" s="62" t="s">
        <v>20</v>
      </c>
      <c r="AK9" s="70" t="s">
        <v>18</v>
      </c>
      <c r="AL9" s="65" t="s">
        <v>19</v>
      </c>
      <c r="AM9" s="59" t="s">
        <v>20</v>
      </c>
      <c r="AN9" s="75" t="s">
        <v>18</v>
      </c>
      <c r="AO9" s="67" t="s">
        <v>19</v>
      </c>
      <c r="AP9" s="63" t="s">
        <v>20</v>
      </c>
      <c r="AQ9" s="76" t="s">
        <v>6</v>
      </c>
      <c r="AR9" s="66" t="s">
        <v>19</v>
      </c>
      <c r="AS9" s="64" t="s">
        <v>20</v>
      </c>
      <c r="AT9" s="77" t="s">
        <v>18</v>
      </c>
      <c r="AU9" s="65" t="s">
        <v>19</v>
      </c>
      <c r="AV9" s="59" t="s">
        <v>20</v>
      </c>
      <c r="AW9" s="247"/>
      <c r="AX9" s="247"/>
    </row>
    <row r="10" spans="2:50" ht="14.25" customHeight="1" x14ac:dyDescent="0.3">
      <c r="B10" s="89" t="s">
        <v>21</v>
      </c>
      <c r="C10" s="90" t="s">
        <v>22</v>
      </c>
      <c r="D10" s="90" t="s">
        <v>23</v>
      </c>
      <c r="E10" s="90">
        <v>100</v>
      </c>
      <c r="F10" s="91">
        <f t="shared" ref="F10:F20" si="0">$G$50*E10</f>
        <v>637</v>
      </c>
      <c r="G10" s="92">
        <v>0</v>
      </c>
      <c r="H10" s="93">
        <v>0</v>
      </c>
      <c r="I10" s="94">
        <f>(4.82*0.6)+(5*0.6)</f>
        <v>5.8919999999999995</v>
      </c>
      <c r="J10" s="92">
        <f>+(1.3*0.6)+(2*0.6)+(1.3*0.6)+(0.95*0.6)+(1.83*0.6)</f>
        <v>4.4279999999999999</v>
      </c>
      <c r="K10" s="93">
        <f>(1.9*0.6)+(0.74*0.6)</f>
        <v>1.5839999999999999</v>
      </c>
      <c r="L10" s="94">
        <f>(1.4*0.6)</f>
        <v>0.84</v>
      </c>
      <c r="M10" s="92">
        <f>(8.5*2.6)+(2.3*2)+(1.2*0.77)+(0.7*1.6)+(1.4*0.53)</f>
        <v>29.486000000000004</v>
      </c>
      <c r="N10" s="93">
        <f>(1.94*1.7)+(1.96*2)+(0.64*0.96)+(3.44*1.52)+(5.5*2.8)+(2.16*1.6)</f>
        <v>31.917199999999998</v>
      </c>
      <c r="O10" s="94">
        <f>(1*0.6)+(5.68*1.64)</f>
        <v>9.9151999999999987</v>
      </c>
      <c r="P10" s="92">
        <v>0</v>
      </c>
      <c r="Q10" s="93">
        <v>0</v>
      </c>
      <c r="R10" s="94">
        <v>0</v>
      </c>
      <c r="S10" s="92">
        <v>0</v>
      </c>
      <c r="T10" s="95">
        <v>0</v>
      </c>
      <c r="U10" s="96">
        <f>+(6.9*1.18)+(12.8*1.7)+(2.98*1.3)</f>
        <v>33.776000000000003</v>
      </c>
      <c r="V10" s="92">
        <v>0</v>
      </c>
      <c r="W10" s="97">
        <v>0</v>
      </c>
      <c r="X10" s="94">
        <v>0</v>
      </c>
      <c r="Y10" s="98">
        <v>0</v>
      </c>
      <c r="Z10" s="99">
        <v>0</v>
      </c>
      <c r="AA10" s="100">
        <v>0</v>
      </c>
      <c r="AB10" s="101">
        <v>0</v>
      </c>
      <c r="AC10" s="93">
        <v>0</v>
      </c>
      <c r="AD10" s="96">
        <v>0</v>
      </c>
      <c r="AE10" s="101">
        <v>0</v>
      </c>
      <c r="AF10" s="97">
        <v>0</v>
      </c>
      <c r="AG10" s="96">
        <f>+(0.71*1)</f>
        <v>0.71</v>
      </c>
      <c r="AH10" s="92">
        <f>(9*3.2)+(6.7*6.11)+(11.15*2.1)</f>
        <v>93.152000000000015</v>
      </c>
      <c r="AI10" s="97">
        <f>(0.66*0.7)</f>
        <v>0.46199999999999997</v>
      </c>
      <c r="AJ10" s="96">
        <v>0</v>
      </c>
      <c r="AK10" s="102">
        <v>0</v>
      </c>
      <c r="AL10" s="103">
        <v>0</v>
      </c>
      <c r="AM10" s="104">
        <v>0</v>
      </c>
      <c r="AN10" s="102">
        <v>0</v>
      </c>
      <c r="AO10" s="105">
        <v>0</v>
      </c>
      <c r="AP10" s="103">
        <v>0</v>
      </c>
      <c r="AQ10" s="106">
        <v>0</v>
      </c>
      <c r="AR10" s="107">
        <v>0</v>
      </c>
      <c r="AS10" s="108">
        <v>0</v>
      </c>
      <c r="AT10" s="109">
        <v>0</v>
      </c>
      <c r="AU10" s="103">
        <v>0</v>
      </c>
      <c r="AV10" s="104">
        <v>0</v>
      </c>
      <c r="AW10" s="3">
        <f>SUM(G10:AV10)</f>
        <v>212.16239999999999</v>
      </c>
      <c r="AX10" s="3">
        <f>(AW10/$F$43)*100</f>
        <v>1.0321195914183652</v>
      </c>
    </row>
    <row r="11" spans="2:50" ht="14.25" customHeight="1" x14ac:dyDescent="0.3">
      <c r="B11" s="89" t="s">
        <v>24</v>
      </c>
      <c r="C11" s="90" t="s">
        <v>23</v>
      </c>
      <c r="D11" s="90" t="s">
        <v>25</v>
      </c>
      <c r="E11" s="90">
        <v>100</v>
      </c>
      <c r="F11" s="91">
        <f t="shared" si="0"/>
        <v>637</v>
      </c>
      <c r="G11" s="92">
        <f>+(6.5*0.6)</f>
        <v>3.9</v>
      </c>
      <c r="H11" s="93">
        <v>0</v>
      </c>
      <c r="I11" s="94">
        <v>0</v>
      </c>
      <c r="J11" s="92">
        <v>0</v>
      </c>
      <c r="K11" s="93">
        <f>+(2.55*0.6)</f>
        <v>1.5299999999999998</v>
      </c>
      <c r="L11" s="94">
        <v>0</v>
      </c>
      <c r="M11" s="92">
        <v>0</v>
      </c>
      <c r="N11" s="93">
        <f>+(9.7*2.9)</f>
        <v>28.129999999999995</v>
      </c>
      <c r="O11" s="94">
        <v>0</v>
      </c>
      <c r="P11" s="92">
        <v>0</v>
      </c>
      <c r="Q11" s="93">
        <v>0</v>
      </c>
      <c r="R11" s="94">
        <v>0</v>
      </c>
      <c r="S11" s="92">
        <f>+(1.9*1.2)</f>
        <v>2.2799999999999998</v>
      </c>
      <c r="T11" s="97">
        <f>+(5.76*2.4)+(5.97*1.1)+(3.5*1.5)+(2.8*1.1)+(2.4*1.24)+(5.4*0.97)</f>
        <v>36.934999999999995</v>
      </c>
      <c r="U11" s="96">
        <f>+(2.5*2)+(8.4*2.45)</f>
        <v>25.580000000000002</v>
      </c>
      <c r="V11" s="92">
        <v>0</v>
      </c>
      <c r="W11" s="97">
        <f>(13.5*2.6)</f>
        <v>35.1</v>
      </c>
      <c r="X11" s="94">
        <v>0</v>
      </c>
      <c r="Y11" s="98">
        <v>0</v>
      </c>
      <c r="Z11" s="99">
        <v>0</v>
      </c>
      <c r="AA11" s="99">
        <v>0</v>
      </c>
      <c r="AB11" s="110">
        <v>0</v>
      </c>
      <c r="AC11" s="93">
        <v>0</v>
      </c>
      <c r="AD11" s="96">
        <f>(15.3*2.9)</f>
        <v>44.37</v>
      </c>
      <c r="AE11" s="101">
        <v>0</v>
      </c>
      <c r="AF11" s="101">
        <v>0</v>
      </c>
      <c r="AG11" s="96">
        <f>(1.4*1.1)</f>
        <v>1.54</v>
      </c>
      <c r="AH11" s="92">
        <f>+(5.8*3.5)+(3.97*1.7)+(4.1*1.6)+(7.5*3.2)+(2*1.4)</f>
        <v>60.408999999999999</v>
      </c>
      <c r="AI11" s="97">
        <f>(1.77*1.78)+(2.4*1.24)</f>
        <v>6.1265999999999998</v>
      </c>
      <c r="AJ11" s="96">
        <f>+(2*2.62)+(4.6*2)+(2.7*1.7)</f>
        <v>19.03</v>
      </c>
      <c r="AK11" s="102">
        <v>0</v>
      </c>
      <c r="AL11" s="103">
        <f>+(4.3*1.25)</f>
        <v>5.375</v>
      </c>
      <c r="AM11" s="104">
        <v>0</v>
      </c>
      <c r="AN11" s="102">
        <v>0</v>
      </c>
      <c r="AO11" s="105">
        <v>0</v>
      </c>
      <c r="AP11" s="103">
        <v>0</v>
      </c>
      <c r="AQ11" s="106">
        <v>0</v>
      </c>
      <c r="AR11" s="107">
        <v>0</v>
      </c>
      <c r="AS11" s="108">
        <v>0</v>
      </c>
      <c r="AT11" s="109">
        <v>0</v>
      </c>
      <c r="AU11" s="103">
        <v>0</v>
      </c>
      <c r="AV11" s="104">
        <v>0</v>
      </c>
      <c r="AW11" s="3">
        <f>SUM(G11:AV11)</f>
        <v>270.30559999999997</v>
      </c>
      <c r="AX11" s="4">
        <f t="shared" ref="AX11:AX20" si="1">(AW11/$F$43)*100</f>
        <v>1.3149724240963339</v>
      </c>
    </row>
    <row r="12" spans="2:50" ht="14.25" customHeight="1" x14ac:dyDescent="0.3">
      <c r="B12" s="89" t="s">
        <v>26</v>
      </c>
      <c r="C12" s="90" t="s">
        <v>25</v>
      </c>
      <c r="D12" s="90" t="s">
        <v>27</v>
      </c>
      <c r="E12" s="90">
        <v>100</v>
      </c>
      <c r="F12" s="91">
        <f t="shared" si="0"/>
        <v>637</v>
      </c>
      <c r="G12" s="92">
        <v>0</v>
      </c>
      <c r="H12" s="93">
        <f>+(2.84*0.6)</f>
        <v>1.704</v>
      </c>
      <c r="I12" s="94">
        <f>+(3.36*0.6)+(5.3*0.6)</f>
        <v>5.1959999999999997</v>
      </c>
      <c r="J12" s="92">
        <v>0</v>
      </c>
      <c r="K12" s="93">
        <v>0</v>
      </c>
      <c r="L12" s="94">
        <v>0</v>
      </c>
      <c r="M12" s="92">
        <f>+(2.5*0.77)</f>
        <v>1.925</v>
      </c>
      <c r="N12" s="93">
        <f>+(1.64*1.2)</f>
        <v>1.9679999999999997</v>
      </c>
      <c r="O12" s="94">
        <f>+(2.12*1.24)+(2.54*0.84)+(6.2*1.14)</f>
        <v>11.830399999999999</v>
      </c>
      <c r="P12" s="92">
        <v>0</v>
      </c>
      <c r="Q12" s="93">
        <v>0</v>
      </c>
      <c r="R12" s="94">
        <v>0</v>
      </c>
      <c r="S12" s="92">
        <v>0</v>
      </c>
      <c r="T12" s="111">
        <f>+(4.2*0.9)+(5.4*2.1)+(3.2*2.6)+(4.83*1.6)</f>
        <v>31.168000000000003</v>
      </c>
      <c r="U12" s="112">
        <f>+(1.45*1.45)+(7.3*2.9)+(5.88*5.7)+(4.42*1.2)+(2.33*115)+(0.87*0.98)</f>
        <v>330.89510000000001</v>
      </c>
      <c r="V12" s="92">
        <v>0</v>
      </c>
      <c r="W12" s="93">
        <f>+(2.9*0.94)</f>
        <v>2.726</v>
      </c>
      <c r="X12" s="94">
        <v>0</v>
      </c>
      <c r="Y12" s="98">
        <v>0</v>
      </c>
      <c r="Z12" s="99">
        <v>0</v>
      </c>
      <c r="AA12" s="99">
        <v>0</v>
      </c>
      <c r="AB12" s="110">
        <v>0</v>
      </c>
      <c r="AC12" s="93">
        <v>0</v>
      </c>
      <c r="AD12" s="113">
        <v>0</v>
      </c>
      <c r="AE12" s="101">
        <v>0</v>
      </c>
      <c r="AF12" s="101">
        <v>0</v>
      </c>
      <c r="AG12" s="96">
        <f>+(0.84*0.27)</f>
        <v>0.2268</v>
      </c>
      <c r="AH12" s="92">
        <v>0</v>
      </c>
      <c r="AI12" s="93">
        <f>+(20.93*6.35)</f>
        <v>132.90549999999999</v>
      </c>
      <c r="AJ12" s="113">
        <f>+(5.42*1.33)+(2.28*1.5)+(3.2*1.3)+(15.3*6.35)+(2*1.15)+(6.85*1.68)</f>
        <v>125.7516</v>
      </c>
      <c r="AK12" s="114">
        <v>0</v>
      </c>
      <c r="AL12" s="115">
        <v>0</v>
      </c>
      <c r="AM12" s="116">
        <v>0</v>
      </c>
      <c r="AN12" s="102">
        <v>0</v>
      </c>
      <c r="AO12" s="105">
        <v>0</v>
      </c>
      <c r="AP12" s="103">
        <v>0</v>
      </c>
      <c r="AQ12" s="106">
        <v>0</v>
      </c>
      <c r="AR12" s="107">
        <v>0</v>
      </c>
      <c r="AS12" s="117">
        <v>0</v>
      </c>
      <c r="AT12" s="118">
        <v>0</v>
      </c>
      <c r="AU12" s="115">
        <v>0</v>
      </c>
      <c r="AV12" s="116">
        <v>0</v>
      </c>
      <c r="AW12" s="3">
        <f t="shared" ref="AW12:AW18" si="2">SUM(G12:AV12)</f>
        <v>646.29639999999995</v>
      </c>
      <c r="AX12" s="4">
        <f t="shared" si="1"/>
        <v>3.1440781981310555</v>
      </c>
    </row>
    <row r="13" spans="2:50" ht="14.25" customHeight="1" x14ac:dyDescent="0.3">
      <c r="B13" s="89" t="s">
        <v>28</v>
      </c>
      <c r="C13" s="90" t="s">
        <v>27</v>
      </c>
      <c r="D13" s="90" t="s">
        <v>29</v>
      </c>
      <c r="E13" s="90">
        <v>100</v>
      </c>
      <c r="F13" s="91">
        <f t="shared" si="0"/>
        <v>637</v>
      </c>
      <c r="G13" s="92">
        <v>0</v>
      </c>
      <c r="H13" s="93">
        <f>+(0.97*0.6)</f>
        <v>0.58199999999999996</v>
      </c>
      <c r="I13" s="94">
        <f>+(5.65*0.6)</f>
        <v>3.39</v>
      </c>
      <c r="J13" s="92">
        <f>+(1.45*0.6)</f>
        <v>0.87</v>
      </c>
      <c r="K13" s="93">
        <f>+(1.4*0.6)</f>
        <v>0.84</v>
      </c>
      <c r="L13" s="94">
        <v>0</v>
      </c>
      <c r="M13" s="92">
        <v>0</v>
      </c>
      <c r="N13" s="93">
        <f>+(2.16*0.96)+(1.9*0.62)</f>
        <v>3.2515999999999998</v>
      </c>
      <c r="O13" s="94">
        <f>+(4.4*1.7)+(1.6*1.33)+(0.66*0.76)+(4.7*1.19)</f>
        <v>15.7026</v>
      </c>
      <c r="P13" s="92">
        <f>+(1.59*0.6)</f>
        <v>0.95399999999999996</v>
      </c>
      <c r="Q13" s="93">
        <v>0</v>
      </c>
      <c r="R13" s="94">
        <v>0</v>
      </c>
      <c r="S13" s="92">
        <v>0</v>
      </c>
      <c r="T13" s="111">
        <v>0</v>
      </c>
      <c r="U13" s="112">
        <f>+(3.9*1.4)+(1.2*0.8)+(3.16*0.77)+(2.03*1.43)+(2.8*0.96)+(2.78*1.5)+(4.53*0.84)+(1.7*1.19)+(1.9*1.14)</f>
        <v>26.6083</v>
      </c>
      <c r="V13" s="92">
        <v>0</v>
      </c>
      <c r="W13" s="93">
        <v>0</v>
      </c>
      <c r="X13" s="94">
        <f>+(0.8*0.8)+(0.85*0.91)</f>
        <v>1.4135</v>
      </c>
      <c r="Y13" s="98">
        <f>+(2.1*0.34)</f>
        <v>0.71400000000000008</v>
      </c>
      <c r="Z13" s="99">
        <v>0</v>
      </c>
      <c r="AA13" s="100">
        <v>0</v>
      </c>
      <c r="AB13" s="101">
        <v>0</v>
      </c>
      <c r="AC13" s="93">
        <v>0</v>
      </c>
      <c r="AD13" s="113">
        <v>0</v>
      </c>
      <c r="AE13" s="101">
        <f>+(0.3*0.11)</f>
        <v>3.3000000000000002E-2</v>
      </c>
      <c r="AF13" s="101">
        <f>+(0.16*0.27)</f>
        <v>4.3200000000000002E-2</v>
      </c>
      <c r="AG13" s="96">
        <f>+(0.23*0.1)+(0.75*0.25)+(1*0.23)</f>
        <v>0.4405</v>
      </c>
      <c r="AH13" s="92">
        <f>+(2.66*1.7)</f>
        <v>4.5220000000000002</v>
      </c>
      <c r="AI13" s="93">
        <f>+(0.83*1.56)+(1.8*1.67)+(1.8*1.67)+(1.47*0.45)+(6.77*1.8)+(4.9*6.5)</f>
        <v>52.004300000000001</v>
      </c>
      <c r="AJ13" s="113">
        <f>+(2.6*1)+(1.12*1.15)+(2*1.84)</f>
        <v>7.5679999999999996</v>
      </c>
      <c r="AK13" s="114">
        <v>0</v>
      </c>
      <c r="AL13" s="115">
        <v>0</v>
      </c>
      <c r="AM13" s="116">
        <v>0</v>
      </c>
      <c r="AN13" s="102">
        <v>0</v>
      </c>
      <c r="AO13" s="105">
        <v>0</v>
      </c>
      <c r="AP13" s="103">
        <v>0</v>
      </c>
      <c r="AQ13" s="106">
        <v>0</v>
      </c>
      <c r="AR13" s="107">
        <v>0</v>
      </c>
      <c r="AS13" s="108">
        <v>0</v>
      </c>
      <c r="AT13" s="119">
        <v>0</v>
      </c>
      <c r="AU13" s="115">
        <v>0</v>
      </c>
      <c r="AV13" s="116">
        <v>0</v>
      </c>
      <c r="AW13" s="3">
        <f t="shared" si="2"/>
        <v>118.937</v>
      </c>
      <c r="AX13" s="3">
        <f t="shared" si="1"/>
        <v>0.57860020363893927</v>
      </c>
    </row>
    <row r="14" spans="2:50" ht="14.25" customHeight="1" x14ac:dyDescent="0.3">
      <c r="B14" s="89" t="s">
        <v>30</v>
      </c>
      <c r="C14" s="90" t="s">
        <v>29</v>
      </c>
      <c r="D14" s="90" t="s">
        <v>31</v>
      </c>
      <c r="E14" s="90">
        <v>100</v>
      </c>
      <c r="F14" s="91">
        <f t="shared" si="0"/>
        <v>637</v>
      </c>
      <c r="G14" s="92">
        <f>+(0.81*0.6)+(3*0.6)</f>
        <v>2.2859999999999996</v>
      </c>
      <c r="H14" s="93">
        <f>+(0.74*0.74)+(2.4*0.6)+(1.82*0.6)</f>
        <v>3.0796000000000001</v>
      </c>
      <c r="I14" s="94">
        <f>+(3.54*0.6)</f>
        <v>2.1240000000000001</v>
      </c>
      <c r="J14" s="92">
        <v>0</v>
      </c>
      <c r="K14" s="93">
        <f>+(1.6*0.6)</f>
        <v>0.96</v>
      </c>
      <c r="L14" s="94">
        <f>+(1.3*0.6)+(1.5*0.6)</f>
        <v>1.68</v>
      </c>
      <c r="M14" s="92">
        <f>+(1.37*0.96)+(0.8*0.7)+(3.63*0.72)</f>
        <v>4.4887999999999995</v>
      </c>
      <c r="N14" s="93">
        <f>+(4.77*0.76)+(1.83*0.93)*(2.47*1.06)+(2.8*1)</f>
        <v>10.881114580000002</v>
      </c>
      <c r="O14" s="94">
        <f>+(1.18*0.97)+(6.1*3.04)+(2.12*1.7)</f>
        <v>23.2926</v>
      </c>
      <c r="P14" s="92">
        <v>0</v>
      </c>
      <c r="Q14" s="93">
        <f>+(1.6*0.6)+(1.95*0.6)</f>
        <v>2.13</v>
      </c>
      <c r="R14" s="94">
        <v>0</v>
      </c>
      <c r="S14" s="92">
        <v>0</v>
      </c>
      <c r="T14" s="111">
        <f>+(2.45*0.93)</f>
        <v>2.2785000000000002</v>
      </c>
      <c r="U14" s="112">
        <f>+(9.4*1.4)+(7*1.16)+(3.36*1.58)+(4.5*0.96)+(3.8*1.3)+(2.13*1.14)+(2.4*1.85)+(4.56*1.55)+(2.6*1.96)+(1.4*1.6)+(3.7*1.05)</f>
        <v>61.005999999999986</v>
      </c>
      <c r="V14" s="92">
        <f>+(7.14*1.2)</f>
        <v>8.5679999999999996</v>
      </c>
      <c r="W14" s="93">
        <v>0</v>
      </c>
      <c r="X14" s="94">
        <v>0</v>
      </c>
      <c r="Y14" s="98">
        <f>+(2.1*0.34)</f>
        <v>0.71400000000000008</v>
      </c>
      <c r="Z14" s="99">
        <v>0</v>
      </c>
      <c r="AA14" s="100">
        <v>0</v>
      </c>
      <c r="AB14" s="101">
        <v>0</v>
      </c>
      <c r="AC14" s="93">
        <f>+(5.56*0.43)</f>
        <v>2.3907999999999996</v>
      </c>
      <c r="AD14" s="113">
        <f>+(5.9*0.38)</f>
        <v>2.242</v>
      </c>
      <c r="AE14" s="101">
        <v>0</v>
      </c>
      <c r="AF14" s="101">
        <v>0</v>
      </c>
      <c r="AG14" s="96">
        <f>+(0.44*0.17)+(0.3*0.28)+(0.35*0.29)+(0.68*0.34)</f>
        <v>0.49150000000000005</v>
      </c>
      <c r="AH14" s="92">
        <f>+(1.42*3.15)</f>
        <v>4.4729999999999999</v>
      </c>
      <c r="AI14" s="93">
        <v>0</v>
      </c>
      <c r="AJ14" s="113">
        <f>+(1.64*1.42)+(8.4*1.8)+(6.4*4.5)</f>
        <v>46.248800000000003</v>
      </c>
      <c r="AK14" s="114">
        <f>+(1.03*0.6)</f>
        <v>0.61799999999999999</v>
      </c>
      <c r="AL14" s="115">
        <f>+(0.93*0.8)</f>
        <v>0.74400000000000011</v>
      </c>
      <c r="AM14" s="116">
        <v>0</v>
      </c>
      <c r="AN14" s="102">
        <v>0</v>
      </c>
      <c r="AO14" s="105">
        <v>0</v>
      </c>
      <c r="AP14" s="103">
        <v>0</v>
      </c>
      <c r="AQ14" s="106">
        <v>0</v>
      </c>
      <c r="AR14" s="107">
        <v>0</v>
      </c>
      <c r="AS14" s="108">
        <v>0</v>
      </c>
      <c r="AT14" s="119">
        <v>0</v>
      </c>
      <c r="AU14" s="115">
        <v>0</v>
      </c>
      <c r="AV14" s="116">
        <v>0</v>
      </c>
      <c r="AW14" s="3">
        <f t="shared" si="2"/>
        <v>180.69671458000002</v>
      </c>
      <c r="AX14" s="3">
        <f t="shared" si="1"/>
        <v>0.87904651918978371</v>
      </c>
    </row>
    <row r="15" spans="2:50" ht="14.25" customHeight="1" x14ac:dyDescent="0.3">
      <c r="B15" s="89" t="s">
        <v>32</v>
      </c>
      <c r="C15" s="90" t="s">
        <v>31</v>
      </c>
      <c r="D15" s="90" t="s">
        <v>33</v>
      </c>
      <c r="E15" s="90">
        <v>100</v>
      </c>
      <c r="F15" s="91">
        <f t="shared" si="0"/>
        <v>637</v>
      </c>
      <c r="G15" s="92">
        <f>+(2.19*0.6)</f>
        <v>1.3139999999999998</v>
      </c>
      <c r="H15" s="93">
        <v>0</v>
      </c>
      <c r="I15" s="94">
        <f>+(4.1*0.6)+(2.2*0.6)+(1.8*0.6)</f>
        <v>4.8599999999999994</v>
      </c>
      <c r="J15" s="92">
        <f>+(0.94*0.6)</f>
        <v>0.56399999999999995</v>
      </c>
      <c r="K15" s="93">
        <f>+(1.53*0.6)</f>
        <v>0.91799999999999993</v>
      </c>
      <c r="L15" s="94">
        <v>0</v>
      </c>
      <c r="M15" s="92">
        <f>+(1.24*1.1)</f>
        <v>1.3640000000000001</v>
      </c>
      <c r="N15" s="93">
        <f>+(1.3*1.13)+(3.77*0.92)</f>
        <v>4.9374000000000002</v>
      </c>
      <c r="O15" s="94">
        <f>+(9.1*1.13)</f>
        <v>10.282999999999999</v>
      </c>
      <c r="P15" s="92">
        <v>0</v>
      </c>
      <c r="Q15" s="93">
        <v>0</v>
      </c>
      <c r="R15" s="94">
        <v>0</v>
      </c>
      <c r="S15" s="92">
        <v>0</v>
      </c>
      <c r="T15" s="111">
        <v>0</v>
      </c>
      <c r="U15" s="112">
        <f>+(2.3*1.7)+(2.6*1.7)+(3.1*1.7)+(7.7*1.8)+(6.16*4.94)+(11*1.4)+((1.7*0.92)+(3.9*1.87))</f>
        <v>82.147400000000005</v>
      </c>
      <c r="V15" s="92">
        <v>0</v>
      </c>
      <c r="W15" s="93">
        <v>0</v>
      </c>
      <c r="X15" s="120">
        <f>+(2.9*0.3)</f>
        <v>0.87</v>
      </c>
      <c r="Y15" s="121">
        <v>0</v>
      </c>
      <c r="Z15" s="99">
        <v>0</v>
      </c>
      <c r="AA15" s="100">
        <v>0</v>
      </c>
      <c r="AB15" s="101">
        <f>+(7.87*0.43)+(9.1*0.4)</f>
        <v>7.0241000000000007</v>
      </c>
      <c r="AC15" s="93">
        <f>+(12.13*0.4)</f>
        <v>4.8520000000000003</v>
      </c>
      <c r="AD15" s="113">
        <v>0</v>
      </c>
      <c r="AE15" s="101">
        <v>0</v>
      </c>
      <c r="AF15" s="101">
        <v>0</v>
      </c>
      <c r="AG15" s="96">
        <f>+(0.26*0.6)+(0.69*0.205)</f>
        <v>0.29744999999999999</v>
      </c>
      <c r="AH15" s="92">
        <v>0</v>
      </c>
      <c r="AI15" s="93">
        <v>0</v>
      </c>
      <c r="AJ15" s="113">
        <v>0</v>
      </c>
      <c r="AK15" s="114">
        <v>0</v>
      </c>
      <c r="AL15" s="115">
        <v>0</v>
      </c>
      <c r="AM15" s="116">
        <v>0</v>
      </c>
      <c r="AN15" s="102">
        <v>0</v>
      </c>
      <c r="AO15" s="105">
        <v>0</v>
      </c>
      <c r="AP15" s="103">
        <v>0</v>
      </c>
      <c r="AQ15" s="106">
        <v>0</v>
      </c>
      <c r="AR15" s="107">
        <v>0</v>
      </c>
      <c r="AS15" s="108">
        <v>0</v>
      </c>
      <c r="AT15" s="119">
        <v>0</v>
      </c>
      <c r="AU15" s="115">
        <v>0</v>
      </c>
      <c r="AV15" s="116">
        <v>0</v>
      </c>
      <c r="AW15" s="3">
        <f t="shared" si="2"/>
        <v>119.43135000000001</v>
      </c>
      <c r="AX15" s="4">
        <f t="shared" si="1"/>
        <v>0.58100509875710193</v>
      </c>
    </row>
    <row r="16" spans="2:50" ht="14.25" customHeight="1" x14ac:dyDescent="0.3">
      <c r="B16" s="89" t="s">
        <v>34</v>
      </c>
      <c r="C16" s="90" t="s">
        <v>33</v>
      </c>
      <c r="D16" s="90" t="s">
        <v>35</v>
      </c>
      <c r="E16" s="90">
        <v>100</v>
      </c>
      <c r="F16" s="91">
        <f t="shared" si="0"/>
        <v>637</v>
      </c>
      <c r="G16" s="92">
        <f>+(0.86*0.6)+(1.47*0.6)</f>
        <v>1.3980000000000001</v>
      </c>
      <c r="H16" s="93">
        <f>+(3.5*0.6)</f>
        <v>2.1</v>
      </c>
      <c r="I16" s="94">
        <f>+(1.7*0.6)+(1.53*0.6)+(0.97*0.6)</f>
        <v>2.52</v>
      </c>
      <c r="J16" s="92">
        <f>+(1.53*0.6)+(1.57*0.6)</f>
        <v>1.8599999999999999</v>
      </c>
      <c r="K16" s="93">
        <f>+(2.72*0.6)</f>
        <v>1.6320000000000001</v>
      </c>
      <c r="L16" s="94">
        <f>+(2*0.6)+(1.24*0.6)+(1.36*0.6)</f>
        <v>2.76</v>
      </c>
      <c r="M16" s="92">
        <f>+(1.02*0.59)</f>
        <v>0.6018</v>
      </c>
      <c r="N16" s="93">
        <f>(0.95*0.45)</f>
        <v>0.42749999999999999</v>
      </c>
      <c r="O16" s="94">
        <f>+(1.03*1.68)+(1.53*0.63)</f>
        <v>2.6943000000000001</v>
      </c>
      <c r="P16" s="92">
        <v>0</v>
      </c>
      <c r="Q16" s="93">
        <v>0</v>
      </c>
      <c r="R16" s="94">
        <v>0</v>
      </c>
      <c r="S16" s="92">
        <f>+(0.87*0.4)</f>
        <v>0.34800000000000003</v>
      </c>
      <c r="T16" s="111">
        <f>+(1.64*1.3)</f>
        <v>2.1320000000000001</v>
      </c>
      <c r="U16" s="112">
        <f>+(5.05*0.39)+(1.3*0.72)+(0.83*1.8)</f>
        <v>4.3994999999999997</v>
      </c>
      <c r="V16" s="92">
        <v>0</v>
      </c>
      <c r="W16" s="93">
        <v>0</v>
      </c>
      <c r="X16" s="94">
        <v>0</v>
      </c>
      <c r="Y16" s="122">
        <v>0</v>
      </c>
      <c r="Z16" s="99">
        <v>0</v>
      </c>
      <c r="AA16" s="100">
        <v>0</v>
      </c>
      <c r="AB16" s="101">
        <f>+(5*0.39)</f>
        <v>1.9500000000000002</v>
      </c>
      <c r="AC16" s="93">
        <v>0</v>
      </c>
      <c r="AD16" s="113">
        <v>0</v>
      </c>
      <c r="AE16" s="101">
        <v>0</v>
      </c>
      <c r="AF16" s="101">
        <v>0</v>
      </c>
      <c r="AG16" s="96">
        <f>+(0.75*0.34)</f>
        <v>0.255</v>
      </c>
      <c r="AH16" s="92">
        <v>0</v>
      </c>
      <c r="AI16" s="93">
        <v>0</v>
      </c>
      <c r="AJ16" s="113">
        <v>0</v>
      </c>
      <c r="AK16" s="114">
        <v>0</v>
      </c>
      <c r="AL16" s="115">
        <v>0</v>
      </c>
      <c r="AM16" s="116">
        <v>0</v>
      </c>
      <c r="AN16" s="114">
        <v>0</v>
      </c>
      <c r="AO16" s="123">
        <v>0</v>
      </c>
      <c r="AP16" s="115">
        <f>+(23.8*0.26)+(28.3*0.4)</f>
        <v>17.508000000000003</v>
      </c>
      <c r="AQ16" s="122">
        <v>0</v>
      </c>
      <c r="AR16" s="124">
        <f>(5.27*0.4)+(15.25*0.6)</f>
        <v>11.258000000000001</v>
      </c>
      <c r="AS16" s="99">
        <v>0</v>
      </c>
      <c r="AT16" s="119">
        <f>(6.68*0.6)+(6.9*0.6)</f>
        <v>8.1479999999999997</v>
      </c>
      <c r="AU16" s="115">
        <v>0</v>
      </c>
      <c r="AV16" s="116">
        <v>0</v>
      </c>
      <c r="AW16" s="3">
        <f t="shared" si="2"/>
        <v>61.992100000000008</v>
      </c>
      <c r="AX16" s="4">
        <f t="shared" si="1"/>
        <v>0.30157681532244374</v>
      </c>
    </row>
    <row r="17" spans="2:50" ht="14.25" customHeight="1" x14ac:dyDescent="0.3">
      <c r="B17" s="89" t="s">
        <v>36</v>
      </c>
      <c r="C17" s="90" t="s">
        <v>35</v>
      </c>
      <c r="D17" s="90" t="s">
        <v>37</v>
      </c>
      <c r="E17" s="90">
        <v>100</v>
      </c>
      <c r="F17" s="91">
        <f t="shared" si="0"/>
        <v>637</v>
      </c>
      <c r="G17" s="92">
        <f>+(1.5*0.6)+(1.8*0.6)</f>
        <v>1.98</v>
      </c>
      <c r="H17" s="93">
        <v>0</v>
      </c>
      <c r="I17" s="94">
        <v>0</v>
      </c>
      <c r="J17" s="92">
        <v>0</v>
      </c>
      <c r="K17" s="93">
        <f>+(0.8*0.6)</f>
        <v>0.48</v>
      </c>
      <c r="L17" s="94">
        <v>0</v>
      </c>
      <c r="M17" s="92">
        <v>0</v>
      </c>
      <c r="N17" s="93">
        <v>0</v>
      </c>
      <c r="O17" s="94">
        <v>0</v>
      </c>
      <c r="P17" s="92">
        <v>0</v>
      </c>
      <c r="Q17" s="93">
        <v>0</v>
      </c>
      <c r="R17" s="94">
        <v>0</v>
      </c>
      <c r="S17" s="92">
        <v>0</v>
      </c>
      <c r="T17" s="111">
        <v>0</v>
      </c>
      <c r="U17" s="112">
        <f>+(1.54*0.36)</f>
        <v>0.5544</v>
      </c>
      <c r="V17" s="92">
        <v>0</v>
      </c>
      <c r="W17" s="93">
        <v>0</v>
      </c>
      <c r="X17" s="94">
        <v>0</v>
      </c>
      <c r="Y17" s="122">
        <v>0</v>
      </c>
      <c r="Z17" s="99">
        <v>0</v>
      </c>
      <c r="AA17" s="100">
        <v>0</v>
      </c>
      <c r="AB17" s="101">
        <f>+(3.53*0.77)+(5.07*0.43)+(5*0.8)+(4.3*0.72)+(5*0.77)</f>
        <v>15.844199999999999</v>
      </c>
      <c r="AC17" s="93">
        <v>0</v>
      </c>
      <c r="AD17" s="113">
        <f>+(10.9*0.87)+(7.4*2.7)+(1.7*0.68)+(6.1*0.6)</f>
        <v>34.279000000000003</v>
      </c>
      <c r="AE17" s="101">
        <v>0</v>
      </c>
      <c r="AF17" s="101">
        <v>0</v>
      </c>
      <c r="AG17" s="96">
        <v>0</v>
      </c>
      <c r="AH17" s="92">
        <v>0</v>
      </c>
      <c r="AI17" s="93">
        <v>0</v>
      </c>
      <c r="AJ17" s="113">
        <f>+(0.53*1.03)</f>
        <v>0.54590000000000005</v>
      </c>
      <c r="AK17" s="114">
        <v>0</v>
      </c>
      <c r="AL17" s="115">
        <v>0</v>
      </c>
      <c r="AM17" s="116">
        <v>0</v>
      </c>
      <c r="AN17" s="114">
        <v>0</v>
      </c>
      <c r="AO17" s="123">
        <v>0</v>
      </c>
      <c r="AP17" s="125">
        <f>(9*0.6)</f>
        <v>5.3999999999999995</v>
      </c>
      <c r="AQ17" s="126">
        <v>0</v>
      </c>
      <c r="AR17" s="124">
        <f>+(15.25*0.6)</f>
        <v>9.15</v>
      </c>
      <c r="AS17" s="100">
        <v>0</v>
      </c>
      <c r="AT17" s="118">
        <v>0</v>
      </c>
      <c r="AU17" s="115">
        <v>0</v>
      </c>
      <c r="AV17" s="116">
        <v>0</v>
      </c>
      <c r="AW17" s="3">
        <f t="shared" si="2"/>
        <v>68.233500000000006</v>
      </c>
      <c r="AX17" s="3">
        <f t="shared" si="1"/>
        <v>0.33193974116547054</v>
      </c>
    </row>
    <row r="18" spans="2:50" ht="14.25" customHeight="1" x14ac:dyDescent="0.3">
      <c r="B18" s="127" t="s">
        <v>51</v>
      </c>
      <c r="C18" s="90" t="s">
        <v>37</v>
      </c>
      <c r="D18" s="90" t="s">
        <v>54</v>
      </c>
      <c r="E18" s="90">
        <v>100</v>
      </c>
      <c r="F18" s="91">
        <f t="shared" si="0"/>
        <v>637</v>
      </c>
      <c r="G18" s="92">
        <f>+(0.53*0.6)+(3.18*0.6)+(2.8*0.6)</f>
        <v>3.9059999999999997</v>
      </c>
      <c r="H18" s="93">
        <v>0</v>
      </c>
      <c r="I18" s="94">
        <v>0</v>
      </c>
      <c r="J18" s="92">
        <f>+(1*0.6)+(0.1*0.6)</f>
        <v>0.65999999999999992</v>
      </c>
      <c r="K18" s="93">
        <v>0</v>
      </c>
      <c r="L18" s="94">
        <f>+(0.1*0.6)</f>
        <v>0.06</v>
      </c>
      <c r="M18" s="92">
        <v>0</v>
      </c>
      <c r="N18" s="93">
        <f>+(0.48*0.55)</f>
        <v>0.26400000000000001</v>
      </c>
      <c r="O18" s="94">
        <v>0</v>
      </c>
      <c r="P18" s="92">
        <v>0</v>
      </c>
      <c r="Q18" s="93">
        <v>0</v>
      </c>
      <c r="R18" s="94">
        <v>0</v>
      </c>
      <c r="S18" s="92">
        <v>0</v>
      </c>
      <c r="T18" s="111">
        <f>+(1.68*1.2)</f>
        <v>2.016</v>
      </c>
      <c r="U18" s="112">
        <f>+(1.88*0.54)+(5.1*0.48)+(6.26*0.33)</f>
        <v>5.5289999999999999</v>
      </c>
      <c r="V18" s="92">
        <v>0</v>
      </c>
      <c r="W18" s="93">
        <v>0</v>
      </c>
      <c r="X18" s="94">
        <v>0</v>
      </c>
      <c r="Y18" s="122">
        <v>0</v>
      </c>
      <c r="Z18" s="99">
        <v>0</v>
      </c>
      <c r="AA18" s="100">
        <v>0</v>
      </c>
      <c r="AB18" s="101">
        <v>0</v>
      </c>
      <c r="AC18" s="93">
        <v>0</v>
      </c>
      <c r="AD18" s="113">
        <v>0</v>
      </c>
      <c r="AE18" s="101">
        <f>+(0.2*0.3)</f>
        <v>0.06</v>
      </c>
      <c r="AF18" s="101">
        <v>0</v>
      </c>
      <c r="AG18" s="96">
        <f>+(0.2*0.2)+(0.75*0.3)</f>
        <v>0.26500000000000001</v>
      </c>
      <c r="AH18" s="92">
        <f>+(1.14*0.97)+(5.05*0.44)+(5.2*1.66)+(4.05*0.6)</f>
        <v>14.389799999999999</v>
      </c>
      <c r="AI18" s="93">
        <f>+(1.68*1.2)</f>
        <v>2.016</v>
      </c>
      <c r="AJ18" s="113">
        <f>+(14.11*2.11)+(5.38*1.84)+(14.13*4)+(6.6*1.2)</f>
        <v>104.11130000000001</v>
      </c>
      <c r="AK18" s="114">
        <v>0</v>
      </c>
      <c r="AL18" s="115">
        <v>0</v>
      </c>
      <c r="AM18" s="116">
        <v>0</v>
      </c>
      <c r="AN18" s="114">
        <v>0</v>
      </c>
      <c r="AO18" s="123">
        <v>0</v>
      </c>
      <c r="AP18" s="125">
        <v>0</v>
      </c>
      <c r="AQ18" s="126">
        <v>0</v>
      </c>
      <c r="AR18" s="124">
        <v>0</v>
      </c>
      <c r="AS18" s="99">
        <v>0</v>
      </c>
      <c r="AT18" s="119">
        <v>0</v>
      </c>
      <c r="AU18" s="115">
        <f>+(3.96*0.6)</f>
        <v>2.3759999999999999</v>
      </c>
      <c r="AV18" s="116">
        <f>+(11.2*0.6)</f>
        <v>6.72</v>
      </c>
      <c r="AW18" s="3">
        <f t="shared" si="2"/>
        <v>142.37310000000002</v>
      </c>
      <c r="AX18" s="3">
        <f t="shared" si="1"/>
        <v>0.69261125345945396</v>
      </c>
    </row>
    <row r="19" spans="2:50" ht="14.25" customHeight="1" x14ac:dyDescent="0.3">
      <c r="B19" s="127" t="s">
        <v>52</v>
      </c>
      <c r="C19" s="90" t="s">
        <v>54</v>
      </c>
      <c r="D19" s="90" t="s">
        <v>55</v>
      </c>
      <c r="E19" s="90">
        <v>100</v>
      </c>
      <c r="F19" s="91">
        <f t="shared" si="0"/>
        <v>637</v>
      </c>
      <c r="G19" s="92">
        <f>+(1.78*0.6)+(4.07*0.6)+(1.44*0.6)</f>
        <v>4.3740000000000006</v>
      </c>
      <c r="H19" s="93">
        <f>+(2.64*0.6)+(2.48*0.6)</f>
        <v>3.0720000000000001</v>
      </c>
      <c r="I19" s="94">
        <f>+(2.09*0.6)</f>
        <v>1.2539999999999998</v>
      </c>
      <c r="J19" s="92">
        <f>+(1.32*0.6)</f>
        <v>0.79200000000000004</v>
      </c>
      <c r="K19" s="93">
        <f>+(1.15*0.6)+(1.88*0.6)</f>
        <v>1.8179999999999998</v>
      </c>
      <c r="L19" s="94">
        <f>+(1.97*0.6)+(2.61*0.6)+(2.06*0.6)+(1.33*0.6)</f>
        <v>4.782</v>
      </c>
      <c r="M19" s="92">
        <f>+(3.6*2.85)+(4.54*4.95)+(2*0.7)+(0.85*0.82)</f>
        <v>34.830000000000005</v>
      </c>
      <c r="N19" s="93">
        <f>+(6.8*1.7)+(1.68*0.75)+(1.04*1.04)+(1.86*1.14)+(5.68*0.84)+(1.38*0.91)+(1.18*1.48)+(0.8*1.23)</f>
        <v>24.779400000000003</v>
      </c>
      <c r="O19" s="94">
        <f>+(3.9*0.83)+(4.08*1.32)+(2.26*1.94)+(3.36*1.38)+(7.86*1.73)</f>
        <v>31.241599999999998</v>
      </c>
      <c r="P19" s="92">
        <v>0</v>
      </c>
      <c r="Q19" s="93">
        <v>0</v>
      </c>
      <c r="R19" s="94">
        <v>0</v>
      </c>
      <c r="S19" s="92">
        <v>0</v>
      </c>
      <c r="T19" s="111">
        <f>+(1.28*1.4)</f>
        <v>1.7919999999999998</v>
      </c>
      <c r="U19" s="112">
        <f>+(5.95*1.1)+(1.6*0.64)</f>
        <v>7.5690000000000008</v>
      </c>
      <c r="V19" s="92">
        <v>0</v>
      </c>
      <c r="W19" s="93">
        <v>0</v>
      </c>
      <c r="X19" s="94">
        <f>+(5.4*2.3)</f>
        <v>12.42</v>
      </c>
      <c r="Y19" s="122">
        <v>0</v>
      </c>
      <c r="Z19" s="99">
        <v>0</v>
      </c>
      <c r="AA19" s="100">
        <v>0</v>
      </c>
      <c r="AB19" s="101">
        <v>0</v>
      </c>
      <c r="AC19" s="93">
        <f>+(0.2*0.3)</f>
        <v>0.06</v>
      </c>
      <c r="AD19" s="113">
        <v>0</v>
      </c>
      <c r="AE19" s="101">
        <v>0</v>
      </c>
      <c r="AF19" s="101">
        <v>0</v>
      </c>
      <c r="AG19" s="96">
        <v>0</v>
      </c>
      <c r="AH19" s="92">
        <f>+(3.36*1.38)</f>
        <v>4.6367999999999991</v>
      </c>
      <c r="AI19" s="93">
        <f>+(8*3.65)+(8.85*1.73)</f>
        <v>44.5105</v>
      </c>
      <c r="AJ19" s="113">
        <v>0</v>
      </c>
      <c r="AK19" s="114">
        <v>0</v>
      </c>
      <c r="AL19" s="115">
        <f>+(1.53*0.82)</f>
        <v>1.2545999999999999</v>
      </c>
      <c r="AM19" s="116">
        <f>+(2.18*0.71)</f>
        <v>1.5478000000000001</v>
      </c>
      <c r="AN19" s="114">
        <v>0</v>
      </c>
      <c r="AO19" s="123">
        <v>0</v>
      </c>
      <c r="AP19" s="115">
        <v>0</v>
      </c>
      <c r="AQ19" s="122">
        <v>0</v>
      </c>
      <c r="AR19" s="124">
        <v>0</v>
      </c>
      <c r="AS19" s="99">
        <v>0</v>
      </c>
      <c r="AT19" s="119">
        <v>0</v>
      </c>
      <c r="AU19" s="115">
        <f>+(3.67*0.6)</f>
        <v>2.202</v>
      </c>
      <c r="AV19" s="116">
        <f>+(16.3*0.6)</f>
        <v>9.7799999999999994</v>
      </c>
      <c r="AW19" s="3">
        <f>SUM(G19:AV19)</f>
        <v>192.71570000000003</v>
      </c>
      <c r="AX19" s="3">
        <f t="shared" si="1"/>
        <v>0.93751602330999395</v>
      </c>
    </row>
    <row r="20" spans="2:50" ht="14.25" customHeight="1" x14ac:dyDescent="0.3">
      <c r="B20" s="128" t="s">
        <v>53</v>
      </c>
      <c r="C20" s="90" t="s">
        <v>55</v>
      </c>
      <c r="D20" s="90" t="s">
        <v>83</v>
      </c>
      <c r="E20" s="90">
        <v>100</v>
      </c>
      <c r="F20" s="91">
        <f t="shared" si="0"/>
        <v>637</v>
      </c>
      <c r="G20" s="129">
        <f>+(1.44*0.6)</f>
        <v>0.86399999999999999</v>
      </c>
      <c r="H20" s="93">
        <v>0</v>
      </c>
      <c r="I20" s="94">
        <v>0</v>
      </c>
      <c r="J20" s="92">
        <f>+(1.88*0.6)</f>
        <v>1.1279999999999999</v>
      </c>
      <c r="K20" s="93">
        <v>0</v>
      </c>
      <c r="L20" s="94">
        <v>0</v>
      </c>
      <c r="M20" s="92">
        <f>+(1.35*0.82)+(7.28*1.23)</f>
        <v>10.061399999999999</v>
      </c>
      <c r="N20" s="93">
        <f>+(4.64*2.68)</f>
        <v>12.4352</v>
      </c>
      <c r="O20" s="94">
        <f>+(7.66*2.98)</f>
        <v>22.826799999999999</v>
      </c>
      <c r="P20" s="92">
        <v>0</v>
      </c>
      <c r="Q20" s="93">
        <v>0</v>
      </c>
      <c r="R20" s="94">
        <v>0</v>
      </c>
      <c r="S20" s="92">
        <f>+(2.23*0.76)+(8*1.5)</f>
        <v>13.694800000000001</v>
      </c>
      <c r="T20" s="111">
        <f>+(1.85*1.1)+(0.84*0.9)+(3.2*1.71)+(6.7*1.33)+(1.22*1.57)+(1.72*0.72)+(3.4*1.16)+(7.6*1.14)</f>
        <v>32.9358</v>
      </c>
      <c r="U20" s="112">
        <f>+(1.54*2.93)+(1.68*0.94)+(9*1.95)+(3.64*1.42)+(2.9*1.03)</f>
        <v>31.797200000000004</v>
      </c>
      <c r="V20" s="92">
        <v>0</v>
      </c>
      <c r="W20" s="93">
        <v>0</v>
      </c>
      <c r="X20" s="94">
        <f>+(1.23*0.53)+(0.37*0.7)+(4.75*0.56)</f>
        <v>3.5709</v>
      </c>
      <c r="Y20" s="122">
        <v>0</v>
      </c>
      <c r="Z20" s="99">
        <v>0</v>
      </c>
      <c r="AA20" s="100">
        <v>0</v>
      </c>
      <c r="AB20" s="101">
        <v>0</v>
      </c>
      <c r="AC20" s="93">
        <f>+(1.7*0.8)</f>
        <v>1.36</v>
      </c>
      <c r="AD20" s="113">
        <v>0</v>
      </c>
      <c r="AE20" s="101">
        <f>+(1.19*1.24)</f>
        <v>1.4756</v>
      </c>
      <c r="AF20" s="101">
        <v>0</v>
      </c>
      <c r="AG20" s="96">
        <f>+(0.84*0.29)+(0.54*0.4)+(0.56*0.45)+(0.19*0.14)+(0.45*0.4)+(0.34*0.35)+(0.4*0.25)+(0.93*0.43)+(0.43*0.4)+(0.34*0.29)+(0.23*0.28)+(0.36*0.21)</f>
        <v>1.9477000000000002</v>
      </c>
      <c r="AH20" s="92">
        <f>+(3.12*1.32)+(1.8*1.22)+(7.9*1.35)+(5.03*1.53)+(7.3*2.94)+(3.1*1.6)*(8.15*2.04)+(3.18*2.62)+(9.6*1.92)</f>
        <v>155.36586000000003</v>
      </c>
      <c r="AI20" s="93">
        <v>0</v>
      </c>
      <c r="AJ20" s="113">
        <v>0</v>
      </c>
      <c r="AK20" s="114">
        <v>0</v>
      </c>
      <c r="AL20" s="115">
        <v>0</v>
      </c>
      <c r="AM20" s="116">
        <v>0</v>
      </c>
      <c r="AN20" s="114">
        <v>0</v>
      </c>
      <c r="AO20" s="123">
        <v>0</v>
      </c>
      <c r="AP20" s="115">
        <v>0</v>
      </c>
      <c r="AQ20" s="122">
        <v>0</v>
      </c>
      <c r="AR20" s="124">
        <v>0</v>
      </c>
      <c r="AS20" s="99">
        <v>0</v>
      </c>
      <c r="AT20" s="119">
        <v>0</v>
      </c>
      <c r="AU20" s="115">
        <v>0</v>
      </c>
      <c r="AV20" s="116">
        <f>+(4.57*0.6)</f>
        <v>2.742</v>
      </c>
      <c r="AW20" s="3">
        <f t="shared" ref="AW20:AW42" si="3">SUM(G20:AV20)</f>
        <v>292.20526000000001</v>
      </c>
      <c r="AX20" s="5">
        <f t="shared" si="1"/>
        <v>1.4215090589166468</v>
      </c>
    </row>
    <row r="21" spans="2:50" ht="14.25" customHeight="1" x14ac:dyDescent="0.3">
      <c r="B21" s="128" t="s">
        <v>61</v>
      </c>
      <c r="C21" s="90" t="s">
        <v>83</v>
      </c>
      <c r="D21" s="90" t="s">
        <v>84</v>
      </c>
      <c r="E21" s="90">
        <v>100</v>
      </c>
      <c r="F21" s="91">
        <f t="shared" ref="F21:F42" si="4">$G$50*E21</f>
        <v>637</v>
      </c>
      <c r="G21" s="129">
        <f>+(7.37*0.6)</f>
        <v>4.4219999999999997</v>
      </c>
      <c r="H21" s="93">
        <v>0</v>
      </c>
      <c r="I21" s="94">
        <v>0</v>
      </c>
      <c r="J21" s="92">
        <f>+(1.5*0.6)</f>
        <v>0.89999999999999991</v>
      </c>
      <c r="K21" s="93">
        <v>0</v>
      </c>
      <c r="L21" s="94">
        <v>0</v>
      </c>
      <c r="M21" s="92">
        <v>0</v>
      </c>
      <c r="N21" s="93">
        <v>0</v>
      </c>
      <c r="O21" s="94">
        <v>0</v>
      </c>
      <c r="P21" s="92">
        <v>0</v>
      </c>
      <c r="Q21" s="93">
        <v>0</v>
      </c>
      <c r="R21" s="94">
        <v>0</v>
      </c>
      <c r="S21" s="92">
        <v>0</v>
      </c>
      <c r="T21" s="111">
        <v>0</v>
      </c>
      <c r="U21" s="112">
        <v>0</v>
      </c>
      <c r="V21" s="92">
        <v>0</v>
      </c>
      <c r="W21" s="93">
        <v>0</v>
      </c>
      <c r="X21" s="94">
        <v>0</v>
      </c>
      <c r="Y21" s="122">
        <v>0</v>
      </c>
      <c r="Z21" s="99">
        <v>0</v>
      </c>
      <c r="AA21" s="100">
        <v>0</v>
      </c>
      <c r="AB21" s="101">
        <v>0</v>
      </c>
      <c r="AC21" s="93">
        <v>0</v>
      </c>
      <c r="AD21" s="113">
        <v>0</v>
      </c>
      <c r="AE21" s="101">
        <v>0</v>
      </c>
      <c r="AF21" s="101">
        <v>0</v>
      </c>
      <c r="AG21" s="96">
        <f>+(0.17*0.22)+(0.6*0.44)+(2.4*0.46)+(0.46*0.33)</f>
        <v>1.5572000000000001</v>
      </c>
      <c r="AH21" s="92">
        <f>+(15.26*3.6)+(1.95*1.72)+(2.8*1.4)+(3.84*1.18)+(2*1.7)+(5.45*2.58)+(1.47*1.21)</f>
        <v>85.98090000000002</v>
      </c>
      <c r="AI21" s="93">
        <v>0</v>
      </c>
      <c r="AJ21" s="113">
        <v>0</v>
      </c>
      <c r="AK21" s="114">
        <v>0</v>
      </c>
      <c r="AL21" s="115">
        <v>0</v>
      </c>
      <c r="AM21" s="116">
        <v>0</v>
      </c>
      <c r="AN21" s="114">
        <v>0</v>
      </c>
      <c r="AO21" s="123">
        <v>0</v>
      </c>
      <c r="AP21" s="115">
        <v>0</v>
      </c>
      <c r="AQ21" s="122">
        <v>0</v>
      </c>
      <c r="AR21" s="124">
        <v>0</v>
      </c>
      <c r="AS21" s="99">
        <v>0</v>
      </c>
      <c r="AT21" s="119">
        <v>0</v>
      </c>
      <c r="AU21" s="115">
        <v>0</v>
      </c>
      <c r="AV21" s="116">
        <v>0</v>
      </c>
      <c r="AW21" s="3">
        <f t="shared" si="3"/>
        <v>92.860100000000017</v>
      </c>
      <c r="AX21" s="5">
        <f t="shared" ref="AX21:AX42" si="5">(AW21/$F$43)*100</f>
        <v>0.45174229020348816</v>
      </c>
    </row>
    <row r="22" spans="2:50" ht="14.25" customHeight="1" x14ac:dyDescent="0.3">
      <c r="B22" s="128" t="s">
        <v>62</v>
      </c>
      <c r="C22" s="90" t="s">
        <v>84</v>
      </c>
      <c r="D22" s="90" t="s">
        <v>85</v>
      </c>
      <c r="E22" s="90">
        <v>100</v>
      </c>
      <c r="F22" s="91">
        <f t="shared" si="4"/>
        <v>637</v>
      </c>
      <c r="G22" s="129">
        <f>+(0.83*0.6)+(5.5*0.6)+(0.9*0.6)+(4.4*0.6)</f>
        <v>6.9779999999999998</v>
      </c>
      <c r="H22" s="93">
        <f>+(1.12*0.6)</f>
        <v>0.67200000000000004</v>
      </c>
      <c r="I22" s="94">
        <v>0</v>
      </c>
      <c r="J22" s="92">
        <f>+(1.23*0.6)+(1.8*0.6)+(0.74*0.6)</f>
        <v>2.262</v>
      </c>
      <c r="K22" s="93">
        <v>0</v>
      </c>
      <c r="L22" s="94">
        <v>0</v>
      </c>
      <c r="M22" s="92">
        <f>+(2.1*1.11)+(0.9*0.6)</f>
        <v>2.8710000000000004</v>
      </c>
      <c r="N22" s="93">
        <v>0</v>
      </c>
      <c r="O22" s="94">
        <v>0</v>
      </c>
      <c r="P22" s="92">
        <v>0</v>
      </c>
      <c r="Q22" s="93">
        <v>0</v>
      </c>
      <c r="R22" s="94">
        <v>0</v>
      </c>
      <c r="S22" s="92">
        <v>0</v>
      </c>
      <c r="T22" s="111">
        <v>0</v>
      </c>
      <c r="U22" s="112">
        <f>+(6.2*2)+(6.05*0.6)</f>
        <v>16.03</v>
      </c>
      <c r="V22" s="92">
        <v>0</v>
      </c>
      <c r="W22" s="93">
        <v>0</v>
      </c>
      <c r="X22" s="94">
        <v>0</v>
      </c>
      <c r="Y22" s="122">
        <v>0</v>
      </c>
      <c r="Z22" s="99">
        <v>0</v>
      </c>
      <c r="AA22" s="100">
        <v>0</v>
      </c>
      <c r="AB22" s="101">
        <v>0</v>
      </c>
      <c r="AC22" s="93">
        <v>0</v>
      </c>
      <c r="AD22" s="113">
        <f>+(4.2*1.1)</f>
        <v>4.620000000000001</v>
      </c>
      <c r="AE22" s="101">
        <v>0</v>
      </c>
      <c r="AF22" s="101">
        <v>0</v>
      </c>
      <c r="AG22" s="96">
        <v>0</v>
      </c>
      <c r="AH22" s="92">
        <v>0</v>
      </c>
      <c r="AI22" s="93">
        <v>0</v>
      </c>
      <c r="AJ22" s="113">
        <v>0</v>
      </c>
      <c r="AK22" s="114">
        <f>+(0.77*0.6)+(0.47*0.8)</f>
        <v>0.83799999999999997</v>
      </c>
      <c r="AL22" s="115">
        <v>0</v>
      </c>
      <c r="AM22" s="116">
        <v>0</v>
      </c>
      <c r="AN22" s="114">
        <v>0</v>
      </c>
      <c r="AO22" s="123">
        <v>0</v>
      </c>
      <c r="AP22" s="115">
        <v>0</v>
      </c>
      <c r="AQ22" s="122">
        <v>0</v>
      </c>
      <c r="AR22" s="124">
        <v>0</v>
      </c>
      <c r="AS22" s="99">
        <v>0</v>
      </c>
      <c r="AT22" s="119">
        <f>+(6.78*0.6)</f>
        <v>4.0679999999999996</v>
      </c>
      <c r="AU22" s="115">
        <v>0</v>
      </c>
      <c r="AV22" s="116">
        <v>0</v>
      </c>
      <c r="AW22" s="3">
        <f t="shared" si="3"/>
        <v>38.339000000000006</v>
      </c>
      <c r="AX22" s="5">
        <f t="shared" si="5"/>
        <v>0.18651011213762997</v>
      </c>
    </row>
    <row r="23" spans="2:50" ht="14.25" customHeight="1" x14ac:dyDescent="0.3">
      <c r="B23" s="128" t="s">
        <v>63</v>
      </c>
      <c r="C23" s="90" t="s">
        <v>85</v>
      </c>
      <c r="D23" s="90" t="s">
        <v>86</v>
      </c>
      <c r="E23" s="90">
        <v>100</v>
      </c>
      <c r="F23" s="91">
        <f t="shared" si="4"/>
        <v>637</v>
      </c>
      <c r="G23" s="129">
        <f>+(2.23*0.6)+(1.38*0.6)+(1.04*0.6)+(0.38*0.6)+(0.82*0.6)+(0.64*0.6)</f>
        <v>3.8939999999999997</v>
      </c>
      <c r="H23" s="93">
        <f>+(0.69*0.6)+(0.7*0.6)</f>
        <v>0.83399999999999996</v>
      </c>
      <c r="I23" s="94">
        <f>+(0.33*0.6)+(0.4*0.6)</f>
        <v>0.438</v>
      </c>
      <c r="J23" s="92">
        <f>+(0.88*0.6)</f>
        <v>0.52800000000000002</v>
      </c>
      <c r="K23" s="93">
        <v>0</v>
      </c>
      <c r="L23" s="94">
        <v>0</v>
      </c>
      <c r="M23" s="92">
        <f>+(1.33*1.1)+(1.05*0.4)+(2.47*0.57)+(1.2*0.25)+(1.81*0.74)</f>
        <v>4.9303000000000008</v>
      </c>
      <c r="N23" s="93">
        <f>+(12.65*1.8)+(2.3*2.64)+(1.57*1.18)+(2.26*0.36)+(1.38*0.54)+(0.94*1.83)</f>
        <v>33.973599999999998</v>
      </c>
      <c r="O23" s="94">
        <v>0</v>
      </c>
      <c r="P23" s="92">
        <v>0</v>
      </c>
      <c r="Q23" s="93">
        <v>0</v>
      </c>
      <c r="R23" s="94">
        <v>0</v>
      </c>
      <c r="S23" s="92">
        <v>0</v>
      </c>
      <c r="T23" s="111">
        <f>+(4.5*0.97)+(2.21*1.1)+(1.86*1.47)</f>
        <v>9.5302000000000007</v>
      </c>
      <c r="U23" s="112">
        <f>+(3.35*0.8)+(4.46*1.33)</f>
        <v>8.6118000000000006</v>
      </c>
      <c r="V23" s="92">
        <v>0</v>
      </c>
      <c r="W23" s="93">
        <v>0</v>
      </c>
      <c r="X23" s="120">
        <v>0</v>
      </c>
      <c r="Y23" s="121">
        <v>0</v>
      </c>
      <c r="Z23" s="99">
        <v>0</v>
      </c>
      <c r="AA23" s="100">
        <v>0</v>
      </c>
      <c r="AB23" s="101">
        <v>0</v>
      </c>
      <c r="AC23" s="93">
        <v>0</v>
      </c>
      <c r="AD23" s="113">
        <v>0</v>
      </c>
      <c r="AE23" s="101">
        <v>0</v>
      </c>
      <c r="AF23" s="101">
        <v>0</v>
      </c>
      <c r="AG23" s="96">
        <v>0</v>
      </c>
      <c r="AH23" s="92">
        <v>0</v>
      </c>
      <c r="AI23" s="93">
        <v>0</v>
      </c>
      <c r="AJ23" s="113">
        <v>0</v>
      </c>
      <c r="AK23" s="114">
        <f>+(1.12*0.2)</f>
        <v>0.22400000000000003</v>
      </c>
      <c r="AL23" s="115">
        <v>0</v>
      </c>
      <c r="AM23" s="116">
        <v>0</v>
      </c>
      <c r="AN23" s="114">
        <v>0</v>
      </c>
      <c r="AO23" s="123">
        <v>0</v>
      </c>
      <c r="AP23" s="115">
        <v>0</v>
      </c>
      <c r="AQ23" s="122">
        <v>0</v>
      </c>
      <c r="AR23" s="124">
        <v>0</v>
      </c>
      <c r="AS23" s="99">
        <v>0</v>
      </c>
      <c r="AT23" s="119">
        <v>0</v>
      </c>
      <c r="AU23" s="115">
        <v>0</v>
      </c>
      <c r="AV23" s="116">
        <v>0</v>
      </c>
      <c r="AW23" s="3">
        <f t="shared" si="3"/>
        <v>62.963899999999995</v>
      </c>
      <c r="AX23" s="5">
        <f t="shared" si="5"/>
        <v>0.30630439108016688</v>
      </c>
    </row>
    <row r="24" spans="2:50" ht="14.25" customHeight="1" x14ac:dyDescent="0.3">
      <c r="B24" s="128" t="s">
        <v>64</v>
      </c>
      <c r="C24" s="90" t="s">
        <v>86</v>
      </c>
      <c r="D24" s="90" t="s">
        <v>87</v>
      </c>
      <c r="E24" s="90">
        <v>100</v>
      </c>
      <c r="F24" s="91">
        <f t="shared" si="4"/>
        <v>637</v>
      </c>
      <c r="G24" s="129">
        <f>+(0.63*0.6)+(0.34*0.6)+(1.63*0.6)</f>
        <v>1.56</v>
      </c>
      <c r="H24" s="93">
        <f>+(1.84*0.6)+(2.18*0.6)</f>
        <v>2.4119999999999999</v>
      </c>
      <c r="I24" s="94">
        <f>+(1.46*0.6)</f>
        <v>0.876</v>
      </c>
      <c r="J24" s="92">
        <f>+(0.5*0.6)+(0.29*0.6)+(0.87*0.6)</f>
        <v>0.996</v>
      </c>
      <c r="K24" s="93">
        <f>+(1.37*0.6)+(1.74*0.6)+(0.9*0.6)+(0.47*0.6)+(0.68*0.6)</f>
        <v>3.0960000000000001</v>
      </c>
      <c r="L24" s="94">
        <f>+(0.64*0.6)</f>
        <v>0.38400000000000001</v>
      </c>
      <c r="M24" s="92">
        <f>+(0.31*0.45)+(0.72*0.47)+(0.89*0.23)+(1.66*1.12)+(0.37*0.18)+(1.45*1.47)</f>
        <v>4.7399000000000004</v>
      </c>
      <c r="N24" s="93">
        <f>+(1.33*1.93)+(2.45*1.94)+(0.63*0.3)+(0.53*0.54)+(0.58*0.94)+(0.72*1.24)+(0.86*0.54)+(0.64*0.62)+(0.75*0.74)</f>
        <v>10.6493</v>
      </c>
      <c r="O24" s="94">
        <f>+(5.93*0.66)+(6.9*0.87)+(5.62*0.87)+(0.26*0.28)+(3.3*2.4)+(0.89*1.37)+(0.5*0.45)</f>
        <v>24.243300000000001</v>
      </c>
      <c r="P24" s="92">
        <v>0</v>
      </c>
      <c r="Q24" s="93">
        <v>0</v>
      </c>
      <c r="R24" s="94">
        <v>0</v>
      </c>
      <c r="S24" s="92">
        <v>0</v>
      </c>
      <c r="T24" s="111">
        <f>+(0.78*0.56)+(0.83*1.3)+(0.92*0.79)</f>
        <v>2.2426000000000004</v>
      </c>
      <c r="U24" s="112">
        <f>+(5.13*0.43)+(1.85*0.84)+(2.2*1.83)+(3.82*1.98)+(3.43*2.1)+(3.44*3.2)+(1.32*1.1)+(0.44*1.34)</f>
        <v>35.602099999999993</v>
      </c>
      <c r="V24" s="92">
        <v>0</v>
      </c>
      <c r="W24" s="93">
        <v>0</v>
      </c>
      <c r="X24" s="94">
        <v>0</v>
      </c>
      <c r="Y24" s="122">
        <v>0</v>
      </c>
      <c r="Z24" s="99">
        <v>0</v>
      </c>
      <c r="AA24" s="100">
        <v>0</v>
      </c>
      <c r="AB24" s="101">
        <v>0</v>
      </c>
      <c r="AC24" s="93">
        <v>0</v>
      </c>
      <c r="AD24" s="113">
        <v>0</v>
      </c>
      <c r="AE24" s="101">
        <v>0</v>
      </c>
      <c r="AF24" s="101">
        <f>+(1.6*0.3)</f>
        <v>0.48</v>
      </c>
      <c r="AG24" s="96">
        <f>+(0.4*0.36)+(0.22*0.12)</f>
        <v>0.1704</v>
      </c>
      <c r="AH24" s="92">
        <v>0</v>
      </c>
      <c r="AI24" s="93">
        <f>+(0.73*0.73)</f>
        <v>0.53289999999999993</v>
      </c>
      <c r="AJ24" s="113">
        <v>0</v>
      </c>
      <c r="AK24" s="114">
        <f>+(0.14*0.45)+(0.35*0.1)</f>
        <v>9.8000000000000004E-2</v>
      </c>
      <c r="AL24" s="115">
        <f>+(1.02*0.47)+(0.13*0.5)+(0.88*0.3)</f>
        <v>0.80840000000000001</v>
      </c>
      <c r="AM24" s="116">
        <v>0</v>
      </c>
      <c r="AN24" s="114">
        <v>0</v>
      </c>
      <c r="AO24" s="123">
        <v>0</v>
      </c>
      <c r="AP24" s="115">
        <v>0</v>
      </c>
      <c r="AQ24" s="122">
        <v>0</v>
      </c>
      <c r="AR24" s="124">
        <v>0</v>
      </c>
      <c r="AS24" s="99">
        <v>0</v>
      </c>
      <c r="AT24" s="119">
        <v>0</v>
      </c>
      <c r="AU24" s="115">
        <v>0</v>
      </c>
      <c r="AV24" s="116">
        <f>(7.38*0.6)</f>
        <v>4.4279999999999999</v>
      </c>
      <c r="AW24" s="3">
        <f t="shared" si="3"/>
        <v>93.318899999999999</v>
      </c>
      <c r="AX24" s="5">
        <f t="shared" si="5"/>
        <v>0.45397424303086342</v>
      </c>
    </row>
    <row r="25" spans="2:50" ht="14.25" customHeight="1" x14ac:dyDescent="0.3">
      <c r="B25" s="128" t="s">
        <v>65</v>
      </c>
      <c r="C25" s="90" t="s">
        <v>87</v>
      </c>
      <c r="D25" s="90" t="s">
        <v>88</v>
      </c>
      <c r="E25" s="90">
        <v>100</v>
      </c>
      <c r="F25" s="91">
        <f t="shared" si="4"/>
        <v>637</v>
      </c>
      <c r="G25" s="129">
        <f>+(6.64*0.6)</f>
        <v>3.9839999999999995</v>
      </c>
      <c r="H25" s="93">
        <f>+(1.28*0.25)</f>
        <v>0.32</v>
      </c>
      <c r="I25" s="94">
        <f>+(0.7*0.6)+(1.14*0.6)+(2.34*0.6)</f>
        <v>2.508</v>
      </c>
      <c r="J25" s="92">
        <f>+(3.38*0.7)+(1.23*0.6)+(1.2*0.6)</f>
        <v>3.8239999999999998</v>
      </c>
      <c r="K25" s="93">
        <f>+(0.66*0.6)+(0.94*0.6)+(1.46*0.6)+(0.9*0.6)+(1.46*0.6)</f>
        <v>3.2519999999999998</v>
      </c>
      <c r="L25" s="94">
        <f>+(0.64*0.6)+(0.77*0.6)+(2.93*0.6)+(1.24*0.6)+(1.79*0.6)</f>
        <v>4.4219999999999997</v>
      </c>
      <c r="M25" s="92">
        <f>+(0.48*0.6)+(1.78*1.23)</f>
        <v>2.4773999999999998</v>
      </c>
      <c r="N25" s="93">
        <f>+(0.33*0.43)+(1.05*1.43)+(2.9*1)</f>
        <v>4.5434000000000001</v>
      </c>
      <c r="O25" s="94">
        <f>+(0.86*0.73)+(0.9*0.5)+(0.46*0.84)+(1.86*1.51)+(2.65*3.15)+(3.66*1.74)+(1.62*1.04)+(3.3*1.03)+(1.13*0.65)+(4*1.35)+(4.18*1.46)+(4.4*1.44)+(2.44*0.73)+(2.1*0.76)</f>
        <v>46.022999999999996</v>
      </c>
      <c r="P25" s="92">
        <v>0</v>
      </c>
      <c r="Q25" s="93">
        <v>0</v>
      </c>
      <c r="R25" s="94">
        <v>0</v>
      </c>
      <c r="S25" s="92">
        <v>0</v>
      </c>
      <c r="T25" s="111">
        <v>0</v>
      </c>
      <c r="U25" s="112">
        <f>+(2.5*1.64)+(2.15*1.84)+(1.44*0.98)+(3.86*1)+(6*1.64)+(0.44*1.6)+(2.14*2.18)+(3.1*2.15)+(0.8*1.1)</f>
        <v>36.081400000000002</v>
      </c>
      <c r="V25" s="92">
        <v>0</v>
      </c>
      <c r="W25" s="93">
        <v>0</v>
      </c>
      <c r="X25" s="94">
        <v>0</v>
      </c>
      <c r="Y25" s="122">
        <v>0</v>
      </c>
      <c r="Z25" s="99">
        <v>0</v>
      </c>
      <c r="AA25" s="100">
        <v>0</v>
      </c>
      <c r="AB25" s="101">
        <v>0</v>
      </c>
      <c r="AC25" s="93">
        <f>+(1.85*0.62)</f>
        <v>1.147</v>
      </c>
      <c r="AD25" s="113">
        <f>+(2.1*0.76)</f>
        <v>1.5960000000000001</v>
      </c>
      <c r="AE25" s="101">
        <v>0</v>
      </c>
      <c r="AF25" s="101">
        <v>0</v>
      </c>
      <c r="AG25" s="96">
        <f>+(0.48*0.68)+(0.25*0.53)</f>
        <v>0.45890000000000003</v>
      </c>
      <c r="AH25" s="92">
        <f>+(3.38*0.7)+(3.84*1.95)</f>
        <v>9.8539999999999992</v>
      </c>
      <c r="AI25" s="93">
        <f>+(0.5*1.4)+(0.5*1.6)</f>
        <v>1.5</v>
      </c>
      <c r="AJ25" s="113">
        <v>0</v>
      </c>
      <c r="AK25" s="114">
        <v>0</v>
      </c>
      <c r="AL25" s="115">
        <v>0</v>
      </c>
      <c r="AM25" s="116">
        <v>0</v>
      </c>
      <c r="AN25" s="114">
        <v>0</v>
      </c>
      <c r="AO25" s="123">
        <v>0</v>
      </c>
      <c r="AP25" s="115">
        <v>0</v>
      </c>
      <c r="AQ25" s="122">
        <v>0</v>
      </c>
      <c r="AR25" s="124">
        <v>0</v>
      </c>
      <c r="AS25" s="99">
        <v>0</v>
      </c>
      <c r="AT25" s="119">
        <f>+(6.86*0.6)</f>
        <v>4.1159999999999997</v>
      </c>
      <c r="AU25" s="115">
        <f>+(6.31*0.6)</f>
        <v>3.7859999999999996</v>
      </c>
      <c r="AV25" s="116">
        <v>0</v>
      </c>
      <c r="AW25" s="3">
        <f t="shared" si="3"/>
        <v>129.8931</v>
      </c>
      <c r="AX25" s="5">
        <f t="shared" si="5"/>
        <v>0.6318990231071332</v>
      </c>
    </row>
    <row r="26" spans="2:50" ht="14.25" customHeight="1" x14ac:dyDescent="0.3">
      <c r="B26" s="128" t="s">
        <v>66</v>
      </c>
      <c r="C26" s="90" t="s">
        <v>88</v>
      </c>
      <c r="D26" s="90" t="s">
        <v>89</v>
      </c>
      <c r="E26" s="90">
        <v>100</v>
      </c>
      <c r="F26" s="91">
        <f t="shared" si="4"/>
        <v>637</v>
      </c>
      <c r="G26" s="129">
        <f>+(5.8*0.6)+(5.5*0.6)+(3.78*0.6)</f>
        <v>9.0479999999999983</v>
      </c>
      <c r="H26" s="93">
        <v>0</v>
      </c>
      <c r="I26" s="94">
        <v>0</v>
      </c>
      <c r="J26" s="92">
        <f>+(0.8*0.6)+(1.58*0.6)+(1.26*0.6)+(0.9*0.6)+(0.96*0.6)</f>
        <v>3.3000000000000003</v>
      </c>
      <c r="K26" s="93">
        <v>0</v>
      </c>
      <c r="L26" s="94">
        <f>+(0.54*0.6)+(0.8*0.6)</f>
        <v>0.80400000000000005</v>
      </c>
      <c r="M26" s="92">
        <f>+(3.07*0.84)+(0.83*0.83)</f>
        <v>3.2676999999999996</v>
      </c>
      <c r="N26" s="93">
        <f>+(1.33*1.25)+(2.44*0.6)</f>
        <v>3.1265000000000001</v>
      </c>
      <c r="O26" s="94">
        <f>+(1.82*1.1)+(1.24*0.38)+(1.6*0.4)+(1.6*1.17)+(2.1*1.44)</f>
        <v>8.0091999999999999</v>
      </c>
      <c r="P26" s="92">
        <v>0</v>
      </c>
      <c r="Q26" s="93">
        <v>0</v>
      </c>
      <c r="R26" s="94">
        <v>0</v>
      </c>
      <c r="S26" s="92">
        <v>0</v>
      </c>
      <c r="T26" s="111">
        <v>0</v>
      </c>
      <c r="U26" s="112">
        <v>0</v>
      </c>
      <c r="V26" s="92">
        <v>0</v>
      </c>
      <c r="W26" s="93">
        <v>0</v>
      </c>
      <c r="X26" s="94">
        <v>0</v>
      </c>
      <c r="Y26" s="122">
        <v>0</v>
      </c>
      <c r="Z26" s="99">
        <v>0</v>
      </c>
      <c r="AA26" s="100">
        <v>0</v>
      </c>
      <c r="AB26" s="101">
        <v>0</v>
      </c>
      <c r="AC26" s="93">
        <v>0</v>
      </c>
      <c r="AD26" s="113">
        <f>+(1.8*0.5)</f>
        <v>0.9</v>
      </c>
      <c r="AE26" s="101">
        <v>0</v>
      </c>
      <c r="AF26" s="101">
        <v>0</v>
      </c>
      <c r="AG26" s="96">
        <f>+(0.42*0.22)</f>
        <v>9.2399999999999996E-2</v>
      </c>
      <c r="AH26" s="92">
        <v>0</v>
      </c>
      <c r="AI26" s="93">
        <f>+(0.88*0.92)+(0.7*0.93)</f>
        <v>1.4605999999999999</v>
      </c>
      <c r="AJ26" s="113">
        <v>0</v>
      </c>
      <c r="AK26" s="114">
        <v>0</v>
      </c>
      <c r="AL26" s="115">
        <v>0</v>
      </c>
      <c r="AM26" s="116">
        <v>0</v>
      </c>
      <c r="AN26" s="114">
        <v>0</v>
      </c>
      <c r="AO26" s="123">
        <v>0</v>
      </c>
      <c r="AP26" s="115">
        <v>0</v>
      </c>
      <c r="AQ26" s="122">
        <v>0</v>
      </c>
      <c r="AR26" s="124">
        <v>0</v>
      </c>
      <c r="AS26" s="99">
        <v>0</v>
      </c>
      <c r="AT26" s="119">
        <f>+(6*0.6)</f>
        <v>3.5999999999999996</v>
      </c>
      <c r="AU26" s="115">
        <v>0</v>
      </c>
      <c r="AV26" s="116">
        <v>0</v>
      </c>
      <c r="AW26" s="3">
        <f t="shared" si="3"/>
        <v>33.608399999999996</v>
      </c>
      <c r="AX26" s="5">
        <f t="shared" si="5"/>
        <v>0.16349686879590813</v>
      </c>
    </row>
    <row r="27" spans="2:50" ht="14.25" customHeight="1" x14ac:dyDescent="0.3">
      <c r="B27" s="128" t="s">
        <v>67</v>
      </c>
      <c r="C27" s="90" t="s">
        <v>89</v>
      </c>
      <c r="D27" s="90" t="s">
        <v>90</v>
      </c>
      <c r="E27" s="90">
        <v>100</v>
      </c>
      <c r="F27" s="91">
        <f t="shared" si="4"/>
        <v>637</v>
      </c>
      <c r="G27" s="129">
        <v>0</v>
      </c>
      <c r="H27" s="93">
        <v>0</v>
      </c>
      <c r="I27" s="94">
        <v>0</v>
      </c>
      <c r="J27" s="92">
        <f>+(0.53*0.6)+(1.1*0.6)+(0.97*0.6)</f>
        <v>1.56</v>
      </c>
      <c r="K27" s="93">
        <v>0</v>
      </c>
      <c r="L27" s="94">
        <v>0</v>
      </c>
      <c r="M27" s="92">
        <f>+(0.91*0.45)+(1.1*1)</f>
        <v>1.5095000000000001</v>
      </c>
      <c r="N27" s="93">
        <f>+(0.38*0.94)+(1.44*1.26)</f>
        <v>2.1715999999999998</v>
      </c>
      <c r="O27" s="94">
        <v>0</v>
      </c>
      <c r="P27" s="92">
        <v>0</v>
      </c>
      <c r="Q27" s="93">
        <v>0</v>
      </c>
      <c r="R27" s="94">
        <v>0</v>
      </c>
      <c r="S27" s="92">
        <v>0</v>
      </c>
      <c r="T27" s="111">
        <v>0</v>
      </c>
      <c r="U27" s="112">
        <v>0</v>
      </c>
      <c r="V27" s="92">
        <v>0</v>
      </c>
      <c r="W27" s="93">
        <v>0</v>
      </c>
      <c r="X27" s="94">
        <v>0</v>
      </c>
      <c r="Y27" s="122">
        <v>0</v>
      </c>
      <c r="Z27" s="99">
        <v>0</v>
      </c>
      <c r="AA27" s="100">
        <v>0</v>
      </c>
      <c r="AB27" s="101">
        <v>0</v>
      </c>
      <c r="AC27" s="93">
        <v>0</v>
      </c>
      <c r="AD27" s="113">
        <v>0</v>
      </c>
      <c r="AE27" s="101">
        <v>0</v>
      </c>
      <c r="AF27" s="101">
        <v>0</v>
      </c>
      <c r="AG27" s="96">
        <v>0</v>
      </c>
      <c r="AH27" s="92">
        <v>0</v>
      </c>
      <c r="AI27" s="93">
        <v>0</v>
      </c>
      <c r="AJ27" s="113">
        <v>0</v>
      </c>
      <c r="AK27" s="114">
        <v>0</v>
      </c>
      <c r="AL27" s="115">
        <v>0</v>
      </c>
      <c r="AM27" s="116">
        <v>0</v>
      </c>
      <c r="AN27" s="114">
        <v>0</v>
      </c>
      <c r="AO27" s="123">
        <v>0</v>
      </c>
      <c r="AP27" s="115">
        <v>0</v>
      </c>
      <c r="AQ27" s="122">
        <v>0</v>
      </c>
      <c r="AR27" s="124">
        <v>0</v>
      </c>
      <c r="AS27" s="99">
        <v>0</v>
      </c>
      <c r="AT27" s="119">
        <v>0</v>
      </c>
      <c r="AU27" s="115">
        <v>0</v>
      </c>
      <c r="AV27" s="116">
        <v>0</v>
      </c>
      <c r="AW27" s="3">
        <f t="shared" si="3"/>
        <v>5.2410999999999994</v>
      </c>
      <c r="AX27" s="5">
        <f t="shared" si="5"/>
        <v>2.549670436695094E-2</v>
      </c>
    </row>
    <row r="28" spans="2:50" ht="14.25" customHeight="1" x14ac:dyDescent="0.3">
      <c r="B28" s="128" t="s">
        <v>68</v>
      </c>
      <c r="C28" s="90" t="s">
        <v>90</v>
      </c>
      <c r="D28" s="90" t="s">
        <v>91</v>
      </c>
      <c r="E28" s="90">
        <v>100</v>
      </c>
      <c r="F28" s="91">
        <f t="shared" si="4"/>
        <v>637</v>
      </c>
      <c r="G28" s="129">
        <f>+(0.87*0.6)+(1.23*0.6)+(0.89*0.6)+(1.78*0.6)+(0.46*0.6)+(0.8*0.6)+(0.33*0.6)+(0.8*0.6)+(0.84*0.6)+(0.57*0.6)+(0.47*0.6)+(0.97*0.6)+(0.5*0.6)+(0.53*0.6)+(0.67*0.6)+(0.52*0.6)+(0.42*0.6)+(1.04*0.6)+(0.74*0.6)+(2.05*0.6)</f>
        <v>9.8879999999999999</v>
      </c>
      <c r="H28" s="93">
        <f>+(1.71*0.6)+(1.7*0.6)+(1.65*0.6)</f>
        <v>3.036</v>
      </c>
      <c r="I28" s="94">
        <f>+(0.6*0.6)</f>
        <v>0.36</v>
      </c>
      <c r="J28" s="92">
        <f>+(0.72*0.6)+(0.62*0.6)</f>
        <v>0.80400000000000005</v>
      </c>
      <c r="K28" s="93">
        <f>+(1*0.6)</f>
        <v>0.6</v>
      </c>
      <c r="L28" s="94">
        <v>0</v>
      </c>
      <c r="M28" s="92">
        <f>+(2.42*0.77)+(1.13*0.98)+(1.07*0.26)+(1.03*0.33)+(0.63*0.67)+(0.98*1.24)+(0.64*0.94)+(0.52*0.6)+(3.3*1.15)+(2.2*0.63)+(0.85*0.17)+(2.64*0.53)+(0.9*0.75)+(2.03*0.6)</f>
        <v>14.757500000000004</v>
      </c>
      <c r="N28" s="93">
        <f>+(2.1*0.88)+(3.67*2.16)+(1.6*1)+(1.53*1.07)+(1.28*0.74)+(0.95*0.36)+(1.96*0.87)+(2.1*0.6)+(3.93*0.27)+(1.04*0.4)+(1.67*1.15)</f>
        <v>20.664300000000004</v>
      </c>
      <c r="O28" s="94">
        <f>+(1.5*0.3)+(2.71*0.75)</f>
        <v>2.4824999999999999</v>
      </c>
      <c r="P28" s="92">
        <v>0</v>
      </c>
      <c r="Q28" s="93">
        <v>0</v>
      </c>
      <c r="R28" s="94">
        <v>0</v>
      </c>
      <c r="S28" s="92">
        <v>0</v>
      </c>
      <c r="T28" s="111">
        <v>0</v>
      </c>
      <c r="U28" s="112">
        <v>0</v>
      </c>
      <c r="V28" s="92">
        <v>0</v>
      </c>
      <c r="W28" s="93">
        <v>0</v>
      </c>
      <c r="X28" s="94">
        <v>0</v>
      </c>
      <c r="Y28" s="122">
        <v>0</v>
      </c>
      <c r="Z28" s="99">
        <v>0</v>
      </c>
      <c r="AA28" s="100">
        <v>0</v>
      </c>
      <c r="AB28" s="101">
        <v>0</v>
      </c>
      <c r="AC28" s="93">
        <v>0</v>
      </c>
      <c r="AD28" s="113">
        <v>0</v>
      </c>
      <c r="AE28" s="101">
        <v>0</v>
      </c>
      <c r="AF28" s="101">
        <v>0</v>
      </c>
      <c r="AG28" s="96">
        <v>0</v>
      </c>
      <c r="AH28" s="92">
        <v>0</v>
      </c>
      <c r="AI28" s="93">
        <v>0</v>
      </c>
      <c r="AJ28" s="113">
        <v>0</v>
      </c>
      <c r="AK28" s="114">
        <f>+(1.04*0.49)+(0.2*0.66)+(0.63*0.12)+(0.34*0.93)</f>
        <v>1.0334000000000001</v>
      </c>
      <c r="AL28" s="115">
        <f>+(1.74*0.73)+(0.79*0.17)</f>
        <v>1.4045000000000001</v>
      </c>
      <c r="AM28" s="116">
        <v>0</v>
      </c>
      <c r="AN28" s="114">
        <v>0</v>
      </c>
      <c r="AO28" s="123">
        <v>0</v>
      </c>
      <c r="AP28" s="115">
        <v>0</v>
      </c>
      <c r="AQ28" s="122">
        <v>0</v>
      </c>
      <c r="AR28" s="124">
        <v>0</v>
      </c>
      <c r="AS28" s="99">
        <v>0</v>
      </c>
      <c r="AT28" s="119">
        <v>0</v>
      </c>
      <c r="AU28" s="115">
        <v>0</v>
      </c>
      <c r="AV28" s="116">
        <v>0</v>
      </c>
      <c r="AW28" s="3">
        <f t="shared" si="3"/>
        <v>55.030200000000008</v>
      </c>
      <c r="AX28" s="5">
        <f t="shared" si="5"/>
        <v>0.26770882842422089</v>
      </c>
    </row>
    <row r="29" spans="2:50" ht="14.25" customHeight="1" x14ac:dyDescent="0.3">
      <c r="B29" s="128" t="s">
        <v>69</v>
      </c>
      <c r="C29" s="90" t="s">
        <v>91</v>
      </c>
      <c r="D29" s="90" t="s">
        <v>92</v>
      </c>
      <c r="E29" s="90">
        <v>100</v>
      </c>
      <c r="F29" s="91">
        <f t="shared" si="4"/>
        <v>637</v>
      </c>
      <c r="G29" s="129">
        <f>+(0.85*0.6)+(1.2*0.6)+(0.74*0.6)+(0.4*0.6)+(1.15*0.6)+(0.44*0.6)+(0.88*0.6)+(0.66*0.6)+(1.14*0.6)</f>
        <v>4.476</v>
      </c>
      <c r="H29" s="93">
        <f>+(2.33*0.9)+(1.26*0.6)</f>
        <v>2.8529999999999998</v>
      </c>
      <c r="I29" s="94">
        <f>+(0.3*0.6)</f>
        <v>0.18</v>
      </c>
      <c r="J29" s="92">
        <f>+(1.2*0.6)</f>
        <v>0.72</v>
      </c>
      <c r="K29" s="93">
        <v>0</v>
      </c>
      <c r="L29" s="94">
        <v>0</v>
      </c>
      <c r="M29" s="92">
        <f>+(0.7*0.4)+(0.82*0.72)+(0.66*0.56)+(0.54*0.6)+(2.1*0.6)+(0.55*0.6)+(0.57*0.6)+(1.36*1.23)+(0.94*0.6)+(3.24*0.6)+(1.6*0.66)</f>
        <v>8.732800000000001</v>
      </c>
      <c r="N29" s="93">
        <f>+(1.02*0.6)+(1.73*0.6)</f>
        <v>1.65</v>
      </c>
      <c r="O29" s="94">
        <f>+(6.47*1.25)+(1.18*0.6)</f>
        <v>8.7955000000000005</v>
      </c>
      <c r="P29" s="92">
        <v>0</v>
      </c>
      <c r="Q29" s="93">
        <v>0</v>
      </c>
      <c r="R29" s="94">
        <v>0</v>
      </c>
      <c r="S29" s="92">
        <v>0</v>
      </c>
      <c r="T29" s="111">
        <v>0</v>
      </c>
      <c r="U29" s="112">
        <v>0</v>
      </c>
      <c r="V29" s="92">
        <v>0</v>
      </c>
      <c r="W29" s="93">
        <v>0</v>
      </c>
      <c r="X29" s="94">
        <v>0</v>
      </c>
      <c r="Y29" s="122">
        <v>0</v>
      </c>
      <c r="Z29" s="99">
        <v>0</v>
      </c>
      <c r="AA29" s="100">
        <v>0</v>
      </c>
      <c r="AB29" s="101">
        <v>0</v>
      </c>
      <c r="AC29" s="93">
        <v>0</v>
      </c>
      <c r="AD29" s="113">
        <v>0</v>
      </c>
      <c r="AE29" s="101">
        <v>0</v>
      </c>
      <c r="AF29" s="101">
        <v>0</v>
      </c>
      <c r="AG29" s="96">
        <v>0</v>
      </c>
      <c r="AH29" s="92">
        <v>0</v>
      </c>
      <c r="AI29" s="93">
        <v>0</v>
      </c>
      <c r="AJ29" s="113">
        <v>0</v>
      </c>
      <c r="AK29" s="114">
        <f>+(0.84*0.6)</f>
        <v>0.504</v>
      </c>
      <c r="AL29" s="115">
        <f>+(0.76*0.6)</f>
        <v>0.45599999999999996</v>
      </c>
      <c r="AM29" s="116">
        <v>0</v>
      </c>
      <c r="AN29" s="114">
        <v>0</v>
      </c>
      <c r="AO29" s="123">
        <v>0</v>
      </c>
      <c r="AP29" s="115">
        <v>0</v>
      </c>
      <c r="AQ29" s="122">
        <v>0</v>
      </c>
      <c r="AR29" s="124">
        <v>0</v>
      </c>
      <c r="AS29" s="99">
        <v>0</v>
      </c>
      <c r="AT29" s="119">
        <v>0</v>
      </c>
      <c r="AU29" s="115">
        <v>0</v>
      </c>
      <c r="AV29" s="116">
        <v>0</v>
      </c>
      <c r="AW29" s="3">
        <f t="shared" si="3"/>
        <v>28.3673</v>
      </c>
      <c r="AX29" s="5">
        <f t="shared" si="5"/>
        <v>0.13800016442895718</v>
      </c>
    </row>
    <row r="30" spans="2:50" ht="14.25" customHeight="1" x14ac:dyDescent="0.3">
      <c r="B30" s="128" t="s">
        <v>70</v>
      </c>
      <c r="C30" s="90" t="s">
        <v>92</v>
      </c>
      <c r="D30" s="90" t="s">
        <v>93</v>
      </c>
      <c r="E30" s="90">
        <v>100</v>
      </c>
      <c r="F30" s="91">
        <f t="shared" si="4"/>
        <v>637</v>
      </c>
      <c r="G30" s="129">
        <f>+(0.57*0.66)+(2*0.63)+(1.14*0.97)+(1.26*0.6)+(0.59*0.16)+(0.66*0.6)+(0.9*0.6)+(0.7*0.6)+(0.68*0.6)+(3.33*0.6)+(1.9*0.6)+(1.7*0.6)+(1.07*0.6)+(0.9*0.6)</f>
        <v>10.696400000000001</v>
      </c>
      <c r="H30" s="93">
        <f>+(0.98*0.6)+(0.65*0.6)+(1.51*0.6)</f>
        <v>1.8839999999999999</v>
      </c>
      <c r="I30" s="94">
        <v>0</v>
      </c>
      <c r="J30" s="92">
        <f>+(1.32*0.6)+(0.35*0.6)+(1.43*0.6)+(1.24*0.6)+(0.46*0.6)</f>
        <v>2.88</v>
      </c>
      <c r="K30" s="93">
        <v>0</v>
      </c>
      <c r="L30" s="94">
        <v>0</v>
      </c>
      <c r="M30" s="92">
        <f>+(0.66*0.52)+(1.44*0.6)+(1.08*0.68)+(0.63*0.37)+(1.6*0.6)+(1.06*0.92)+(0.4*0.76)+(0.68*0.18)+(0.45*0.36)+(0.75*0.31)</f>
        <v>4.9307999999999996</v>
      </c>
      <c r="N30" s="93">
        <f>+(4.4*0.94)+(2.14*0.43)+(1.05*0.23)+(1.63*1.22)+(1.13*0.42)+(0.86*1)</f>
        <v>8.6209000000000007</v>
      </c>
      <c r="O30" s="94">
        <f>+(1.51*0.56)</f>
        <v>0.84560000000000013</v>
      </c>
      <c r="P30" s="92">
        <v>0</v>
      </c>
      <c r="Q30" s="93">
        <v>0</v>
      </c>
      <c r="R30" s="94">
        <v>0</v>
      </c>
      <c r="S30" s="92">
        <v>0</v>
      </c>
      <c r="T30" s="111">
        <f>+(1.4*1.05)+(0.47*0.37)+(2.98*1.58)</f>
        <v>6.3522999999999996</v>
      </c>
      <c r="U30" s="112">
        <v>0</v>
      </c>
      <c r="V30" s="92">
        <v>0</v>
      </c>
      <c r="W30" s="93">
        <v>0</v>
      </c>
      <c r="X30" s="94">
        <v>0</v>
      </c>
      <c r="Y30" s="122">
        <v>0</v>
      </c>
      <c r="Z30" s="99">
        <v>0</v>
      </c>
      <c r="AA30" s="100">
        <v>0</v>
      </c>
      <c r="AB30" s="101">
        <v>0</v>
      </c>
      <c r="AC30" s="93">
        <v>0</v>
      </c>
      <c r="AD30" s="113">
        <v>0</v>
      </c>
      <c r="AE30" s="101">
        <v>0</v>
      </c>
      <c r="AF30" s="101">
        <v>0</v>
      </c>
      <c r="AG30" s="96">
        <v>0</v>
      </c>
      <c r="AH30" s="92">
        <v>0</v>
      </c>
      <c r="AI30" s="93">
        <v>0</v>
      </c>
      <c r="AJ30" s="113">
        <v>0</v>
      </c>
      <c r="AK30" s="114">
        <f>+(0.54*0.83)+(1.2*0.27)</f>
        <v>0.7722</v>
      </c>
      <c r="AL30" s="115">
        <v>0</v>
      </c>
      <c r="AM30" s="116">
        <v>0</v>
      </c>
      <c r="AN30" s="114">
        <v>0</v>
      </c>
      <c r="AO30" s="123">
        <v>0</v>
      </c>
      <c r="AP30" s="115">
        <v>0</v>
      </c>
      <c r="AQ30" s="122">
        <v>0</v>
      </c>
      <c r="AR30" s="124">
        <v>0</v>
      </c>
      <c r="AS30" s="99">
        <v>0</v>
      </c>
      <c r="AT30" s="119">
        <v>0</v>
      </c>
      <c r="AU30" s="115">
        <v>0</v>
      </c>
      <c r="AV30" s="116">
        <v>0</v>
      </c>
      <c r="AW30" s="3">
        <f t="shared" si="3"/>
        <v>36.982199999999992</v>
      </c>
      <c r="AX30" s="5">
        <f t="shared" si="5"/>
        <v>0.179909602991634</v>
      </c>
    </row>
    <row r="31" spans="2:50" ht="14.25" customHeight="1" x14ac:dyDescent="0.3">
      <c r="B31" s="128" t="s">
        <v>71</v>
      </c>
      <c r="C31" s="90" t="s">
        <v>93</v>
      </c>
      <c r="D31" s="90" t="s">
        <v>94</v>
      </c>
      <c r="E31" s="90">
        <v>100</v>
      </c>
      <c r="F31" s="91">
        <f t="shared" si="4"/>
        <v>637</v>
      </c>
      <c r="G31" s="129">
        <f>+(1.58*0.6)+(2.3*0.6)+(1.46*0.6)+(1.12*0.6)+(0.56*0.6)+(0.54*0.6)+(0.76*0.6)+(0.75*0.6)+(0.68*0.6)+(1.07*0.6)+(1.4*0.6)</f>
        <v>7.3319999999999999</v>
      </c>
      <c r="H31" s="93">
        <f>+(2.46*0.6)+(1.4*0.6)+(2.72*0.6)</f>
        <v>3.948</v>
      </c>
      <c r="I31" s="94">
        <v>0</v>
      </c>
      <c r="J31" s="92">
        <f>+(0.88*0.6)+(1.33*1.05)+(0.78*0.6)+(1.1*0.6)</f>
        <v>3.0525000000000002</v>
      </c>
      <c r="K31" s="93">
        <f>+(0.61*0.6)</f>
        <v>0.36599999999999999</v>
      </c>
      <c r="L31" s="94">
        <v>0</v>
      </c>
      <c r="M31" s="92">
        <f>+(1.27*1)+(1.82*1.55)+(0.43*1.55)+(1.33*1.05)+(1.25*0.25)+(1.86*1.15)+(1.03*0.52)</f>
        <v>9.1410999999999998</v>
      </c>
      <c r="N31" s="93">
        <f>+(1.6*0.3)+(4*0.93)+(1.22*0.93)+(0.82*0.34)+(1.17*0.62)+(2.17*1.3)+(2.62*1.08)</f>
        <v>11.9894</v>
      </c>
      <c r="O31" s="94">
        <f>+(4.6*2.04)+(5.54*0.94)+(1.28*1.43)</f>
        <v>16.421999999999997</v>
      </c>
      <c r="P31" s="92">
        <v>0</v>
      </c>
      <c r="Q31" s="93">
        <v>0</v>
      </c>
      <c r="R31" s="94">
        <v>0</v>
      </c>
      <c r="S31" s="92">
        <v>0</v>
      </c>
      <c r="T31" s="111">
        <v>0</v>
      </c>
      <c r="U31" s="112">
        <f>+(5.66*1.75)</f>
        <v>9.9050000000000011</v>
      </c>
      <c r="V31" s="92">
        <v>0</v>
      </c>
      <c r="W31" s="93">
        <f>+(1.7*0.33)</f>
        <v>0.56100000000000005</v>
      </c>
      <c r="X31" s="120">
        <v>0</v>
      </c>
      <c r="Y31" s="121">
        <v>0</v>
      </c>
      <c r="Z31" s="99">
        <v>0</v>
      </c>
      <c r="AA31" s="100">
        <v>0</v>
      </c>
      <c r="AB31" s="101">
        <v>0</v>
      </c>
      <c r="AC31" s="93">
        <v>0</v>
      </c>
      <c r="AD31" s="113">
        <v>0</v>
      </c>
      <c r="AE31" s="101">
        <v>0</v>
      </c>
      <c r="AF31" s="101">
        <v>0</v>
      </c>
      <c r="AG31" s="96">
        <v>0</v>
      </c>
      <c r="AH31" s="92">
        <v>0</v>
      </c>
      <c r="AI31" s="93">
        <v>0</v>
      </c>
      <c r="AJ31" s="113">
        <v>0</v>
      </c>
      <c r="AK31" s="114">
        <v>0</v>
      </c>
      <c r="AL31" s="115">
        <f>+(1.47*2.15)+(0.87*0.48)</f>
        <v>3.5781000000000001</v>
      </c>
      <c r="AM31" s="116">
        <v>0</v>
      </c>
      <c r="AN31" s="114">
        <v>0</v>
      </c>
      <c r="AO31" s="123">
        <v>0</v>
      </c>
      <c r="AP31" s="115">
        <v>0</v>
      </c>
      <c r="AQ31" s="122">
        <v>0</v>
      </c>
      <c r="AR31" s="124">
        <v>0</v>
      </c>
      <c r="AS31" s="99">
        <v>0</v>
      </c>
      <c r="AT31" s="119">
        <v>0</v>
      </c>
      <c r="AU31" s="115">
        <v>0</v>
      </c>
      <c r="AV31" s="116">
        <v>0</v>
      </c>
      <c r="AW31" s="3">
        <f t="shared" si="3"/>
        <v>66.295099999999991</v>
      </c>
      <c r="AX31" s="5">
        <f t="shared" si="5"/>
        <v>0.32250988641267092</v>
      </c>
    </row>
    <row r="32" spans="2:50" ht="14.25" customHeight="1" x14ac:dyDescent="0.3">
      <c r="B32" s="128" t="s">
        <v>72</v>
      </c>
      <c r="C32" s="90" t="s">
        <v>94</v>
      </c>
      <c r="D32" s="90" t="s">
        <v>95</v>
      </c>
      <c r="E32" s="90">
        <v>100</v>
      </c>
      <c r="F32" s="91">
        <f t="shared" si="4"/>
        <v>637</v>
      </c>
      <c r="G32" s="129">
        <f>+(1.55*0.6)+(0.72*0.6)+(0.56*0.6)+(0.45*0.6)+(0.8*0.6)+(0.58*0.6)+(0.64*0.6)+(0.89*0.6)+(1.12*0.6)+(1.58*0.6)</f>
        <v>5.3339999999999996</v>
      </c>
      <c r="H32" s="93">
        <f>+(0.7*0.6)+(0.98*0.6)+(2.28*0.6)+(2.28*0.6)+(3.35*0.6)</f>
        <v>5.7539999999999996</v>
      </c>
      <c r="I32" s="94">
        <v>0</v>
      </c>
      <c r="J32" s="92">
        <f>+(0.9*0.6)+(0.85*0.6)+(0.48*0.6)+(0.68*0.6)+(0.39*0.6)+(0.81*0.6)+(0.67*0.6)+(0.84*0.6)+(1.4*0.6)+(0.81*0.6)</f>
        <v>4.6980000000000004</v>
      </c>
      <c r="K32" s="93">
        <f>+(1.6*0.6)+(1.87*0.6)+(1.08*0.6)</f>
        <v>2.73</v>
      </c>
      <c r="L32" s="94">
        <v>0</v>
      </c>
      <c r="M32" s="92">
        <f>+(0.77*0.48)+(0.9*0.5)+(0.88*0.45)+(1.74*0.76)+(1.07*1.06)+(1.08*2.08)+(4.63*0.6)+(0.8*0.74)+(0.52*0.82)+(2.1*0.57)+(0.52*0.58)+(2*0.77)</f>
        <v>12.753599999999999</v>
      </c>
      <c r="N32" s="93">
        <f>+(1.57*0.51)+(1.66*1.35)+(1.66*1.12)+(1.67*1.04)+(2.78*0.7)+(1.22*0.78)+(1.07*0.92)+(1.07*1.87)+(4.22*1.11)+(0.78*1.27)</f>
        <v>18.195399999999999</v>
      </c>
      <c r="O32" s="94">
        <f>+(0.67*1.14)</f>
        <v>0.76380000000000003</v>
      </c>
      <c r="P32" s="92">
        <v>0</v>
      </c>
      <c r="Q32" s="93">
        <v>0</v>
      </c>
      <c r="R32" s="94">
        <v>0</v>
      </c>
      <c r="S32" s="92">
        <v>0</v>
      </c>
      <c r="T32" s="111">
        <f>+(1.12*0.92)+(2.5*0.95)</f>
        <v>3.4054000000000002</v>
      </c>
      <c r="U32" s="112">
        <f>+(0.87*1.05)</f>
        <v>0.91349999999999998</v>
      </c>
      <c r="V32" s="92">
        <v>0</v>
      </c>
      <c r="W32" s="93">
        <v>0</v>
      </c>
      <c r="X32" s="94">
        <v>0</v>
      </c>
      <c r="Y32" s="122">
        <v>0</v>
      </c>
      <c r="Z32" s="99">
        <v>0</v>
      </c>
      <c r="AA32" s="100">
        <v>0</v>
      </c>
      <c r="AB32" s="101">
        <v>0</v>
      </c>
      <c r="AC32" s="93">
        <v>0</v>
      </c>
      <c r="AD32" s="113">
        <v>0</v>
      </c>
      <c r="AE32" s="101">
        <v>0</v>
      </c>
      <c r="AF32" s="101">
        <v>0</v>
      </c>
      <c r="AG32" s="96">
        <v>0</v>
      </c>
      <c r="AH32" s="92">
        <v>0</v>
      </c>
      <c r="AI32" s="93">
        <v>0</v>
      </c>
      <c r="AJ32" s="113">
        <f>+(1.54*1.87)</f>
        <v>2.8798000000000004</v>
      </c>
      <c r="AK32" s="114">
        <f>+(0.58*0.36)+(1.08*1.08)</f>
        <v>1.3752</v>
      </c>
      <c r="AL32" s="115">
        <v>0</v>
      </c>
      <c r="AM32" s="116">
        <v>0</v>
      </c>
      <c r="AN32" s="114">
        <v>0</v>
      </c>
      <c r="AO32" s="123">
        <v>0</v>
      </c>
      <c r="AP32" s="115">
        <v>0</v>
      </c>
      <c r="AQ32" s="122">
        <v>0</v>
      </c>
      <c r="AR32" s="124">
        <v>0</v>
      </c>
      <c r="AS32" s="99">
        <v>0</v>
      </c>
      <c r="AT32" s="119">
        <v>0</v>
      </c>
      <c r="AU32" s="115">
        <v>0</v>
      </c>
      <c r="AV32" s="116">
        <v>0</v>
      </c>
      <c r="AW32" s="3">
        <f t="shared" si="3"/>
        <v>58.802700000000002</v>
      </c>
      <c r="AX32" s="5">
        <f t="shared" si="5"/>
        <v>0.2860611432482697</v>
      </c>
    </row>
    <row r="33" spans="2:50" ht="14.25" customHeight="1" x14ac:dyDescent="0.3">
      <c r="B33" s="128" t="s">
        <v>73</v>
      </c>
      <c r="C33" s="90" t="s">
        <v>95</v>
      </c>
      <c r="D33" s="90" t="s">
        <v>96</v>
      </c>
      <c r="E33" s="90">
        <v>100</v>
      </c>
      <c r="F33" s="91">
        <f t="shared" si="4"/>
        <v>637</v>
      </c>
      <c r="G33" s="129">
        <f>+(0.89*0.6)+(3.98*0.6)</f>
        <v>2.9219999999999997</v>
      </c>
      <c r="H33" s="93">
        <f>+(4.13*0.6)+(2.7*0.6)</f>
        <v>4.0979999999999999</v>
      </c>
      <c r="I33" s="94">
        <v>0</v>
      </c>
      <c r="J33" s="92">
        <f>+(0.98*0.6)+(0.98*0.6)+(1.14*0.6)+(1.8*0.6)</f>
        <v>2.94</v>
      </c>
      <c r="K33" s="93">
        <f>+(1.18*0.6)+(1.84*0.6)+(1.3*0.6)+(1.45*0.6)</f>
        <v>3.4620000000000002</v>
      </c>
      <c r="L33" s="94">
        <v>0</v>
      </c>
      <c r="M33" s="92">
        <f>+(1.25*0.8)+(3.34*1.3)+(0.35*0.12)</f>
        <v>5.3839999999999995</v>
      </c>
      <c r="N33" s="93">
        <f>+(1.21*0.57)+(2.65*0.9)+(0.45*1.44)+(2.28*0.72)+(3.66*1.2)+(3.4*2.46)+(7.08*1.88)+(3.04*1.53)+(5.35*2.26)+(2.4*1.63)+(2.2*0.58)+(5.65*1.55)+(7.35*2.91)+(4.8*1.2)+(3.13*1.12)+(3.43*0.6)+(2.55*0.48)+(4.4*3.38)</f>
        <v>110.9265</v>
      </c>
      <c r="O33" s="94">
        <f>+(2.02*1.18)+(3.34*1.33)</f>
        <v>6.8257999999999992</v>
      </c>
      <c r="P33" s="92">
        <v>0</v>
      </c>
      <c r="Q33" s="93">
        <v>0</v>
      </c>
      <c r="R33" s="94">
        <v>0</v>
      </c>
      <c r="S33" s="92">
        <v>0</v>
      </c>
      <c r="T33" s="111">
        <v>0</v>
      </c>
      <c r="U33" s="112">
        <f>+(1.58*0.6)</f>
        <v>0.94799999999999995</v>
      </c>
      <c r="V33" s="92">
        <v>0</v>
      </c>
      <c r="W33" s="93">
        <v>0</v>
      </c>
      <c r="X33" s="94">
        <v>0</v>
      </c>
      <c r="Y33" s="122">
        <v>0</v>
      </c>
      <c r="Z33" s="99">
        <v>0</v>
      </c>
      <c r="AA33" s="100">
        <v>0</v>
      </c>
      <c r="AB33" s="101">
        <v>0</v>
      </c>
      <c r="AC33" s="93">
        <v>0</v>
      </c>
      <c r="AD33" s="113">
        <v>0</v>
      </c>
      <c r="AE33" s="101">
        <v>0</v>
      </c>
      <c r="AF33" s="101">
        <v>0</v>
      </c>
      <c r="AG33" s="96">
        <v>0</v>
      </c>
      <c r="AH33" s="92">
        <v>0</v>
      </c>
      <c r="AI33" s="93">
        <v>0</v>
      </c>
      <c r="AJ33" s="113">
        <v>0</v>
      </c>
      <c r="AK33" s="114">
        <f>+(1.09*1.23)+(1.37*0.3)</f>
        <v>1.7517</v>
      </c>
      <c r="AL33" s="115">
        <v>0</v>
      </c>
      <c r="AM33" s="116">
        <v>0</v>
      </c>
      <c r="AN33" s="114">
        <v>0</v>
      </c>
      <c r="AO33" s="123">
        <v>0</v>
      </c>
      <c r="AP33" s="115">
        <v>0</v>
      </c>
      <c r="AQ33" s="122">
        <v>0</v>
      </c>
      <c r="AR33" s="124">
        <v>0</v>
      </c>
      <c r="AS33" s="99">
        <v>0</v>
      </c>
      <c r="AT33" s="119">
        <v>0</v>
      </c>
      <c r="AU33" s="115">
        <v>0</v>
      </c>
      <c r="AV33" s="116">
        <v>0</v>
      </c>
      <c r="AW33" s="3">
        <f t="shared" si="3"/>
        <v>139.25800000000001</v>
      </c>
      <c r="AX33" s="5">
        <f t="shared" si="5"/>
        <v>0.67745703320540629</v>
      </c>
    </row>
    <row r="34" spans="2:50" ht="14.25" customHeight="1" x14ac:dyDescent="0.3">
      <c r="B34" s="128" t="s">
        <v>74</v>
      </c>
      <c r="C34" s="90" t="s">
        <v>96</v>
      </c>
      <c r="D34" s="90" t="s">
        <v>97</v>
      </c>
      <c r="E34" s="90">
        <v>100</v>
      </c>
      <c r="F34" s="91">
        <f t="shared" si="4"/>
        <v>637</v>
      </c>
      <c r="G34" s="129">
        <f>+(0.97*0.6)</f>
        <v>0.58199999999999996</v>
      </c>
      <c r="H34" s="93">
        <f>+(3.87*0.6)+(2.13*0.6)+(1.15*0.6)+(1.5*0.6)+(0.93*0.6)</f>
        <v>5.7479999999999993</v>
      </c>
      <c r="I34" s="94">
        <v>0</v>
      </c>
      <c r="J34" s="92">
        <v>0</v>
      </c>
      <c r="K34" s="93">
        <v>0</v>
      </c>
      <c r="L34" s="94">
        <f>+(5*0.6)</f>
        <v>3</v>
      </c>
      <c r="M34" s="92">
        <f>+(3.42*1.2)+(2.28*0.48)+(0.89*1)</f>
        <v>6.0883999999999991</v>
      </c>
      <c r="N34" s="93">
        <f>+(0.6*0.8)+(3.94*0.54)+(3.1*0.57)+(5.12*3.2)+(1.58*1.03)+(1.34*0.35)+(2.15*0.64)+(0.94*0.6)</f>
        <v>24.795000000000005</v>
      </c>
      <c r="O34" s="94">
        <f>+(1.24*2.45)+(11.5*0.8)+(7.35*4.65)+(2.77*0.6)</f>
        <v>48.077500000000001</v>
      </c>
      <c r="P34" s="92">
        <v>0</v>
      </c>
      <c r="Q34" s="93">
        <v>0</v>
      </c>
      <c r="R34" s="94">
        <v>0</v>
      </c>
      <c r="S34" s="92">
        <v>0</v>
      </c>
      <c r="T34" s="111">
        <v>0</v>
      </c>
      <c r="U34" s="112">
        <f>+(3.04*2.17)</f>
        <v>6.5968</v>
      </c>
      <c r="V34" s="92">
        <v>0</v>
      </c>
      <c r="W34" s="93">
        <v>0</v>
      </c>
      <c r="X34" s="120">
        <v>0</v>
      </c>
      <c r="Y34" s="121">
        <v>0</v>
      </c>
      <c r="Z34" s="99">
        <v>0</v>
      </c>
      <c r="AA34" s="100">
        <v>0</v>
      </c>
      <c r="AB34" s="101">
        <v>0</v>
      </c>
      <c r="AC34" s="93">
        <v>0</v>
      </c>
      <c r="AD34" s="113">
        <v>0</v>
      </c>
      <c r="AE34" s="101">
        <v>0</v>
      </c>
      <c r="AF34" s="101">
        <v>0</v>
      </c>
      <c r="AG34" s="96">
        <v>0</v>
      </c>
      <c r="AH34" s="92">
        <v>0</v>
      </c>
      <c r="AI34" s="93">
        <v>0</v>
      </c>
      <c r="AJ34" s="113">
        <v>0</v>
      </c>
      <c r="AK34" s="114">
        <v>0</v>
      </c>
      <c r="AL34" s="115">
        <f>+(2.04*2.05)</f>
        <v>4.1819999999999995</v>
      </c>
      <c r="AM34" s="116">
        <v>0</v>
      </c>
      <c r="AN34" s="114">
        <v>0</v>
      </c>
      <c r="AO34" s="123">
        <v>0</v>
      </c>
      <c r="AP34" s="115">
        <v>0</v>
      </c>
      <c r="AQ34" s="122">
        <v>0</v>
      </c>
      <c r="AR34" s="124">
        <v>0</v>
      </c>
      <c r="AS34" s="99">
        <v>0</v>
      </c>
      <c r="AT34" s="119">
        <v>0</v>
      </c>
      <c r="AU34" s="115">
        <v>0</v>
      </c>
      <c r="AV34" s="116">
        <f>+(5.05*0.6)+(5*0.6)</f>
        <v>6.0299999999999994</v>
      </c>
      <c r="AW34" s="3">
        <f t="shared" si="3"/>
        <v>105.09970000000001</v>
      </c>
      <c r="AX34" s="5">
        <f t="shared" si="5"/>
        <v>0.51128503175959905</v>
      </c>
    </row>
    <row r="35" spans="2:50" ht="14.25" customHeight="1" x14ac:dyDescent="0.3">
      <c r="B35" s="128" t="s">
        <v>75</v>
      </c>
      <c r="C35" s="90" t="s">
        <v>97</v>
      </c>
      <c r="D35" s="90" t="s">
        <v>98</v>
      </c>
      <c r="E35" s="90">
        <v>100</v>
      </c>
      <c r="F35" s="91">
        <f t="shared" si="4"/>
        <v>637</v>
      </c>
      <c r="G35" s="129">
        <f>+(4.93*0.6)+(1.38*0.6)+(1.95*0.6)</f>
        <v>4.9559999999999995</v>
      </c>
      <c r="H35" s="93">
        <f>+(5.92*0.6)+(1.4*0.6)</f>
        <v>4.3920000000000003</v>
      </c>
      <c r="I35" s="94">
        <v>0</v>
      </c>
      <c r="J35" s="92">
        <f>+(0.98*0.6)</f>
        <v>0.58799999999999997</v>
      </c>
      <c r="K35" s="93">
        <f>+(1.32*0.6)+(2.3*0.6)+(1.02*0.6)</f>
        <v>2.7839999999999998</v>
      </c>
      <c r="L35" s="94">
        <v>0</v>
      </c>
      <c r="M35" s="92">
        <f>+(1.3*0.76)+(2.2*2.43)+(1.95*1.05)+(2.04*1.4)</f>
        <v>11.237500000000001</v>
      </c>
      <c r="N35" s="93">
        <f>+(0.34*0.65)+(1.7*1.4)+(1.54*1.34)+(4.44*2.03)+(5.08*0.83)+(0.98*1.6)+(0.4*1.2)+(0.97*0.7)+(1.46*0.51)+(1.54*0.8)+(5.34*1.08)+(4.7*0.8)+(2.9*1.27)+(4.62*1.2)</f>
        <v>41.35199999999999</v>
      </c>
      <c r="O35" s="94">
        <v>0</v>
      </c>
      <c r="P35" s="92">
        <v>0</v>
      </c>
      <c r="Q35" s="93">
        <v>0</v>
      </c>
      <c r="R35" s="94">
        <v>0</v>
      </c>
      <c r="S35" s="92">
        <v>0</v>
      </c>
      <c r="T35" s="111">
        <v>0</v>
      </c>
      <c r="U35" s="112">
        <v>0</v>
      </c>
      <c r="V35" s="92">
        <v>0</v>
      </c>
      <c r="W35" s="93">
        <v>0</v>
      </c>
      <c r="X35" s="94">
        <v>0</v>
      </c>
      <c r="Y35" s="122">
        <v>0</v>
      </c>
      <c r="Z35" s="99">
        <v>0</v>
      </c>
      <c r="AA35" s="100">
        <v>0</v>
      </c>
      <c r="AB35" s="101">
        <v>0</v>
      </c>
      <c r="AC35" s="93">
        <v>0</v>
      </c>
      <c r="AD35" s="113">
        <v>0</v>
      </c>
      <c r="AE35" s="101">
        <v>0</v>
      </c>
      <c r="AF35" s="101">
        <v>0</v>
      </c>
      <c r="AG35" s="96">
        <v>0</v>
      </c>
      <c r="AH35" s="92">
        <v>0</v>
      </c>
      <c r="AI35" s="93">
        <v>0</v>
      </c>
      <c r="AJ35" s="113">
        <v>0</v>
      </c>
      <c r="AK35" s="114">
        <v>0</v>
      </c>
      <c r="AL35" s="115">
        <f>+(1.31*1.26)</f>
        <v>1.6506000000000001</v>
      </c>
      <c r="AM35" s="116">
        <v>0</v>
      </c>
      <c r="AN35" s="114">
        <v>0</v>
      </c>
      <c r="AO35" s="123">
        <v>0</v>
      </c>
      <c r="AP35" s="115">
        <v>0</v>
      </c>
      <c r="AQ35" s="122">
        <v>0</v>
      </c>
      <c r="AR35" s="124">
        <v>0</v>
      </c>
      <c r="AS35" s="99">
        <v>0</v>
      </c>
      <c r="AT35" s="119">
        <v>0</v>
      </c>
      <c r="AU35" s="115">
        <v>0</v>
      </c>
      <c r="AV35" s="116">
        <v>0</v>
      </c>
      <c r="AW35" s="3">
        <f t="shared" si="3"/>
        <v>66.960099999999983</v>
      </c>
      <c r="AX35" s="5">
        <f t="shared" si="5"/>
        <v>0.3257449531742328</v>
      </c>
    </row>
    <row r="36" spans="2:50" ht="14.25" customHeight="1" x14ac:dyDescent="0.3">
      <c r="B36" s="128" t="s">
        <v>76</v>
      </c>
      <c r="C36" s="90" t="s">
        <v>98</v>
      </c>
      <c r="D36" s="90" t="s">
        <v>99</v>
      </c>
      <c r="E36" s="90">
        <v>100</v>
      </c>
      <c r="F36" s="91">
        <f t="shared" si="4"/>
        <v>637</v>
      </c>
      <c r="G36" s="129">
        <f>+(1.9*0.6)+(6.04*0.6)+(1.82*0.6)+(0.9*0.6)+(1.16*0.6)</f>
        <v>7.0919999999999996</v>
      </c>
      <c r="H36" s="93">
        <f>+(1.65*0.6)+(5.34*0.6)+(1.72*0.6)</f>
        <v>5.226</v>
      </c>
      <c r="I36" s="94">
        <v>0</v>
      </c>
      <c r="J36" s="92">
        <f>+(0.92*0.6)</f>
        <v>0.55200000000000005</v>
      </c>
      <c r="K36" s="93">
        <f>+(1.54*0.6)+(0.92*0.6)+(2.12*0.6)</f>
        <v>2.7480000000000002</v>
      </c>
      <c r="L36" s="94">
        <f>+(1.4*0.6)</f>
        <v>0.84</v>
      </c>
      <c r="M36" s="92">
        <f>+(2.7*3.15)+(1.77*0.92)+(1.1*1.43)+(0.92*0.36)+(3.1*0.9)+(5.52*0.75)</f>
        <v>18.967600000000004</v>
      </c>
      <c r="N36" s="93">
        <f>+(0.99*1.87)+(3.03*0.105)+(4.5*0.73)+(3.65*1.27)+(3.43*0.8)+(2.74*0.92)+(7*3.1)+(2.31*0.93)+(1.62*0.5)+(1.84*0.87)+(3.5*0.63)+(5*1.06)+(1.16*1.76)+(1.55*0.63)+(4.7*0.6)</f>
        <v>54.956949999999999</v>
      </c>
      <c r="O36" s="94">
        <f>+(2.47*2.5)+(3.08*1.22)+(2.18*0.6)+(13.55*0.56)+(6.62*1.03)+(3.64*1)</f>
        <v>29.287200000000002</v>
      </c>
      <c r="P36" s="92">
        <v>0</v>
      </c>
      <c r="Q36" s="93">
        <v>0</v>
      </c>
      <c r="R36" s="94">
        <v>0</v>
      </c>
      <c r="S36" s="92">
        <v>0</v>
      </c>
      <c r="T36" s="111">
        <v>0</v>
      </c>
      <c r="U36" s="112">
        <v>0</v>
      </c>
      <c r="V36" s="92">
        <v>0</v>
      </c>
      <c r="W36" s="93">
        <v>0</v>
      </c>
      <c r="X36" s="94">
        <v>0</v>
      </c>
      <c r="Y36" s="122">
        <v>0</v>
      </c>
      <c r="Z36" s="99">
        <v>0</v>
      </c>
      <c r="AA36" s="100">
        <v>0</v>
      </c>
      <c r="AB36" s="101">
        <v>0</v>
      </c>
      <c r="AC36" s="93">
        <v>0</v>
      </c>
      <c r="AD36" s="113">
        <v>0</v>
      </c>
      <c r="AE36" s="101">
        <v>0</v>
      </c>
      <c r="AF36" s="101">
        <v>0</v>
      </c>
      <c r="AG36" s="96">
        <v>0</v>
      </c>
      <c r="AH36" s="92">
        <v>0</v>
      </c>
      <c r="AI36" s="93">
        <v>0</v>
      </c>
      <c r="AJ36" s="113">
        <v>0</v>
      </c>
      <c r="AK36" s="114">
        <v>0</v>
      </c>
      <c r="AL36" s="115">
        <v>0</v>
      </c>
      <c r="AM36" s="116">
        <v>0</v>
      </c>
      <c r="AN36" s="114">
        <v>0</v>
      </c>
      <c r="AO36" s="123">
        <v>0</v>
      </c>
      <c r="AP36" s="115">
        <v>0</v>
      </c>
      <c r="AQ36" s="122">
        <v>0</v>
      </c>
      <c r="AR36" s="124">
        <v>0</v>
      </c>
      <c r="AS36" s="99">
        <v>0</v>
      </c>
      <c r="AT36" s="119">
        <v>0</v>
      </c>
      <c r="AU36" s="115">
        <v>0</v>
      </c>
      <c r="AV36" s="116">
        <v>0</v>
      </c>
      <c r="AW36" s="3">
        <f t="shared" si="3"/>
        <v>119.66975000000001</v>
      </c>
      <c r="AX36" s="5">
        <f t="shared" si="5"/>
        <v>0.5821648580292168</v>
      </c>
    </row>
    <row r="37" spans="2:50" ht="14.25" customHeight="1" x14ac:dyDescent="0.3">
      <c r="B37" s="128" t="s">
        <v>77</v>
      </c>
      <c r="C37" s="90" t="s">
        <v>99</v>
      </c>
      <c r="D37" s="90" t="s">
        <v>100</v>
      </c>
      <c r="E37" s="90">
        <v>100</v>
      </c>
      <c r="F37" s="91">
        <f t="shared" si="4"/>
        <v>637</v>
      </c>
      <c r="G37" s="129">
        <v>0</v>
      </c>
      <c r="H37" s="93">
        <v>0</v>
      </c>
      <c r="I37" s="94">
        <v>0</v>
      </c>
      <c r="J37" s="92">
        <v>0</v>
      </c>
      <c r="K37" s="93">
        <v>0</v>
      </c>
      <c r="L37" s="94">
        <v>0</v>
      </c>
      <c r="M37" s="92">
        <f>+(3.54*0.76)+(2.33*0.6)+(1.15*0.59)</f>
        <v>4.7668999999999997</v>
      </c>
      <c r="N37" s="93">
        <f>+(5.8*2.4)+(7.81*2.64)+(5.64*1.3)+(3*0.91)+(5.56*1.33)+(6.26*2.14)</f>
        <v>65.391599999999997</v>
      </c>
      <c r="O37" s="94">
        <v>0</v>
      </c>
      <c r="P37" s="92">
        <v>0</v>
      </c>
      <c r="Q37" s="93">
        <v>0</v>
      </c>
      <c r="R37" s="94">
        <v>0</v>
      </c>
      <c r="S37" s="92">
        <v>0</v>
      </c>
      <c r="T37" s="111">
        <v>0</v>
      </c>
      <c r="U37" s="112">
        <v>0</v>
      </c>
      <c r="V37" s="92">
        <v>0</v>
      </c>
      <c r="W37" s="93">
        <v>0</v>
      </c>
      <c r="X37" s="94">
        <v>0</v>
      </c>
      <c r="Y37" s="122">
        <v>0</v>
      </c>
      <c r="Z37" s="99">
        <f>+(1.8*0.24)</f>
        <v>0.432</v>
      </c>
      <c r="AA37" s="100">
        <v>0</v>
      </c>
      <c r="AB37" s="101">
        <v>0</v>
      </c>
      <c r="AC37" s="93">
        <v>0</v>
      </c>
      <c r="AD37" s="113">
        <v>0</v>
      </c>
      <c r="AE37" s="101">
        <v>0</v>
      </c>
      <c r="AF37" s="101">
        <v>0</v>
      </c>
      <c r="AG37" s="96">
        <v>0</v>
      </c>
      <c r="AH37" s="92">
        <v>0</v>
      </c>
      <c r="AI37" s="93">
        <v>0</v>
      </c>
      <c r="AJ37" s="113">
        <v>0</v>
      </c>
      <c r="AK37" s="114">
        <v>0</v>
      </c>
      <c r="AL37" s="115">
        <v>0</v>
      </c>
      <c r="AM37" s="116">
        <v>0</v>
      </c>
      <c r="AN37" s="114">
        <v>0</v>
      </c>
      <c r="AO37" s="123">
        <v>0</v>
      </c>
      <c r="AP37" s="115">
        <v>0</v>
      </c>
      <c r="AQ37" s="122">
        <v>0</v>
      </c>
      <c r="AR37" s="124">
        <v>0</v>
      </c>
      <c r="AS37" s="99">
        <v>0</v>
      </c>
      <c r="AT37" s="119">
        <v>0</v>
      </c>
      <c r="AU37" s="115">
        <v>0</v>
      </c>
      <c r="AV37" s="116">
        <v>0</v>
      </c>
      <c r="AW37" s="3">
        <f t="shared" si="3"/>
        <v>70.590500000000006</v>
      </c>
      <c r="AX37" s="5">
        <f t="shared" si="5"/>
        <v>0.34340598531133748</v>
      </c>
    </row>
    <row r="38" spans="2:50" ht="14.25" customHeight="1" x14ac:dyDescent="0.3">
      <c r="B38" s="128" t="s">
        <v>78</v>
      </c>
      <c r="C38" s="90" t="s">
        <v>100</v>
      </c>
      <c r="D38" s="90" t="s">
        <v>101</v>
      </c>
      <c r="E38" s="90">
        <v>100</v>
      </c>
      <c r="F38" s="91">
        <f t="shared" si="4"/>
        <v>637</v>
      </c>
      <c r="G38" s="129">
        <v>0</v>
      </c>
      <c r="H38" s="93">
        <f>+(1.33*0.6)</f>
        <v>0.79800000000000004</v>
      </c>
      <c r="I38" s="94">
        <v>0</v>
      </c>
      <c r="J38" s="92">
        <f>+(0.92*0.6)+(0.6*0.6)+(1.52*0.6)</f>
        <v>1.8239999999999998</v>
      </c>
      <c r="K38" s="93">
        <v>0</v>
      </c>
      <c r="L38" s="94">
        <v>0</v>
      </c>
      <c r="M38" s="92">
        <f>+(1.03*1.12)+(1.83*1.08)+(0.95*1.27)+(1.5*0.64)</f>
        <v>5.2965</v>
      </c>
      <c r="N38" s="93">
        <f>+(4.26*0.77)+(5.26*0.72)+(3.2*0.99)+(4*0.96)</f>
        <v>14.075399999999998</v>
      </c>
      <c r="O38" s="94">
        <f>+(4.1*1.83)+(5.26*0.82)</f>
        <v>11.816199999999998</v>
      </c>
      <c r="P38" s="92">
        <v>0</v>
      </c>
      <c r="Q38" s="93">
        <v>0</v>
      </c>
      <c r="R38" s="94">
        <v>0</v>
      </c>
      <c r="S38" s="92">
        <v>0</v>
      </c>
      <c r="T38" s="111">
        <v>0</v>
      </c>
      <c r="U38" s="112">
        <v>0</v>
      </c>
      <c r="V38" s="92">
        <v>0</v>
      </c>
      <c r="W38" s="93">
        <v>0</v>
      </c>
      <c r="X38" s="94">
        <v>0</v>
      </c>
      <c r="Y38" s="122">
        <v>0</v>
      </c>
      <c r="Z38" s="99">
        <v>0</v>
      </c>
      <c r="AA38" s="100">
        <v>0</v>
      </c>
      <c r="AB38" s="101">
        <v>0</v>
      </c>
      <c r="AC38" s="93">
        <v>0</v>
      </c>
      <c r="AD38" s="113">
        <v>0</v>
      </c>
      <c r="AE38" s="101">
        <v>0</v>
      </c>
      <c r="AF38" s="101">
        <v>0</v>
      </c>
      <c r="AG38" s="96">
        <v>0</v>
      </c>
      <c r="AH38" s="92">
        <v>0</v>
      </c>
      <c r="AI38" s="93">
        <v>0</v>
      </c>
      <c r="AJ38" s="113">
        <v>0</v>
      </c>
      <c r="AK38" s="114">
        <f>+(0.53*0.54)</f>
        <v>0.28620000000000001</v>
      </c>
      <c r="AL38" s="115">
        <v>0</v>
      </c>
      <c r="AM38" s="116">
        <v>0</v>
      </c>
      <c r="AN38" s="114">
        <v>0</v>
      </c>
      <c r="AO38" s="123">
        <v>0</v>
      </c>
      <c r="AP38" s="115">
        <v>0</v>
      </c>
      <c r="AQ38" s="122">
        <v>0</v>
      </c>
      <c r="AR38" s="124">
        <v>0</v>
      </c>
      <c r="AS38" s="99">
        <v>0</v>
      </c>
      <c r="AT38" s="119">
        <v>0</v>
      </c>
      <c r="AU38" s="115">
        <v>0</v>
      </c>
      <c r="AV38" s="116">
        <v>0</v>
      </c>
      <c r="AW38" s="3">
        <f t="shared" si="3"/>
        <v>34.096299999999992</v>
      </c>
      <c r="AX38" s="5">
        <f t="shared" si="5"/>
        <v>0.1658703861988646</v>
      </c>
    </row>
    <row r="39" spans="2:50" ht="14.25" customHeight="1" x14ac:dyDescent="0.3">
      <c r="B39" s="128" t="s">
        <v>79</v>
      </c>
      <c r="C39" s="90" t="s">
        <v>101</v>
      </c>
      <c r="D39" s="90" t="s">
        <v>102</v>
      </c>
      <c r="E39" s="90">
        <v>100</v>
      </c>
      <c r="F39" s="91">
        <f t="shared" si="4"/>
        <v>637</v>
      </c>
      <c r="G39" s="129">
        <f>+(0.95*0.6)+(4.9*0.6)</f>
        <v>3.51</v>
      </c>
      <c r="H39" s="93">
        <f>+(2.06*0.6)</f>
        <v>1.236</v>
      </c>
      <c r="I39" s="94">
        <f>+(6*0.6)</f>
        <v>3.5999999999999996</v>
      </c>
      <c r="J39" s="92">
        <f>+(2.7*0.6)</f>
        <v>1.62</v>
      </c>
      <c r="K39" s="93">
        <f>+(1.07*0.6)+(1.12*0.6)+(1.77*0.6)+(0.56*0.6)</f>
        <v>2.7120000000000002</v>
      </c>
      <c r="L39" s="94">
        <f>+(0.92*0.6)</f>
        <v>0.55200000000000005</v>
      </c>
      <c r="M39" s="92">
        <f>+(2.73*0.66)+(2.6*0.8)+(1.4*1.24)+(4.9*1.7)+(3.1*2)</f>
        <v>20.1478</v>
      </c>
      <c r="N39" s="93">
        <f>+(1.33*1.58)+(1.57*0.77)+(0.96*1.04)+(1.6*1.1)+(5.13*1.05)+(1.93*1.86)+(3.92*0.83)+(4.7*0.5)+(3.97*0.9)+(1.28*1.07)+(1.66*1.88)+(4*1.53)+(4*1.5)+(3.3*1.3)+(3.34*1.52)</f>
        <v>50.198799999999999</v>
      </c>
      <c r="O39" s="94">
        <f>+(0.95*0.56)+(5.7*1.3)+(5.26*1.92)+(4*1.53)+(5.92*2.6)+(7.7*2.5)</f>
        <v>58.803200000000004</v>
      </c>
      <c r="P39" s="92">
        <v>0</v>
      </c>
      <c r="Q39" s="93">
        <v>0</v>
      </c>
      <c r="R39" s="94">
        <v>0</v>
      </c>
      <c r="S39" s="92">
        <f>+(1.95*0.77)+(10.56*1.15)</f>
        <v>13.6455</v>
      </c>
      <c r="T39" s="111">
        <v>0</v>
      </c>
      <c r="U39" s="112">
        <f>+(6.9*0.84)+(7.6*0.8)</f>
        <v>11.876000000000001</v>
      </c>
      <c r="V39" s="92">
        <v>0</v>
      </c>
      <c r="W39" s="93">
        <v>0</v>
      </c>
      <c r="X39" s="94">
        <v>0</v>
      </c>
      <c r="Y39" s="122">
        <v>0</v>
      </c>
      <c r="Z39" s="99">
        <v>0</v>
      </c>
      <c r="AA39" s="100">
        <v>0</v>
      </c>
      <c r="AB39" s="101">
        <v>0</v>
      </c>
      <c r="AC39" s="93">
        <v>0</v>
      </c>
      <c r="AD39" s="113">
        <v>0</v>
      </c>
      <c r="AE39" s="101">
        <v>0</v>
      </c>
      <c r="AF39" s="101">
        <v>0</v>
      </c>
      <c r="AG39" s="96">
        <v>0</v>
      </c>
      <c r="AH39" s="92">
        <v>0</v>
      </c>
      <c r="AI39" s="93">
        <v>0</v>
      </c>
      <c r="AJ39" s="113">
        <v>0</v>
      </c>
      <c r="AK39" s="114">
        <v>0</v>
      </c>
      <c r="AL39" s="115">
        <f>+(1.37*1.1)</f>
        <v>1.5070000000000003</v>
      </c>
      <c r="AM39" s="116">
        <v>0</v>
      </c>
      <c r="AN39" s="114">
        <v>0</v>
      </c>
      <c r="AO39" s="123">
        <v>0</v>
      </c>
      <c r="AP39" s="115">
        <v>0</v>
      </c>
      <c r="AQ39" s="122">
        <v>0</v>
      </c>
      <c r="AR39" s="124">
        <v>0</v>
      </c>
      <c r="AS39" s="99">
        <v>0</v>
      </c>
      <c r="AT39" s="119">
        <v>0</v>
      </c>
      <c r="AU39" s="115">
        <v>0</v>
      </c>
      <c r="AV39" s="116">
        <v>0</v>
      </c>
      <c r="AW39" s="3">
        <f t="shared" si="3"/>
        <v>169.4083</v>
      </c>
      <c r="AX39" s="5">
        <f t="shared" si="5"/>
        <v>0.8241310683649874</v>
      </c>
    </row>
    <row r="40" spans="2:50" ht="14.25" customHeight="1" x14ac:dyDescent="0.3">
      <c r="B40" s="128" t="s">
        <v>80</v>
      </c>
      <c r="C40" s="90" t="s">
        <v>102</v>
      </c>
      <c r="D40" s="90" t="s">
        <v>103</v>
      </c>
      <c r="E40" s="90">
        <v>100</v>
      </c>
      <c r="F40" s="91">
        <f t="shared" si="4"/>
        <v>637</v>
      </c>
      <c r="G40" s="129">
        <f>+(2.86*0.6)</f>
        <v>1.716</v>
      </c>
      <c r="H40" s="93">
        <f>+(2.6*0.6)+(4.05*0.6)</f>
        <v>3.9899999999999998</v>
      </c>
      <c r="I40" s="94">
        <v>0</v>
      </c>
      <c r="J40" s="92">
        <f>+(1.73*0.6)</f>
        <v>1.038</v>
      </c>
      <c r="K40" s="93">
        <v>0</v>
      </c>
      <c r="L40" s="94">
        <f>+(2.44*0.6)</f>
        <v>1.464</v>
      </c>
      <c r="M40" s="92">
        <f>+(1.38*1.26)</f>
        <v>1.7387999999999999</v>
      </c>
      <c r="N40" s="93">
        <f>+(3.6*3.2)+(2.9*1.15)+(0.9*0.57)+(0.67*0.74)+(3.06*2.2)+(1.65*2)+(2.66*1.55)+(0.92*2.06)+(3.7*0.64)+(1.96*2.7)+(4.8*1.1)+(1.8*0.44)+(3*0.5)+(3.2*2.6)+(4.43*2.3)+(5*2.4)+(4.23*0.44)+(2.6*1.3)+(1.08*63)+(1.84*0.93)+(1.03*1.5)+(1.13*1.22)+(1.93*1.05)+(3.76*1.36)+(0.74*1.16)</f>
        <v>163.56949999999995</v>
      </c>
      <c r="O40" s="94">
        <f>+(6.8*0.74)+(5.22*2.55)+(1*1)+(3.33*2.1)</f>
        <v>26.335999999999999</v>
      </c>
      <c r="P40" s="92">
        <v>0</v>
      </c>
      <c r="Q40" s="93">
        <v>0</v>
      </c>
      <c r="R40" s="94">
        <v>0</v>
      </c>
      <c r="S40" s="92">
        <v>0</v>
      </c>
      <c r="T40" s="111">
        <v>0</v>
      </c>
      <c r="U40" s="112">
        <v>0</v>
      </c>
      <c r="V40" s="92">
        <v>0</v>
      </c>
      <c r="W40" s="93">
        <v>0</v>
      </c>
      <c r="X40" s="94">
        <v>0</v>
      </c>
      <c r="Y40" s="122">
        <v>0</v>
      </c>
      <c r="Z40" s="99">
        <v>0</v>
      </c>
      <c r="AA40" s="100">
        <v>0</v>
      </c>
      <c r="AB40" s="101">
        <v>0</v>
      </c>
      <c r="AC40" s="93">
        <v>0</v>
      </c>
      <c r="AD40" s="113">
        <v>0</v>
      </c>
      <c r="AE40" s="101">
        <v>0</v>
      </c>
      <c r="AF40" s="101">
        <v>0</v>
      </c>
      <c r="AG40" s="96">
        <f>+(0.71*0.62)+(0.9*0.49)</f>
        <v>0.88119999999999998</v>
      </c>
      <c r="AH40" s="92">
        <v>0</v>
      </c>
      <c r="AI40" s="93">
        <v>0</v>
      </c>
      <c r="AJ40" s="113">
        <v>0</v>
      </c>
      <c r="AK40" s="114">
        <v>0</v>
      </c>
      <c r="AL40" s="115">
        <v>0</v>
      </c>
      <c r="AM40" s="116">
        <v>0</v>
      </c>
      <c r="AN40" s="114">
        <v>0</v>
      </c>
      <c r="AO40" s="123">
        <v>0</v>
      </c>
      <c r="AP40" s="115">
        <v>0</v>
      </c>
      <c r="AQ40" s="122">
        <v>0</v>
      </c>
      <c r="AR40" s="124">
        <v>0</v>
      </c>
      <c r="AS40" s="99">
        <v>0</v>
      </c>
      <c r="AT40" s="119">
        <v>0</v>
      </c>
      <c r="AU40" s="115">
        <v>0</v>
      </c>
      <c r="AV40" s="116">
        <v>0</v>
      </c>
      <c r="AW40" s="3">
        <f t="shared" si="3"/>
        <v>200.73349999999996</v>
      </c>
      <c r="AX40" s="5">
        <f t="shared" si="5"/>
        <v>0.97652071245413108</v>
      </c>
    </row>
    <row r="41" spans="2:50" ht="14.25" customHeight="1" x14ac:dyDescent="0.3">
      <c r="B41" s="128" t="s">
        <v>81</v>
      </c>
      <c r="C41" s="90" t="s">
        <v>103</v>
      </c>
      <c r="D41" s="90" t="s">
        <v>104</v>
      </c>
      <c r="E41" s="90">
        <v>100</v>
      </c>
      <c r="F41" s="91">
        <f t="shared" si="4"/>
        <v>637</v>
      </c>
      <c r="G41" s="129">
        <f>+(1.26*0.6)</f>
        <v>0.75600000000000001</v>
      </c>
      <c r="H41" s="93">
        <f>+(5.98*0.6)+(1.33*0.6)+(1.94*0.6)</f>
        <v>5.55</v>
      </c>
      <c r="I41" s="94">
        <v>0</v>
      </c>
      <c r="J41" s="92">
        <v>0</v>
      </c>
      <c r="K41" s="93">
        <v>0</v>
      </c>
      <c r="L41" s="94">
        <v>0</v>
      </c>
      <c r="M41" s="92">
        <f>+(0.9*0.78)+(1.96*1.5)</f>
        <v>3.6419999999999999</v>
      </c>
      <c r="N41" s="93">
        <f>+(0.54*1.86)+(3.7*1.25)+(1.6*0.88)+(1.1*0.9)+(0.94*0.9)+(2.06*1.26)</f>
        <v>11.469000000000001</v>
      </c>
      <c r="O41" s="94">
        <f>+(6.43*0.82)</f>
        <v>5.2725999999999997</v>
      </c>
      <c r="P41" s="92">
        <v>0</v>
      </c>
      <c r="Q41" s="93">
        <v>0</v>
      </c>
      <c r="R41" s="94">
        <v>0</v>
      </c>
      <c r="S41" s="92">
        <v>0</v>
      </c>
      <c r="T41" s="111">
        <f>+(1.66*0.64)</f>
        <v>1.0624</v>
      </c>
      <c r="U41" s="112">
        <f>+(4.3*1.93)</f>
        <v>8.2989999999999995</v>
      </c>
      <c r="V41" s="92">
        <v>0</v>
      </c>
      <c r="W41" s="93">
        <v>0</v>
      </c>
      <c r="X41" s="94">
        <v>0</v>
      </c>
      <c r="Y41" s="122">
        <v>0</v>
      </c>
      <c r="Z41" s="99">
        <v>0</v>
      </c>
      <c r="AA41" s="100">
        <v>0</v>
      </c>
      <c r="AB41" s="101">
        <v>0</v>
      </c>
      <c r="AC41" s="93">
        <v>0</v>
      </c>
      <c r="AD41" s="113">
        <v>0</v>
      </c>
      <c r="AE41" s="101">
        <v>0</v>
      </c>
      <c r="AF41" s="101">
        <v>0</v>
      </c>
      <c r="AG41" s="96">
        <f>+(0.92*0.25)</f>
        <v>0.23</v>
      </c>
      <c r="AH41" s="92">
        <v>0</v>
      </c>
      <c r="AI41" s="93">
        <v>0</v>
      </c>
      <c r="AJ41" s="113">
        <v>0</v>
      </c>
      <c r="AK41" s="114">
        <v>0</v>
      </c>
      <c r="AL41" s="115">
        <v>0</v>
      </c>
      <c r="AM41" s="116">
        <v>0</v>
      </c>
      <c r="AN41" s="114">
        <v>0</v>
      </c>
      <c r="AO41" s="123">
        <v>0</v>
      </c>
      <c r="AP41" s="115">
        <v>0</v>
      </c>
      <c r="AQ41" s="122">
        <v>0</v>
      </c>
      <c r="AR41" s="124">
        <v>0</v>
      </c>
      <c r="AS41" s="99">
        <v>0</v>
      </c>
      <c r="AT41" s="119">
        <v>0</v>
      </c>
      <c r="AU41" s="115">
        <v>0</v>
      </c>
      <c r="AV41" s="116">
        <v>0</v>
      </c>
      <c r="AW41" s="3">
        <f t="shared" si="3"/>
        <v>36.280999999999999</v>
      </c>
      <c r="AX41" s="5">
        <f t="shared" si="5"/>
        <v>0.17649843184395397</v>
      </c>
    </row>
    <row r="42" spans="2:50" ht="14.25" customHeight="1" thickBot="1" x14ac:dyDescent="0.35">
      <c r="B42" s="128" t="s">
        <v>82</v>
      </c>
      <c r="C42" s="90" t="s">
        <v>104</v>
      </c>
      <c r="D42" s="90" t="s">
        <v>105</v>
      </c>
      <c r="E42" s="90">
        <v>27</v>
      </c>
      <c r="F42" s="91">
        <f t="shared" si="4"/>
        <v>171.99</v>
      </c>
      <c r="G42" s="129">
        <v>0</v>
      </c>
      <c r="H42" s="93">
        <v>0</v>
      </c>
      <c r="I42" s="94">
        <v>0</v>
      </c>
      <c r="J42" s="92">
        <v>0</v>
      </c>
      <c r="K42" s="93">
        <v>0</v>
      </c>
      <c r="L42" s="94">
        <v>0</v>
      </c>
      <c r="M42" s="92">
        <v>0</v>
      </c>
      <c r="N42" s="93">
        <v>0</v>
      </c>
      <c r="O42" s="94">
        <f>+(0.77*1.35)</f>
        <v>1.0395000000000001</v>
      </c>
      <c r="P42" s="92">
        <v>0</v>
      </c>
      <c r="Q42" s="93">
        <v>0</v>
      </c>
      <c r="R42" s="94">
        <v>0</v>
      </c>
      <c r="S42" s="92">
        <v>0</v>
      </c>
      <c r="T42" s="111">
        <v>0</v>
      </c>
      <c r="U42" s="112">
        <v>0</v>
      </c>
      <c r="V42" s="92">
        <v>0</v>
      </c>
      <c r="W42" s="93">
        <v>0</v>
      </c>
      <c r="X42" s="94">
        <v>0</v>
      </c>
      <c r="Y42" s="130">
        <v>0</v>
      </c>
      <c r="Z42" s="131">
        <v>0</v>
      </c>
      <c r="AA42" s="132">
        <v>0</v>
      </c>
      <c r="AB42" s="101">
        <v>0</v>
      </c>
      <c r="AC42" s="93">
        <v>0</v>
      </c>
      <c r="AD42" s="113">
        <v>0</v>
      </c>
      <c r="AE42" s="101">
        <v>0</v>
      </c>
      <c r="AF42" s="101">
        <v>0</v>
      </c>
      <c r="AG42" s="96">
        <f>+(0.37*0.4)</f>
        <v>0.14799999999999999</v>
      </c>
      <c r="AH42" s="92">
        <v>0</v>
      </c>
      <c r="AI42" s="93">
        <v>0</v>
      </c>
      <c r="AJ42" s="113">
        <v>0</v>
      </c>
      <c r="AK42" s="114">
        <v>0</v>
      </c>
      <c r="AL42" s="115">
        <v>0</v>
      </c>
      <c r="AM42" s="116">
        <v>0</v>
      </c>
      <c r="AN42" s="114">
        <v>0</v>
      </c>
      <c r="AO42" s="123">
        <v>0</v>
      </c>
      <c r="AP42" s="115">
        <v>0</v>
      </c>
      <c r="AQ42" s="133">
        <v>0</v>
      </c>
      <c r="AR42" s="134">
        <v>0</v>
      </c>
      <c r="AS42" s="135">
        <v>0</v>
      </c>
      <c r="AT42" s="119">
        <f>+(6*0.6)</f>
        <v>3.5999999999999996</v>
      </c>
      <c r="AU42" s="115">
        <v>0</v>
      </c>
      <c r="AV42" s="116">
        <v>0</v>
      </c>
      <c r="AW42" s="3">
        <f t="shared" si="3"/>
        <v>4.7874999999999996</v>
      </c>
      <c r="AX42" s="5">
        <f t="shared" si="5"/>
        <v>2.3290048302222366E-2</v>
      </c>
    </row>
    <row r="43" spans="2:50" ht="15.6" customHeight="1" thickBot="1" x14ac:dyDescent="0.35">
      <c r="B43" s="268" t="s">
        <v>38</v>
      </c>
      <c r="C43" s="231"/>
      <c r="D43" s="269"/>
      <c r="E43" s="6"/>
      <c r="F43" s="7">
        <f>SUM(F10:F42)</f>
        <v>20555.990000000002</v>
      </c>
      <c r="G43" s="8"/>
      <c r="H43" s="9"/>
      <c r="I43" s="10"/>
      <c r="J43" s="8"/>
      <c r="K43" s="9"/>
      <c r="L43" s="10"/>
      <c r="M43" s="8"/>
      <c r="N43" s="9"/>
      <c r="O43" s="10"/>
      <c r="P43" s="8"/>
      <c r="Q43" s="9"/>
      <c r="R43" s="10"/>
      <c r="S43" s="8"/>
      <c r="T43" s="11"/>
      <c r="U43" s="12"/>
      <c r="V43" s="8"/>
      <c r="W43" s="9"/>
      <c r="X43" s="13"/>
      <c r="Y43" s="46"/>
      <c r="Z43" s="37"/>
      <c r="AA43" s="36"/>
      <c r="AB43" s="8"/>
      <c r="AC43" s="9"/>
      <c r="AD43" s="12"/>
      <c r="AE43" s="14"/>
      <c r="AF43" s="15"/>
      <c r="AG43" s="16"/>
      <c r="AH43" s="17"/>
      <c r="AI43" s="15"/>
      <c r="AJ43" s="16"/>
      <c r="AK43" s="34"/>
      <c r="AL43" s="35"/>
      <c r="AM43" s="35"/>
      <c r="AN43" s="35"/>
      <c r="AO43" s="35"/>
      <c r="AP43" s="35"/>
      <c r="AQ43" s="44"/>
      <c r="AR43" s="44"/>
      <c r="AS43" s="44"/>
      <c r="AT43" s="34"/>
      <c r="AU43" s="35"/>
      <c r="AV43" s="35"/>
      <c r="AW43" s="18">
        <f>SUM(AW10:AW42)</f>
        <v>3953.9357745800003</v>
      </c>
      <c r="AX43" s="18">
        <f>SUM(AX10:AX42)</f>
        <v>19.234956694277432</v>
      </c>
    </row>
    <row r="44" spans="2:50" ht="14.25" customHeight="1" thickBot="1" x14ac:dyDescent="0.35">
      <c r="B44" s="270"/>
      <c r="C44" s="271"/>
      <c r="D44" s="271"/>
      <c r="E44" s="271"/>
      <c r="F44" s="271"/>
      <c r="G44" s="271"/>
      <c r="H44" s="271"/>
      <c r="I44" s="271"/>
      <c r="J44" s="271"/>
      <c r="K44" s="271"/>
      <c r="L44" s="271"/>
      <c r="M44" s="271"/>
      <c r="N44" s="271"/>
      <c r="O44" s="271"/>
      <c r="P44" s="271"/>
      <c r="Q44" s="271"/>
      <c r="R44" s="271"/>
      <c r="S44" s="271"/>
      <c r="T44" s="271"/>
      <c r="U44" s="271"/>
      <c r="V44" s="271"/>
      <c r="W44" s="271"/>
      <c r="X44" s="271"/>
      <c r="Y44" s="271"/>
      <c r="Z44" s="271"/>
      <c r="AA44" s="271"/>
      <c r="AB44" s="271"/>
      <c r="AC44" s="271"/>
      <c r="AD44" s="271"/>
      <c r="AE44" s="271"/>
      <c r="AF44" s="271"/>
      <c r="AG44" s="271"/>
      <c r="AH44" s="271"/>
      <c r="AI44" s="271"/>
      <c r="AJ44" s="271"/>
      <c r="AQ44" s="45"/>
      <c r="AR44" s="45"/>
      <c r="AS44" s="45"/>
      <c r="AW44" s="19"/>
      <c r="AX44" s="20"/>
    </row>
    <row r="45" spans="2:50" ht="14.25" customHeight="1" x14ac:dyDescent="0.3">
      <c r="B45" s="272" t="s">
        <v>39</v>
      </c>
      <c r="C45" s="258"/>
      <c r="D45" s="258"/>
      <c r="E45" s="258"/>
      <c r="F45" s="273"/>
      <c r="G45" s="21">
        <f t="shared" ref="G45:AV45" si="6">SUM(G10:G42)</f>
        <v>109.16839999999999</v>
      </c>
      <c r="H45" s="21">
        <f t="shared" si="6"/>
        <v>63.288599999999995</v>
      </c>
      <c r="I45" s="21">
        <f t="shared" si="6"/>
        <v>33.198</v>
      </c>
      <c r="J45" s="21">
        <f t="shared" si="6"/>
        <v>44.388499999999986</v>
      </c>
      <c r="K45" s="21">
        <f t="shared" si="6"/>
        <v>31.512</v>
      </c>
      <c r="L45" s="21">
        <f t="shared" si="6"/>
        <v>21.587999999999997</v>
      </c>
      <c r="M45" s="21">
        <f t="shared" si="6"/>
        <v>230.13810000000001</v>
      </c>
      <c r="N45" s="21">
        <f t="shared" si="6"/>
        <v>771.31056457999989</v>
      </c>
      <c r="O45" s="21">
        <f t="shared" si="6"/>
        <v>422.82939999999991</v>
      </c>
      <c r="P45" s="21">
        <f t="shared" si="6"/>
        <v>0.95399999999999996</v>
      </c>
      <c r="Q45" s="21">
        <f t="shared" si="6"/>
        <v>2.13</v>
      </c>
      <c r="R45" s="21">
        <f t="shared" si="6"/>
        <v>0</v>
      </c>
      <c r="S45" s="21">
        <f t="shared" si="6"/>
        <v>29.968299999999999</v>
      </c>
      <c r="T45" s="21">
        <f t="shared" si="6"/>
        <v>131.8502</v>
      </c>
      <c r="U45" s="21">
        <f t="shared" si="6"/>
        <v>744.72549999999978</v>
      </c>
      <c r="V45" s="21">
        <f t="shared" si="6"/>
        <v>8.5679999999999996</v>
      </c>
      <c r="W45" s="21">
        <f t="shared" si="6"/>
        <v>38.387</v>
      </c>
      <c r="X45" s="21">
        <f t="shared" si="6"/>
        <v>18.2744</v>
      </c>
      <c r="Y45" s="21">
        <f t="shared" si="6"/>
        <v>1.4280000000000002</v>
      </c>
      <c r="Z45" s="21">
        <f t="shared" si="6"/>
        <v>0.432</v>
      </c>
      <c r="AA45" s="21">
        <f t="shared" si="6"/>
        <v>0</v>
      </c>
      <c r="AB45" s="21">
        <f t="shared" si="6"/>
        <v>24.818300000000001</v>
      </c>
      <c r="AC45" s="21">
        <f t="shared" si="6"/>
        <v>9.8097999999999992</v>
      </c>
      <c r="AD45" s="21">
        <f t="shared" si="6"/>
        <v>88.007000000000005</v>
      </c>
      <c r="AE45" s="21">
        <f t="shared" si="6"/>
        <v>1.5686</v>
      </c>
      <c r="AF45" s="21">
        <f t="shared" si="6"/>
        <v>0.5232</v>
      </c>
      <c r="AG45" s="21">
        <f t="shared" si="6"/>
        <v>9.7120499999999996</v>
      </c>
      <c r="AH45" s="21">
        <f t="shared" si="6"/>
        <v>432.78336000000007</v>
      </c>
      <c r="AI45" s="21">
        <f t="shared" si="6"/>
        <v>241.51840000000001</v>
      </c>
      <c r="AJ45" s="21">
        <f t="shared" si="6"/>
        <v>306.1354</v>
      </c>
      <c r="AK45" s="21">
        <f t="shared" si="6"/>
        <v>7.5006999999999993</v>
      </c>
      <c r="AL45" s="21">
        <f t="shared" si="6"/>
        <v>20.9602</v>
      </c>
      <c r="AM45" s="21">
        <f t="shared" si="6"/>
        <v>1.5478000000000001</v>
      </c>
      <c r="AN45" s="21">
        <f t="shared" si="6"/>
        <v>0</v>
      </c>
      <c r="AO45" s="21">
        <f t="shared" si="6"/>
        <v>0</v>
      </c>
      <c r="AP45" s="21">
        <f t="shared" si="6"/>
        <v>22.908000000000001</v>
      </c>
      <c r="AQ45" s="21">
        <f t="shared" si="6"/>
        <v>0</v>
      </c>
      <c r="AR45" s="21">
        <f t="shared" si="6"/>
        <v>20.408000000000001</v>
      </c>
      <c r="AS45" s="21">
        <f t="shared" si="6"/>
        <v>0</v>
      </c>
      <c r="AT45" s="21">
        <f t="shared" si="6"/>
        <v>23.532000000000004</v>
      </c>
      <c r="AU45" s="21">
        <f t="shared" si="6"/>
        <v>8.363999999999999</v>
      </c>
      <c r="AV45" s="21">
        <f t="shared" si="6"/>
        <v>29.700000000000003</v>
      </c>
    </row>
    <row r="46" spans="2:50" ht="14.25" customHeight="1" x14ac:dyDescent="0.3">
      <c r="B46" s="274" t="s">
        <v>40</v>
      </c>
      <c r="C46" s="223"/>
      <c r="D46" s="223"/>
      <c r="E46" s="223"/>
      <c r="F46" s="224"/>
      <c r="G46" s="222">
        <f>G45+H45+I45</f>
        <v>205.655</v>
      </c>
      <c r="H46" s="223"/>
      <c r="I46" s="224"/>
      <c r="J46" s="222">
        <f t="shared" ref="J46" si="7">J45+K45+L45</f>
        <v>97.488499999999988</v>
      </c>
      <c r="K46" s="223"/>
      <c r="L46" s="224"/>
      <c r="M46" s="222">
        <f t="shared" ref="M46" si="8">M45+N45+O45</f>
        <v>1424.2780645799999</v>
      </c>
      <c r="N46" s="223"/>
      <c r="O46" s="224"/>
      <c r="P46" s="222">
        <f t="shared" ref="P46" si="9">P45+Q45+R45</f>
        <v>3.0839999999999996</v>
      </c>
      <c r="Q46" s="223"/>
      <c r="R46" s="224"/>
      <c r="S46" s="222">
        <f t="shared" ref="S46" si="10">S45+T45+U45</f>
        <v>906.54399999999976</v>
      </c>
      <c r="T46" s="223"/>
      <c r="U46" s="224"/>
      <c r="V46" s="222">
        <f t="shared" ref="V46" si="11">V45+W45+X45</f>
        <v>65.229399999999998</v>
      </c>
      <c r="W46" s="223"/>
      <c r="X46" s="224"/>
      <c r="Y46" s="222">
        <f t="shared" ref="Y46" si="12">Y45+Z45+AA45</f>
        <v>1.86</v>
      </c>
      <c r="Z46" s="223"/>
      <c r="AA46" s="224"/>
      <c r="AB46" s="222">
        <f t="shared" ref="AB46" si="13">AB45+AC45+AD45</f>
        <v>122.63510000000001</v>
      </c>
      <c r="AC46" s="223"/>
      <c r="AD46" s="224"/>
      <c r="AE46" s="222">
        <f t="shared" ref="AE46" si="14">AE45+AF45+AG45</f>
        <v>11.803850000000001</v>
      </c>
      <c r="AF46" s="223"/>
      <c r="AG46" s="224"/>
      <c r="AH46" s="222">
        <f t="shared" ref="AH46" si="15">AH45+AI45+AJ45</f>
        <v>980.43716000000006</v>
      </c>
      <c r="AI46" s="223"/>
      <c r="AJ46" s="224"/>
      <c r="AK46" s="222">
        <f t="shared" ref="AK46" si="16">AK45+AL45+AM45</f>
        <v>30.008699999999997</v>
      </c>
      <c r="AL46" s="223"/>
      <c r="AM46" s="224"/>
      <c r="AN46" s="222">
        <f t="shared" ref="AN46" si="17">AN45+AO45+AP45</f>
        <v>22.908000000000001</v>
      </c>
      <c r="AO46" s="223"/>
      <c r="AP46" s="224"/>
      <c r="AQ46" s="222">
        <f t="shared" ref="AQ46" si="18">AQ45+AR45+AS45</f>
        <v>20.408000000000001</v>
      </c>
      <c r="AR46" s="223"/>
      <c r="AS46" s="224"/>
      <c r="AT46" s="222">
        <f t="shared" ref="AT46" si="19">AT45+AU45+AV45</f>
        <v>61.596000000000004</v>
      </c>
      <c r="AU46" s="223"/>
      <c r="AV46" s="224"/>
    </row>
    <row r="47" spans="2:50" ht="14.25" customHeight="1" x14ac:dyDescent="0.3">
      <c r="B47" s="279" t="s">
        <v>41</v>
      </c>
      <c r="C47" s="223"/>
      <c r="D47" s="223"/>
      <c r="E47" s="223"/>
      <c r="F47" s="224"/>
      <c r="G47" s="22">
        <f t="shared" ref="G47:AV47" si="20">(G45/$F$43)*100</f>
        <v>0.53107828910210586</v>
      </c>
      <c r="H47" s="22">
        <f t="shared" si="20"/>
        <v>0.30788397931697764</v>
      </c>
      <c r="I47" s="22">
        <f t="shared" si="20"/>
        <v>0.1615003704516299</v>
      </c>
      <c r="J47" s="22">
        <f t="shared" si="20"/>
        <v>0.21593949014374877</v>
      </c>
      <c r="K47" s="22">
        <f t="shared" si="20"/>
        <v>0.15329838163960968</v>
      </c>
      <c r="L47" s="22">
        <f t="shared" si="20"/>
        <v>0.1050204830806008</v>
      </c>
      <c r="M47" s="22">
        <f t="shared" si="20"/>
        <v>1.1195670945549205</v>
      </c>
      <c r="N47" s="22">
        <f t="shared" si="20"/>
        <v>3.7522423613749556</v>
      </c>
      <c r="O47" s="22">
        <f t="shared" si="20"/>
        <v>2.0569644176709554</v>
      </c>
      <c r="P47" s="22">
        <f t="shared" si="20"/>
        <v>4.6409829932783581E-3</v>
      </c>
      <c r="Q47" s="22">
        <f t="shared" si="20"/>
        <v>1.0361943161093189E-2</v>
      </c>
      <c r="R47" s="22">
        <f t="shared" si="20"/>
        <v>0</v>
      </c>
      <c r="S47" s="22">
        <f t="shared" si="20"/>
        <v>0.1457886484669432</v>
      </c>
      <c r="T47" s="22">
        <f t="shared" si="20"/>
        <v>0.6414198489102203</v>
      </c>
      <c r="U47" s="22">
        <f t="shared" si="20"/>
        <v>3.6229123481768566</v>
      </c>
      <c r="V47" s="22">
        <f t="shared" si="20"/>
        <v>4.1681281222650912E-2</v>
      </c>
      <c r="W47" s="22">
        <f t="shared" si="20"/>
        <v>0.18674362071590811</v>
      </c>
      <c r="X47" s="22">
        <f t="shared" si="20"/>
        <v>8.89006075601321E-2</v>
      </c>
      <c r="Y47" s="22">
        <f t="shared" si="20"/>
        <v>6.9468802037751529E-3</v>
      </c>
      <c r="Z47" s="22">
        <f t="shared" si="20"/>
        <v>2.1015772045034076E-3</v>
      </c>
      <c r="AA47" s="22">
        <f t="shared" si="20"/>
        <v>0</v>
      </c>
      <c r="AB47" s="22">
        <f t="shared" si="20"/>
        <v>0.12073512392251601</v>
      </c>
      <c r="AC47" s="22">
        <f t="shared" si="20"/>
        <v>4.7722342733188712E-2</v>
      </c>
      <c r="AD47" s="22">
        <f t="shared" si="20"/>
        <v>0.42813311351095229</v>
      </c>
      <c r="AE47" s="22">
        <f t="shared" si="20"/>
        <v>7.630865747648252E-3</v>
      </c>
      <c r="AF47" s="22">
        <f t="shared" si="20"/>
        <v>2.5452435032319045E-3</v>
      </c>
      <c r="AG47" s="22">
        <f t="shared" si="20"/>
        <v>4.7246812243049344E-2</v>
      </c>
      <c r="AH47" s="22">
        <f t="shared" si="20"/>
        <v>2.1053880645009073</v>
      </c>
      <c r="AI47" s="22">
        <f t="shared" si="20"/>
        <v>1.1749295460836477</v>
      </c>
      <c r="AJ47" s="22">
        <f t="shared" si="20"/>
        <v>1.4892758753044733</v>
      </c>
      <c r="AK47" s="22">
        <f t="shared" si="20"/>
        <v>3.6489120689395152E-2</v>
      </c>
      <c r="AL47" s="22">
        <f t="shared" si="20"/>
        <v>0.10196638546720443</v>
      </c>
      <c r="AM47" s="22">
        <f t="shared" si="20"/>
        <v>7.529678697061051E-3</v>
      </c>
      <c r="AN47" s="22">
        <f t="shared" si="20"/>
        <v>0</v>
      </c>
      <c r="AO47" s="22">
        <f t="shared" si="20"/>
        <v>0</v>
      </c>
      <c r="AP47" s="22">
        <f t="shared" si="20"/>
        <v>0.11144196898325014</v>
      </c>
      <c r="AQ47" s="22">
        <f t="shared" si="20"/>
        <v>0</v>
      </c>
      <c r="AR47" s="22">
        <f t="shared" si="20"/>
        <v>9.9280063864596146E-2</v>
      </c>
      <c r="AS47" s="22">
        <f t="shared" si="20"/>
        <v>0</v>
      </c>
      <c r="AT47" s="22">
        <f t="shared" si="20"/>
        <v>0.11447758050086618</v>
      </c>
      <c r="AU47" s="22">
        <f t="shared" si="20"/>
        <v>4.0688869764968744E-2</v>
      </c>
      <c r="AV47" s="22">
        <f t="shared" si="20"/>
        <v>0.14448343280960926</v>
      </c>
      <c r="AW47" s="55"/>
    </row>
    <row r="48" spans="2:50" ht="14.25" customHeight="1" thickBot="1" x14ac:dyDescent="0.35">
      <c r="B48" s="280" t="s">
        <v>42</v>
      </c>
      <c r="C48" s="226"/>
      <c r="D48" s="226"/>
      <c r="E48" s="226"/>
      <c r="F48" s="227"/>
      <c r="G48" s="225">
        <f>(G46/$F$43)*100</f>
        <v>1.0004626388707134</v>
      </c>
      <c r="H48" s="226"/>
      <c r="I48" s="227"/>
      <c r="J48" s="225">
        <f t="shared" ref="J48" si="21">(J46/$F$43)*100</f>
        <v>0.47425835486395929</v>
      </c>
      <c r="K48" s="226"/>
      <c r="L48" s="227"/>
      <c r="M48" s="225">
        <f t="shared" ref="M48" si="22">(M46/$F$43)*100</f>
        <v>6.9287738736008322</v>
      </c>
      <c r="N48" s="226"/>
      <c r="O48" s="227"/>
      <c r="P48" s="225">
        <f t="shared" ref="P48" si="23">(P46/$F$43)*100</f>
        <v>1.5002926154371547E-2</v>
      </c>
      <c r="Q48" s="226"/>
      <c r="R48" s="227"/>
      <c r="S48" s="225">
        <f t="shared" ref="S48" si="24">(S46/$F$43)*100</f>
        <v>4.4101208455540188</v>
      </c>
      <c r="T48" s="226"/>
      <c r="U48" s="227"/>
      <c r="V48" s="225">
        <f t="shared" ref="V48" si="25">(V46/$F$43)*100</f>
        <v>0.31732550949869109</v>
      </c>
      <c r="W48" s="226"/>
      <c r="X48" s="227"/>
      <c r="Y48" s="225">
        <f t="shared" ref="Y48" si="26">(Y46/$F$43)*100</f>
        <v>9.0484574082785613E-3</v>
      </c>
      <c r="Z48" s="226"/>
      <c r="AA48" s="227"/>
      <c r="AB48" s="225">
        <f t="shared" ref="AB48" si="27">(AB46/$F$43)*100</f>
        <v>0.596590580166657</v>
      </c>
      <c r="AC48" s="226"/>
      <c r="AD48" s="227"/>
      <c r="AE48" s="225">
        <f t="shared" ref="AE48" si="28">(AE46/$F$43)*100</f>
        <v>5.742292149392951E-2</v>
      </c>
      <c r="AF48" s="226"/>
      <c r="AG48" s="227"/>
      <c r="AH48" s="225">
        <f t="shared" ref="AH48" si="29">(AH46/$F$43)*100</f>
        <v>4.7695934858890281</v>
      </c>
      <c r="AI48" s="226"/>
      <c r="AJ48" s="227"/>
      <c r="AK48" s="225">
        <f t="shared" ref="AK48" si="30">(AK46/$F$43)*100</f>
        <v>0.14598518485366063</v>
      </c>
      <c r="AL48" s="226"/>
      <c r="AM48" s="227"/>
      <c r="AN48" s="225">
        <f t="shared" ref="AN48" si="31">(AN46/$F$43)*100</f>
        <v>0.11144196898325014</v>
      </c>
      <c r="AO48" s="226"/>
      <c r="AP48" s="227"/>
      <c r="AQ48" s="225">
        <f t="shared" ref="AQ48" si="32">(AQ46/$F$43)*100</f>
        <v>9.9280063864596146E-2</v>
      </c>
      <c r="AR48" s="226"/>
      <c r="AS48" s="227"/>
      <c r="AT48" s="225">
        <f t="shared" ref="AT48" si="33">(AT46/$F$43)*100</f>
        <v>0.29964988307544421</v>
      </c>
      <c r="AU48" s="226"/>
      <c r="AV48" s="227"/>
    </row>
    <row r="49" spans="2:48" ht="14.25" customHeight="1" thickBot="1" x14ac:dyDescent="0.3"/>
    <row r="50" spans="2:48" ht="14.25" customHeight="1" x14ac:dyDescent="0.3">
      <c r="B50" s="283" t="s">
        <v>43</v>
      </c>
      <c r="C50" s="284"/>
      <c r="D50" s="136">
        <v>1</v>
      </c>
      <c r="E50" s="275" t="s">
        <v>44</v>
      </c>
      <c r="F50" s="276"/>
      <c r="G50" s="137">
        <v>6.37</v>
      </c>
      <c r="H50" s="138" t="s">
        <v>45</v>
      </c>
    </row>
    <row r="51" spans="2:48" ht="14.25" customHeight="1" thickBot="1" x14ac:dyDescent="0.35">
      <c r="B51" s="281" t="s">
        <v>46</v>
      </c>
      <c r="C51" s="282"/>
      <c r="D51" s="139">
        <v>2</v>
      </c>
      <c r="E51" s="277" t="s">
        <v>47</v>
      </c>
      <c r="F51" s="278"/>
      <c r="G51" s="140">
        <v>0.6</v>
      </c>
      <c r="H51" s="141" t="s">
        <v>45</v>
      </c>
      <c r="AV51" s="56"/>
    </row>
    <row r="52" spans="2:48" ht="14.25" customHeight="1" x14ac:dyDescent="0.25">
      <c r="AV52" s="56"/>
    </row>
    <row r="53" spans="2:48" ht="14.25" customHeight="1" x14ac:dyDescent="0.3">
      <c r="AH53" s="24"/>
    </row>
    <row r="54" spans="2:48" ht="14.25" customHeight="1" x14ac:dyDescent="0.25"/>
    <row r="55" spans="2:48" ht="14.25" customHeight="1" x14ac:dyDescent="0.25"/>
    <row r="56" spans="2:48" ht="14.25" customHeight="1" x14ac:dyDescent="0.25"/>
    <row r="57" spans="2:48" ht="14.25" customHeight="1" x14ac:dyDescent="0.25"/>
    <row r="58" spans="2:48" ht="14.25" customHeight="1" x14ac:dyDescent="0.25"/>
    <row r="59" spans="2:48" ht="14.25" customHeight="1" x14ac:dyDescent="0.25"/>
    <row r="60" spans="2:48" ht="14.25" customHeight="1" x14ac:dyDescent="0.25"/>
    <row r="61" spans="2:48" ht="14.25" customHeight="1" x14ac:dyDescent="0.25"/>
    <row r="62" spans="2:48" ht="14.25" customHeight="1" x14ac:dyDescent="0.25"/>
    <row r="63" spans="2:48" ht="14.25" customHeight="1" x14ac:dyDescent="0.25"/>
    <row r="64" spans="2:48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  <row r="1001" ht="14.25" customHeight="1" x14ac:dyDescent="0.25"/>
    <row r="1002" ht="14.25" customHeight="1" x14ac:dyDescent="0.25"/>
    <row r="1003" ht="14.25" customHeight="1" x14ac:dyDescent="0.25"/>
    <row r="1004" ht="14.25" customHeight="1" x14ac:dyDescent="0.25"/>
    <row r="1005" ht="14.25" customHeight="1" x14ac:dyDescent="0.25"/>
    <row r="1006" ht="14.25" customHeight="1" x14ac:dyDescent="0.25"/>
    <row r="1007" ht="14.25" customHeight="1" x14ac:dyDescent="0.25"/>
    <row r="1008" ht="14.25" customHeight="1" x14ac:dyDescent="0.25"/>
    <row r="1009" ht="14.25" customHeight="1" x14ac:dyDescent="0.25"/>
    <row r="1010" ht="14.25" customHeight="1" x14ac:dyDescent="0.25"/>
    <row r="1011" ht="14.25" customHeight="1" x14ac:dyDescent="0.25"/>
    <row r="1012" ht="14.25" customHeight="1" x14ac:dyDescent="0.25"/>
    <row r="1013" ht="14.25" customHeight="1" x14ac:dyDescent="0.25"/>
    <row r="1014" ht="14.25" customHeight="1" x14ac:dyDescent="0.25"/>
    <row r="1015" ht="14.25" customHeight="1" x14ac:dyDescent="0.25"/>
    <row r="1016" ht="14.25" customHeight="1" x14ac:dyDescent="0.25"/>
    <row r="1017" ht="14.25" customHeight="1" x14ac:dyDescent="0.25"/>
    <row r="1018" ht="14.25" customHeight="1" x14ac:dyDescent="0.25"/>
    <row r="1019" ht="14.25" customHeight="1" x14ac:dyDescent="0.25"/>
    <row r="1020" ht="14.25" customHeight="1" x14ac:dyDescent="0.25"/>
    <row r="1021" ht="14.25" customHeight="1" x14ac:dyDescent="0.25"/>
    <row r="1022" ht="14.25" customHeight="1" x14ac:dyDescent="0.25"/>
    <row r="1023" ht="14.25" customHeight="1" x14ac:dyDescent="0.25"/>
    <row r="1024" ht="14.25" customHeight="1" x14ac:dyDescent="0.25"/>
    <row r="1025" ht="14.25" customHeight="1" x14ac:dyDescent="0.25"/>
  </sheetData>
  <mergeCells count="60">
    <mergeCell ref="B8:B9"/>
    <mergeCell ref="AT8:AV8"/>
    <mergeCell ref="AK8:AM8"/>
    <mergeCell ref="Y8:AA8"/>
    <mergeCell ref="AN8:AP8"/>
    <mergeCell ref="AQ8:AS8"/>
    <mergeCell ref="E51:F51"/>
    <mergeCell ref="B47:F47"/>
    <mergeCell ref="B48:F48"/>
    <mergeCell ref="G48:I48"/>
    <mergeCell ref="B51:C51"/>
    <mergeCell ref="B50:C50"/>
    <mergeCell ref="V48:X48"/>
    <mergeCell ref="AB48:AD48"/>
    <mergeCell ref="AE48:AG48"/>
    <mergeCell ref="AH48:AJ48"/>
    <mergeCell ref="E50:F50"/>
    <mergeCell ref="J48:L48"/>
    <mergeCell ref="M48:O48"/>
    <mergeCell ref="P48:R48"/>
    <mergeCell ref="S48:U48"/>
    <mergeCell ref="Y48:AA48"/>
    <mergeCell ref="B43:D43"/>
    <mergeCell ref="B44:AJ44"/>
    <mergeCell ref="B45:F45"/>
    <mergeCell ref="B46:F46"/>
    <mergeCell ref="G46:I46"/>
    <mergeCell ref="J46:L46"/>
    <mergeCell ref="M46:O46"/>
    <mergeCell ref="P46:R46"/>
    <mergeCell ref="S46:U46"/>
    <mergeCell ref="V46:X46"/>
    <mergeCell ref="AB46:AD46"/>
    <mergeCell ref="AE46:AG46"/>
    <mergeCell ref="AH46:AJ46"/>
    <mergeCell ref="Y46:AA46"/>
    <mergeCell ref="B6:C6"/>
    <mergeCell ref="B7:AX7"/>
    <mergeCell ref="C8:D8"/>
    <mergeCell ref="E8:E9"/>
    <mergeCell ref="F8:F9"/>
    <mergeCell ref="G8:I8"/>
    <mergeCell ref="J8:L8"/>
    <mergeCell ref="AX8:AX9"/>
    <mergeCell ref="M8:O8"/>
    <mergeCell ref="P8:R8"/>
    <mergeCell ref="S8:U8"/>
    <mergeCell ref="V8:X8"/>
    <mergeCell ref="AB8:AD8"/>
    <mergeCell ref="AE8:AG8"/>
    <mergeCell ref="AH8:AJ8"/>
    <mergeCell ref="AW8:AW9"/>
    <mergeCell ref="AT46:AV46"/>
    <mergeCell ref="AT48:AV48"/>
    <mergeCell ref="AK46:AM46"/>
    <mergeCell ref="AK48:AM48"/>
    <mergeCell ref="AN46:AP46"/>
    <mergeCell ref="AN48:AP48"/>
    <mergeCell ref="AQ46:AS46"/>
    <mergeCell ref="AQ48:AS48"/>
  </mergeCells>
  <pageMargins left="0.7" right="0.7" top="0.75" bottom="0.75" header="0" footer="0"/>
  <pageSetup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I1020"/>
  <sheetViews>
    <sheetView showGridLines="0" zoomScale="55" zoomScaleNormal="55" workbookViewId="0">
      <selection activeCell="AK43" sqref="AK43"/>
    </sheetView>
  </sheetViews>
  <sheetFormatPr baseColWidth="10" defaultColWidth="12.59765625" defaultRowHeight="15" customHeight="1" x14ac:dyDescent="0.25"/>
  <cols>
    <col min="1" max="1" width="6.796875" style="88" customWidth="1"/>
    <col min="2" max="2" width="8.796875" style="88" customWidth="1"/>
    <col min="3" max="4" width="10.69921875" style="88" customWidth="1"/>
    <col min="5" max="5" width="8.69921875" style="88" customWidth="1"/>
    <col min="6" max="6" width="10.69921875" style="88" customWidth="1"/>
    <col min="7" max="34" width="4.19921875" style="88" customWidth="1"/>
    <col min="35" max="35" width="12.796875" style="88" customWidth="1"/>
    <col min="36" max="16384" width="12.59765625" style="88"/>
  </cols>
  <sheetData>
    <row r="1" spans="2:35" s="166" customFormat="1" ht="15" customHeight="1" x14ac:dyDescent="0.25"/>
    <row r="2" spans="2:35" s="166" customFormat="1" ht="15" customHeight="1" x14ac:dyDescent="0.25"/>
    <row r="3" spans="2:35" s="166" customFormat="1" ht="15" customHeight="1" x14ac:dyDescent="0.25"/>
    <row r="4" spans="2:35" s="166" customFormat="1" ht="15" customHeight="1" x14ac:dyDescent="0.25"/>
    <row r="5" spans="2:35" s="166" customFormat="1" ht="15" customHeight="1" x14ac:dyDescent="0.25"/>
    <row r="6" spans="2:35" ht="9.6" customHeight="1" thickBot="1" x14ac:dyDescent="0.35">
      <c r="B6" s="300"/>
      <c r="C6" s="301"/>
      <c r="D6" s="1"/>
    </row>
    <row r="7" spans="2:35" s="187" customFormat="1" ht="21" customHeight="1" thickBot="1" x14ac:dyDescent="0.4">
      <c r="B7" s="302" t="s">
        <v>115</v>
      </c>
      <c r="C7" s="303"/>
      <c r="D7" s="303"/>
      <c r="E7" s="303"/>
      <c r="F7" s="303"/>
      <c r="G7" s="303"/>
      <c r="H7" s="303"/>
      <c r="I7" s="303"/>
      <c r="J7" s="303"/>
      <c r="K7" s="303"/>
      <c r="L7" s="303"/>
      <c r="M7" s="303"/>
      <c r="N7" s="303"/>
      <c r="O7" s="303"/>
      <c r="P7" s="303"/>
      <c r="Q7" s="303"/>
      <c r="R7" s="303"/>
      <c r="S7" s="303"/>
      <c r="T7" s="303"/>
      <c r="U7" s="303"/>
      <c r="V7" s="303"/>
      <c r="W7" s="303"/>
      <c r="X7" s="303"/>
      <c r="Y7" s="303"/>
      <c r="Z7" s="303"/>
      <c r="AA7" s="303"/>
      <c r="AB7" s="303"/>
      <c r="AC7" s="303"/>
      <c r="AD7" s="303"/>
      <c r="AE7" s="303"/>
      <c r="AF7" s="303"/>
      <c r="AG7" s="303"/>
      <c r="AH7" s="303"/>
      <c r="AI7" s="304"/>
    </row>
    <row r="8" spans="2:35" s="187" customFormat="1" ht="27.6" customHeight="1" x14ac:dyDescent="0.35">
      <c r="B8" s="338" t="s">
        <v>15</v>
      </c>
      <c r="C8" s="305" t="s">
        <v>1</v>
      </c>
      <c r="D8" s="306"/>
      <c r="E8" s="307" t="s">
        <v>2</v>
      </c>
      <c r="F8" s="309" t="s">
        <v>3</v>
      </c>
      <c r="G8" s="310" t="s">
        <v>4</v>
      </c>
      <c r="H8" s="311"/>
      <c r="I8" s="312" t="s">
        <v>5</v>
      </c>
      <c r="J8" s="313"/>
      <c r="K8" s="314" t="s">
        <v>56</v>
      </c>
      <c r="L8" s="315"/>
      <c r="M8" s="316" t="s">
        <v>7</v>
      </c>
      <c r="N8" s="317"/>
      <c r="O8" s="318" t="s">
        <v>8</v>
      </c>
      <c r="P8" s="319"/>
      <c r="Q8" s="305" t="s">
        <v>9</v>
      </c>
      <c r="R8" s="306"/>
      <c r="S8" s="327" t="s">
        <v>58</v>
      </c>
      <c r="T8" s="327"/>
      <c r="U8" s="328" t="s">
        <v>10</v>
      </c>
      <c r="V8" s="329"/>
      <c r="W8" s="330" t="s">
        <v>11</v>
      </c>
      <c r="X8" s="331"/>
      <c r="Y8" s="332" t="s">
        <v>12</v>
      </c>
      <c r="Z8" s="333"/>
      <c r="AA8" s="334" t="s">
        <v>57</v>
      </c>
      <c r="AB8" s="334"/>
      <c r="AC8" s="320" t="s">
        <v>60</v>
      </c>
      <c r="AD8" s="320"/>
      <c r="AE8" s="321" t="s">
        <v>6</v>
      </c>
      <c r="AF8" s="321"/>
      <c r="AG8" s="322" t="s">
        <v>109</v>
      </c>
      <c r="AH8" s="322"/>
      <c r="AI8" s="323" t="s">
        <v>110</v>
      </c>
    </row>
    <row r="9" spans="2:35" s="187" customFormat="1" ht="27.6" customHeight="1" thickBot="1" x14ac:dyDescent="0.4">
      <c r="B9" s="339"/>
      <c r="C9" s="194" t="s">
        <v>16</v>
      </c>
      <c r="D9" s="194" t="s">
        <v>17</v>
      </c>
      <c r="E9" s="308"/>
      <c r="F9" s="308"/>
      <c r="G9" s="194" t="s">
        <v>111</v>
      </c>
      <c r="H9" s="194" t="s">
        <v>112</v>
      </c>
      <c r="I9" s="194" t="s">
        <v>111</v>
      </c>
      <c r="J9" s="194" t="s">
        <v>112</v>
      </c>
      <c r="K9" s="194" t="s">
        <v>111</v>
      </c>
      <c r="L9" s="194" t="s">
        <v>112</v>
      </c>
      <c r="M9" s="194" t="s">
        <v>111</v>
      </c>
      <c r="N9" s="194" t="s">
        <v>112</v>
      </c>
      <c r="O9" s="194" t="s">
        <v>111</v>
      </c>
      <c r="P9" s="194" t="s">
        <v>112</v>
      </c>
      <c r="Q9" s="194" t="s">
        <v>111</v>
      </c>
      <c r="R9" s="194" t="s">
        <v>112</v>
      </c>
      <c r="S9" s="194" t="s">
        <v>111</v>
      </c>
      <c r="T9" s="194" t="s">
        <v>112</v>
      </c>
      <c r="U9" s="194" t="s">
        <v>111</v>
      </c>
      <c r="V9" s="194" t="s">
        <v>112</v>
      </c>
      <c r="W9" s="194" t="s">
        <v>111</v>
      </c>
      <c r="X9" s="194" t="s">
        <v>112</v>
      </c>
      <c r="Y9" s="194" t="s">
        <v>111</v>
      </c>
      <c r="Z9" s="194" t="s">
        <v>112</v>
      </c>
      <c r="AA9" s="194" t="s">
        <v>111</v>
      </c>
      <c r="AB9" s="194" t="s">
        <v>112</v>
      </c>
      <c r="AC9" s="194" t="s">
        <v>111</v>
      </c>
      <c r="AD9" s="194" t="s">
        <v>112</v>
      </c>
      <c r="AE9" s="194" t="s">
        <v>111</v>
      </c>
      <c r="AF9" s="194" t="s">
        <v>112</v>
      </c>
      <c r="AG9" s="194" t="s">
        <v>111</v>
      </c>
      <c r="AH9" s="194" t="s">
        <v>112</v>
      </c>
      <c r="AI9" s="324"/>
    </row>
    <row r="10" spans="2:35" s="187" customFormat="1" ht="15" customHeight="1" x14ac:dyDescent="0.35">
      <c r="B10" s="195" t="s">
        <v>21</v>
      </c>
      <c r="C10" s="196" t="s">
        <v>22</v>
      </c>
      <c r="D10" s="196" t="s">
        <v>23</v>
      </c>
      <c r="E10" s="196">
        <v>100</v>
      </c>
      <c r="F10" s="197">
        <f t="shared" ref="F10:F42" si="0">$I$45*E10</f>
        <v>637</v>
      </c>
      <c r="G10" s="211">
        <v>0</v>
      </c>
      <c r="H10" s="211">
        <v>0</v>
      </c>
      <c r="I10" s="211">
        <v>2</v>
      </c>
      <c r="J10" s="211">
        <v>4</v>
      </c>
      <c r="K10" s="211">
        <v>6</v>
      </c>
      <c r="L10" s="211">
        <v>4</v>
      </c>
      <c r="M10" s="211">
        <v>0</v>
      </c>
      <c r="N10" s="211">
        <v>0</v>
      </c>
      <c r="O10" s="211">
        <v>0</v>
      </c>
      <c r="P10" s="211">
        <v>2</v>
      </c>
      <c r="Q10" s="211">
        <v>0</v>
      </c>
      <c r="R10" s="211">
        <v>0</v>
      </c>
      <c r="S10" s="211">
        <v>0</v>
      </c>
      <c r="T10" s="211">
        <v>0</v>
      </c>
      <c r="U10" s="211">
        <v>0</v>
      </c>
      <c r="V10" s="211">
        <v>0</v>
      </c>
      <c r="W10" s="211">
        <v>1</v>
      </c>
      <c r="X10" s="211">
        <v>0</v>
      </c>
      <c r="Y10" s="211">
        <v>2</v>
      </c>
      <c r="Z10" s="211">
        <v>1</v>
      </c>
      <c r="AA10" s="211">
        <v>0</v>
      </c>
      <c r="AB10" s="211">
        <v>0</v>
      </c>
      <c r="AC10" s="211">
        <v>0</v>
      </c>
      <c r="AD10" s="211">
        <v>0</v>
      </c>
      <c r="AE10" s="211">
        <v>0</v>
      </c>
      <c r="AF10" s="211">
        <v>0</v>
      </c>
      <c r="AG10" s="211">
        <v>0</v>
      </c>
      <c r="AH10" s="211">
        <v>0</v>
      </c>
      <c r="AI10" s="217">
        <f>SUM(G10:AH10)</f>
        <v>22</v>
      </c>
    </row>
    <row r="11" spans="2:35" s="187" customFormat="1" ht="15" customHeight="1" x14ac:dyDescent="0.35">
      <c r="B11" s="198" t="s">
        <v>24</v>
      </c>
      <c r="C11" s="199" t="s">
        <v>23</v>
      </c>
      <c r="D11" s="199" t="s">
        <v>25</v>
      </c>
      <c r="E11" s="199">
        <v>100</v>
      </c>
      <c r="F11" s="200">
        <f t="shared" si="0"/>
        <v>637</v>
      </c>
      <c r="G11" s="212">
        <v>0</v>
      </c>
      <c r="H11" s="212">
        <v>0</v>
      </c>
      <c r="I11" s="212">
        <v>0</v>
      </c>
      <c r="J11" s="212">
        <v>0</v>
      </c>
      <c r="K11" s="212">
        <v>0</v>
      </c>
      <c r="L11" s="212">
        <v>1</v>
      </c>
      <c r="M11" s="212">
        <v>0</v>
      </c>
      <c r="N11" s="212">
        <v>0</v>
      </c>
      <c r="O11" s="212">
        <v>6</v>
      </c>
      <c r="P11" s="212">
        <v>2</v>
      </c>
      <c r="Q11" s="212">
        <v>0</v>
      </c>
      <c r="R11" s="212">
        <v>0</v>
      </c>
      <c r="S11" s="212">
        <v>0</v>
      </c>
      <c r="T11" s="212">
        <v>0</v>
      </c>
      <c r="U11" s="212">
        <v>0</v>
      </c>
      <c r="V11" s="212">
        <v>0</v>
      </c>
      <c r="W11" s="212">
        <v>0</v>
      </c>
      <c r="X11" s="212">
        <v>0</v>
      </c>
      <c r="Y11" s="212">
        <v>5</v>
      </c>
      <c r="Z11" s="212">
        <v>4</v>
      </c>
      <c r="AA11" s="212">
        <v>0</v>
      </c>
      <c r="AB11" s="212">
        <v>1</v>
      </c>
      <c r="AC11" s="212">
        <v>0</v>
      </c>
      <c r="AD11" s="212">
        <v>0</v>
      </c>
      <c r="AE11" s="212">
        <v>0</v>
      </c>
      <c r="AF11" s="212">
        <v>0</v>
      </c>
      <c r="AG11" s="212">
        <v>0</v>
      </c>
      <c r="AH11" s="212">
        <v>0</v>
      </c>
      <c r="AI11" s="218">
        <f t="shared" ref="AI11:AI42" si="1">SUM(G11:AH11)</f>
        <v>19</v>
      </c>
    </row>
    <row r="12" spans="2:35" s="187" customFormat="1" ht="15" customHeight="1" x14ac:dyDescent="0.35">
      <c r="B12" s="198" t="s">
        <v>26</v>
      </c>
      <c r="C12" s="199" t="s">
        <v>25</v>
      </c>
      <c r="D12" s="199" t="s">
        <v>27</v>
      </c>
      <c r="E12" s="199">
        <v>100</v>
      </c>
      <c r="F12" s="200">
        <f t="shared" si="0"/>
        <v>637</v>
      </c>
      <c r="G12" s="212">
        <v>2</v>
      </c>
      <c r="H12" s="212">
        <v>0</v>
      </c>
      <c r="I12" s="212">
        <v>0</v>
      </c>
      <c r="J12" s="212">
        <v>0</v>
      </c>
      <c r="K12" s="212">
        <v>2</v>
      </c>
      <c r="L12" s="212">
        <v>3</v>
      </c>
      <c r="M12" s="212">
        <v>0</v>
      </c>
      <c r="N12" s="212">
        <v>0</v>
      </c>
      <c r="O12" s="212">
        <v>3</v>
      </c>
      <c r="P12" s="212">
        <v>6</v>
      </c>
      <c r="Q12" s="212">
        <v>0</v>
      </c>
      <c r="R12" s="212">
        <v>0</v>
      </c>
      <c r="S12" s="212">
        <v>0</v>
      </c>
      <c r="T12" s="212">
        <v>0</v>
      </c>
      <c r="U12" s="212">
        <v>0</v>
      </c>
      <c r="V12" s="212">
        <v>0</v>
      </c>
      <c r="W12" s="212">
        <v>0</v>
      </c>
      <c r="X12" s="212">
        <v>0</v>
      </c>
      <c r="Y12" s="212">
        <v>3</v>
      </c>
      <c r="Z12" s="212">
        <v>2</v>
      </c>
      <c r="AA12" s="212">
        <v>0</v>
      </c>
      <c r="AB12" s="212">
        <v>0</v>
      </c>
      <c r="AC12" s="212">
        <v>0</v>
      </c>
      <c r="AD12" s="212">
        <v>0</v>
      </c>
      <c r="AE12" s="212">
        <v>0</v>
      </c>
      <c r="AF12" s="212">
        <v>0</v>
      </c>
      <c r="AG12" s="212">
        <v>0</v>
      </c>
      <c r="AH12" s="212">
        <v>0</v>
      </c>
      <c r="AI12" s="218">
        <f t="shared" si="1"/>
        <v>21</v>
      </c>
    </row>
    <row r="13" spans="2:35" s="187" customFormat="1" ht="15" customHeight="1" x14ac:dyDescent="0.35">
      <c r="B13" s="198" t="s">
        <v>28</v>
      </c>
      <c r="C13" s="199" t="s">
        <v>27</v>
      </c>
      <c r="D13" s="199" t="s">
        <v>29</v>
      </c>
      <c r="E13" s="199">
        <v>100</v>
      </c>
      <c r="F13" s="200">
        <f t="shared" si="0"/>
        <v>637</v>
      </c>
      <c r="G13" s="212">
        <v>0</v>
      </c>
      <c r="H13" s="212">
        <v>1</v>
      </c>
      <c r="I13" s="212">
        <v>1</v>
      </c>
      <c r="J13" s="212">
        <v>1</v>
      </c>
      <c r="K13" s="212">
        <v>4</v>
      </c>
      <c r="L13" s="212">
        <v>2</v>
      </c>
      <c r="M13" s="212">
        <v>1</v>
      </c>
      <c r="N13" s="212">
        <v>0</v>
      </c>
      <c r="O13" s="212">
        <v>5</v>
      </c>
      <c r="P13" s="212">
        <v>4</v>
      </c>
      <c r="Q13" s="212">
        <v>0</v>
      </c>
      <c r="R13" s="212">
        <v>2</v>
      </c>
      <c r="S13" s="212">
        <v>0</v>
      </c>
      <c r="T13" s="212">
        <v>1</v>
      </c>
      <c r="U13" s="212">
        <v>0</v>
      </c>
      <c r="V13" s="212">
        <v>0</v>
      </c>
      <c r="W13" s="212">
        <v>2</v>
      </c>
      <c r="X13" s="212">
        <v>1</v>
      </c>
      <c r="Y13" s="212">
        <v>3</v>
      </c>
      <c r="Z13" s="212">
        <v>5</v>
      </c>
      <c r="AA13" s="212">
        <v>0</v>
      </c>
      <c r="AB13" s="212">
        <v>0</v>
      </c>
      <c r="AC13" s="212">
        <v>0</v>
      </c>
      <c r="AD13" s="212">
        <v>0</v>
      </c>
      <c r="AE13" s="212">
        <v>0</v>
      </c>
      <c r="AF13" s="212">
        <v>0</v>
      </c>
      <c r="AG13" s="212">
        <v>0</v>
      </c>
      <c r="AH13" s="212">
        <v>0</v>
      </c>
      <c r="AI13" s="218">
        <f t="shared" si="1"/>
        <v>33</v>
      </c>
    </row>
    <row r="14" spans="2:35" s="187" customFormat="1" ht="15" customHeight="1" x14ac:dyDescent="0.35">
      <c r="B14" s="198" t="s">
        <v>30</v>
      </c>
      <c r="C14" s="199" t="s">
        <v>29</v>
      </c>
      <c r="D14" s="199" t="s">
        <v>31</v>
      </c>
      <c r="E14" s="199">
        <v>100</v>
      </c>
      <c r="F14" s="200">
        <f t="shared" si="0"/>
        <v>637</v>
      </c>
      <c r="G14" s="212">
        <v>1</v>
      </c>
      <c r="H14" s="212">
        <v>5</v>
      </c>
      <c r="I14" s="212">
        <v>0</v>
      </c>
      <c r="J14" s="212">
        <v>3</v>
      </c>
      <c r="K14" s="212">
        <v>3</v>
      </c>
      <c r="L14" s="212">
        <v>4</v>
      </c>
      <c r="M14" s="212">
        <v>2</v>
      </c>
      <c r="N14" s="212">
        <v>0</v>
      </c>
      <c r="O14" s="212">
        <v>2</v>
      </c>
      <c r="P14" s="212">
        <v>9</v>
      </c>
      <c r="Q14" s="212">
        <v>1</v>
      </c>
      <c r="R14" s="212">
        <v>0</v>
      </c>
      <c r="S14" s="212">
        <v>0</v>
      </c>
      <c r="T14" s="212">
        <v>0</v>
      </c>
      <c r="U14" s="212">
        <v>0</v>
      </c>
      <c r="V14" s="212">
        <v>0</v>
      </c>
      <c r="W14" s="212">
        <v>0</v>
      </c>
      <c r="X14" s="212">
        <v>1</v>
      </c>
      <c r="Y14" s="212">
        <v>2</v>
      </c>
      <c r="Z14" s="212">
        <v>2</v>
      </c>
      <c r="AA14" s="212">
        <v>1</v>
      </c>
      <c r="AB14" s="212">
        <v>1</v>
      </c>
      <c r="AC14" s="212">
        <v>0</v>
      </c>
      <c r="AD14" s="212">
        <v>0</v>
      </c>
      <c r="AE14" s="212">
        <v>0</v>
      </c>
      <c r="AF14" s="212">
        <v>0</v>
      </c>
      <c r="AG14" s="212">
        <v>0</v>
      </c>
      <c r="AH14" s="212">
        <v>0</v>
      </c>
      <c r="AI14" s="218">
        <f t="shared" si="1"/>
        <v>37</v>
      </c>
    </row>
    <row r="15" spans="2:35" s="187" customFormat="1" ht="15" customHeight="1" x14ac:dyDescent="0.35">
      <c r="B15" s="198" t="s">
        <v>32</v>
      </c>
      <c r="C15" s="199" t="s">
        <v>31</v>
      </c>
      <c r="D15" s="199" t="s">
        <v>33</v>
      </c>
      <c r="E15" s="199">
        <v>100</v>
      </c>
      <c r="F15" s="200">
        <f t="shared" si="0"/>
        <v>637</v>
      </c>
      <c r="G15" s="212">
        <v>2</v>
      </c>
      <c r="H15" s="212">
        <v>1</v>
      </c>
      <c r="I15" s="212">
        <v>0</v>
      </c>
      <c r="J15" s="212">
        <v>0</v>
      </c>
      <c r="K15" s="212">
        <v>2</v>
      </c>
      <c r="L15" s="212">
        <v>0</v>
      </c>
      <c r="M15" s="212">
        <v>0</v>
      </c>
      <c r="N15" s="212">
        <v>0</v>
      </c>
      <c r="O15" s="212">
        <v>5</v>
      </c>
      <c r="P15" s="212">
        <v>0</v>
      </c>
      <c r="Q15" s="212">
        <v>0</v>
      </c>
      <c r="R15" s="212">
        <v>1</v>
      </c>
      <c r="S15" s="212">
        <v>0</v>
      </c>
      <c r="T15" s="212">
        <v>0</v>
      </c>
      <c r="U15" s="212">
        <v>0</v>
      </c>
      <c r="V15" s="212">
        <v>0</v>
      </c>
      <c r="W15" s="212">
        <v>0</v>
      </c>
      <c r="X15" s="212">
        <v>0</v>
      </c>
      <c r="Y15" s="212">
        <v>0</v>
      </c>
      <c r="Z15" s="212">
        <v>0</v>
      </c>
      <c r="AA15" s="212">
        <v>0</v>
      </c>
      <c r="AB15" s="212">
        <v>0</v>
      </c>
      <c r="AC15" s="212">
        <v>0</v>
      </c>
      <c r="AD15" s="212">
        <v>0</v>
      </c>
      <c r="AE15" s="212">
        <v>0</v>
      </c>
      <c r="AF15" s="212">
        <v>0</v>
      </c>
      <c r="AG15" s="212">
        <v>0</v>
      </c>
      <c r="AH15" s="212">
        <v>0</v>
      </c>
      <c r="AI15" s="218">
        <f t="shared" si="1"/>
        <v>11</v>
      </c>
    </row>
    <row r="16" spans="2:35" s="187" customFormat="1" ht="15" customHeight="1" x14ac:dyDescent="0.35">
      <c r="B16" s="198" t="s">
        <v>34</v>
      </c>
      <c r="C16" s="199" t="s">
        <v>33</v>
      </c>
      <c r="D16" s="199" t="s">
        <v>35</v>
      </c>
      <c r="E16" s="199">
        <v>100</v>
      </c>
      <c r="F16" s="200">
        <f t="shared" si="0"/>
        <v>637</v>
      </c>
      <c r="G16" s="212">
        <v>2</v>
      </c>
      <c r="H16" s="212">
        <v>2</v>
      </c>
      <c r="I16" s="212">
        <v>2</v>
      </c>
      <c r="J16" s="212">
        <v>4</v>
      </c>
      <c r="K16" s="212">
        <v>1</v>
      </c>
      <c r="L16" s="212">
        <v>3</v>
      </c>
      <c r="M16" s="212">
        <v>0</v>
      </c>
      <c r="N16" s="212">
        <v>0</v>
      </c>
      <c r="O16" s="212">
        <v>2</v>
      </c>
      <c r="P16" s="212">
        <v>2</v>
      </c>
      <c r="Q16" s="212">
        <v>0</v>
      </c>
      <c r="R16" s="212">
        <v>0</v>
      </c>
      <c r="S16" s="212">
        <v>0</v>
      </c>
      <c r="T16" s="212">
        <v>0</v>
      </c>
      <c r="U16" s="212">
        <v>0</v>
      </c>
      <c r="V16" s="212">
        <v>0</v>
      </c>
      <c r="W16" s="212">
        <v>0</v>
      </c>
      <c r="X16" s="212">
        <v>0</v>
      </c>
      <c r="Y16" s="212">
        <v>0</v>
      </c>
      <c r="Z16" s="212">
        <v>0</v>
      </c>
      <c r="AA16" s="212">
        <v>0</v>
      </c>
      <c r="AB16" s="212">
        <v>0</v>
      </c>
      <c r="AC16" s="212">
        <v>2</v>
      </c>
      <c r="AD16" s="212">
        <v>1</v>
      </c>
      <c r="AE16" s="212">
        <v>1</v>
      </c>
      <c r="AF16" s="212">
        <v>0</v>
      </c>
      <c r="AG16" s="212">
        <v>0</v>
      </c>
      <c r="AH16" s="212">
        <v>0</v>
      </c>
      <c r="AI16" s="218">
        <f t="shared" si="1"/>
        <v>22</v>
      </c>
    </row>
    <row r="17" spans="2:35" s="187" customFormat="1" ht="15" customHeight="1" x14ac:dyDescent="0.35">
      <c r="B17" s="198" t="s">
        <v>36</v>
      </c>
      <c r="C17" s="199" t="s">
        <v>35</v>
      </c>
      <c r="D17" s="199" t="s">
        <v>37</v>
      </c>
      <c r="E17" s="199">
        <v>100</v>
      </c>
      <c r="F17" s="200">
        <f t="shared" si="0"/>
        <v>637</v>
      </c>
      <c r="G17" s="212">
        <v>0</v>
      </c>
      <c r="H17" s="212">
        <v>2</v>
      </c>
      <c r="I17" s="212">
        <v>0</v>
      </c>
      <c r="J17" s="212">
        <v>0</v>
      </c>
      <c r="K17" s="212">
        <v>0</v>
      </c>
      <c r="L17" s="212">
        <v>0</v>
      </c>
      <c r="M17" s="212">
        <v>0</v>
      </c>
      <c r="N17" s="212">
        <v>0</v>
      </c>
      <c r="O17" s="212">
        <v>0</v>
      </c>
      <c r="P17" s="212">
        <v>1</v>
      </c>
      <c r="Q17" s="212">
        <v>0</v>
      </c>
      <c r="R17" s="212">
        <v>0</v>
      </c>
      <c r="S17" s="212">
        <v>0</v>
      </c>
      <c r="T17" s="212">
        <v>0</v>
      </c>
      <c r="U17" s="212">
        <v>1</v>
      </c>
      <c r="V17" s="212">
        <v>1</v>
      </c>
      <c r="W17" s="212">
        <v>0</v>
      </c>
      <c r="X17" s="212">
        <v>0</v>
      </c>
      <c r="Y17" s="212">
        <v>0</v>
      </c>
      <c r="Z17" s="212">
        <v>0</v>
      </c>
      <c r="AA17" s="212">
        <v>0</v>
      </c>
      <c r="AB17" s="212">
        <v>0</v>
      </c>
      <c r="AC17" s="212">
        <v>1</v>
      </c>
      <c r="AD17" s="212">
        <v>0</v>
      </c>
      <c r="AE17" s="212">
        <v>1</v>
      </c>
      <c r="AF17" s="212">
        <v>0</v>
      </c>
      <c r="AG17" s="212">
        <v>0</v>
      </c>
      <c r="AH17" s="212">
        <v>0</v>
      </c>
      <c r="AI17" s="218">
        <f t="shared" si="1"/>
        <v>7</v>
      </c>
    </row>
    <row r="18" spans="2:35" s="187" customFormat="1" ht="15" customHeight="1" x14ac:dyDescent="0.35">
      <c r="B18" s="201" t="s">
        <v>51</v>
      </c>
      <c r="C18" s="199" t="s">
        <v>116</v>
      </c>
      <c r="D18" s="199" t="s">
        <v>54</v>
      </c>
      <c r="E18" s="199">
        <v>100</v>
      </c>
      <c r="F18" s="200">
        <f t="shared" si="0"/>
        <v>637</v>
      </c>
      <c r="G18" s="212">
        <v>2</v>
      </c>
      <c r="H18" s="212">
        <v>0</v>
      </c>
      <c r="I18" s="212">
        <v>1</v>
      </c>
      <c r="J18" s="212">
        <v>2</v>
      </c>
      <c r="K18" s="212">
        <v>1</v>
      </c>
      <c r="L18" s="212">
        <v>0</v>
      </c>
      <c r="M18" s="212">
        <v>0</v>
      </c>
      <c r="N18" s="212">
        <v>0</v>
      </c>
      <c r="O18" s="212">
        <v>0</v>
      </c>
      <c r="P18" s="212">
        <v>4</v>
      </c>
      <c r="Q18" s="212">
        <v>0</v>
      </c>
      <c r="R18" s="212">
        <v>0</v>
      </c>
      <c r="S18" s="212">
        <v>0</v>
      </c>
      <c r="T18" s="212">
        <v>0</v>
      </c>
      <c r="U18" s="212">
        <v>0</v>
      </c>
      <c r="V18" s="212">
        <v>0</v>
      </c>
      <c r="W18" s="212">
        <v>2</v>
      </c>
      <c r="X18" s="212">
        <v>1</v>
      </c>
      <c r="Y18" s="212">
        <v>3</v>
      </c>
      <c r="Z18" s="212">
        <v>6</v>
      </c>
      <c r="AA18" s="212">
        <v>0</v>
      </c>
      <c r="AB18" s="212">
        <v>0</v>
      </c>
      <c r="AC18" s="212">
        <v>0</v>
      </c>
      <c r="AD18" s="212">
        <v>0</v>
      </c>
      <c r="AE18" s="212">
        <v>0</v>
      </c>
      <c r="AF18" s="212">
        <v>0</v>
      </c>
      <c r="AG18" s="212">
        <v>0</v>
      </c>
      <c r="AH18" s="212">
        <v>2</v>
      </c>
      <c r="AI18" s="218">
        <f t="shared" si="1"/>
        <v>24</v>
      </c>
    </row>
    <row r="19" spans="2:35" s="187" customFormat="1" ht="15" customHeight="1" x14ac:dyDescent="0.35">
      <c r="B19" s="201" t="s">
        <v>52</v>
      </c>
      <c r="C19" s="199" t="s">
        <v>117</v>
      </c>
      <c r="D19" s="199" t="s">
        <v>55</v>
      </c>
      <c r="E19" s="199">
        <v>100</v>
      </c>
      <c r="F19" s="200">
        <f t="shared" si="0"/>
        <v>637</v>
      </c>
      <c r="G19" s="212">
        <v>0</v>
      </c>
      <c r="H19" s="212">
        <v>2</v>
      </c>
      <c r="I19" s="212">
        <v>5</v>
      </c>
      <c r="J19" s="212">
        <v>2</v>
      </c>
      <c r="K19" s="212">
        <v>8</v>
      </c>
      <c r="L19" s="212">
        <v>7</v>
      </c>
      <c r="M19" s="212">
        <v>0</v>
      </c>
      <c r="N19" s="212">
        <v>0</v>
      </c>
      <c r="O19" s="212">
        <v>0</v>
      </c>
      <c r="P19" s="212">
        <v>2</v>
      </c>
      <c r="Q19" s="212">
        <v>1</v>
      </c>
      <c r="R19" s="212">
        <v>0</v>
      </c>
      <c r="S19" s="212">
        <v>0</v>
      </c>
      <c r="T19" s="212">
        <v>0</v>
      </c>
      <c r="U19" s="212">
        <v>0</v>
      </c>
      <c r="V19" s="212">
        <v>0</v>
      </c>
      <c r="W19" s="212">
        <v>0</v>
      </c>
      <c r="X19" s="212">
        <v>0</v>
      </c>
      <c r="Y19" s="212">
        <v>1</v>
      </c>
      <c r="Z19" s="212">
        <v>2</v>
      </c>
      <c r="AA19" s="212">
        <v>1</v>
      </c>
      <c r="AB19" s="212">
        <v>0</v>
      </c>
      <c r="AC19" s="212">
        <v>0</v>
      </c>
      <c r="AD19" s="212">
        <v>0</v>
      </c>
      <c r="AE19" s="212">
        <v>0</v>
      </c>
      <c r="AF19" s="212">
        <v>0</v>
      </c>
      <c r="AG19" s="212">
        <v>1</v>
      </c>
      <c r="AH19" s="212">
        <v>0</v>
      </c>
      <c r="AI19" s="218">
        <f t="shared" si="1"/>
        <v>32</v>
      </c>
    </row>
    <row r="20" spans="2:35" s="187" customFormat="1" ht="15" customHeight="1" x14ac:dyDescent="0.35">
      <c r="B20" s="201" t="s">
        <v>53</v>
      </c>
      <c r="C20" s="199" t="s">
        <v>118</v>
      </c>
      <c r="D20" s="199" t="s">
        <v>83</v>
      </c>
      <c r="E20" s="199">
        <v>100</v>
      </c>
      <c r="F20" s="200">
        <f t="shared" si="0"/>
        <v>637</v>
      </c>
      <c r="G20" s="212">
        <v>0</v>
      </c>
      <c r="H20" s="212">
        <v>1</v>
      </c>
      <c r="I20" s="212">
        <v>0</v>
      </c>
      <c r="J20" s="212">
        <v>1</v>
      </c>
      <c r="K20" s="212">
        <v>1</v>
      </c>
      <c r="L20" s="212">
        <v>2</v>
      </c>
      <c r="M20" s="212">
        <v>0</v>
      </c>
      <c r="N20" s="212">
        <v>0</v>
      </c>
      <c r="O20" s="212">
        <v>9</v>
      </c>
      <c r="P20" s="212">
        <v>6</v>
      </c>
      <c r="Q20" s="212">
        <v>0</v>
      </c>
      <c r="R20" s="212">
        <v>0</v>
      </c>
      <c r="S20" s="212">
        <v>0</v>
      </c>
      <c r="T20" s="212">
        <v>0</v>
      </c>
      <c r="U20" s="212">
        <v>0</v>
      </c>
      <c r="V20" s="212">
        <v>0</v>
      </c>
      <c r="W20" s="212">
        <v>2</v>
      </c>
      <c r="X20" s="212">
        <v>8</v>
      </c>
      <c r="Y20" s="212">
        <v>8</v>
      </c>
      <c r="Z20" s="212">
        <v>1</v>
      </c>
      <c r="AA20" s="212">
        <v>0</v>
      </c>
      <c r="AB20" s="212">
        <v>0</v>
      </c>
      <c r="AC20" s="212">
        <v>0</v>
      </c>
      <c r="AD20" s="212">
        <v>0</v>
      </c>
      <c r="AE20" s="212">
        <v>0</v>
      </c>
      <c r="AF20" s="212">
        <v>0</v>
      </c>
      <c r="AG20" s="212">
        <v>0</v>
      </c>
      <c r="AH20" s="212">
        <v>0</v>
      </c>
      <c r="AI20" s="218">
        <f t="shared" si="1"/>
        <v>39</v>
      </c>
    </row>
    <row r="21" spans="2:35" s="187" customFormat="1" ht="15" customHeight="1" x14ac:dyDescent="0.35">
      <c r="B21" s="201" t="s">
        <v>61</v>
      </c>
      <c r="C21" s="199" t="s">
        <v>119</v>
      </c>
      <c r="D21" s="199" t="s">
        <v>84</v>
      </c>
      <c r="E21" s="199">
        <v>100</v>
      </c>
      <c r="F21" s="200">
        <f t="shared" si="0"/>
        <v>637</v>
      </c>
      <c r="G21" s="212">
        <v>0</v>
      </c>
      <c r="H21" s="212">
        <v>0</v>
      </c>
      <c r="I21" s="212">
        <v>0</v>
      </c>
      <c r="J21" s="212">
        <v>0</v>
      </c>
      <c r="K21" s="212">
        <v>0</v>
      </c>
      <c r="L21" s="212">
        <v>0</v>
      </c>
      <c r="M21" s="212">
        <v>0</v>
      </c>
      <c r="N21" s="212">
        <v>0</v>
      </c>
      <c r="O21" s="212">
        <v>0</v>
      </c>
      <c r="P21" s="212">
        <v>0</v>
      </c>
      <c r="Q21" s="212">
        <v>0</v>
      </c>
      <c r="R21" s="212">
        <v>0</v>
      </c>
      <c r="S21" s="212">
        <v>0</v>
      </c>
      <c r="T21" s="212">
        <v>0</v>
      </c>
      <c r="U21" s="212">
        <v>0</v>
      </c>
      <c r="V21" s="212">
        <v>0</v>
      </c>
      <c r="W21" s="212">
        <v>0</v>
      </c>
      <c r="X21" s="212">
        <v>0</v>
      </c>
      <c r="Y21" s="212">
        <v>6</v>
      </c>
      <c r="Z21" s="212">
        <v>1</v>
      </c>
      <c r="AA21" s="212">
        <v>0</v>
      </c>
      <c r="AB21" s="212">
        <v>0</v>
      </c>
      <c r="AC21" s="212">
        <v>0</v>
      </c>
      <c r="AD21" s="212">
        <v>0</v>
      </c>
      <c r="AE21" s="212">
        <v>0</v>
      </c>
      <c r="AF21" s="212">
        <v>0</v>
      </c>
      <c r="AG21" s="212">
        <v>0</v>
      </c>
      <c r="AH21" s="212">
        <v>0</v>
      </c>
      <c r="AI21" s="218">
        <f t="shared" si="1"/>
        <v>7</v>
      </c>
    </row>
    <row r="22" spans="2:35" s="187" customFormat="1" ht="15" customHeight="1" x14ac:dyDescent="0.35">
      <c r="B22" s="201" t="s">
        <v>62</v>
      </c>
      <c r="C22" s="199" t="s">
        <v>120</v>
      </c>
      <c r="D22" s="199" t="s">
        <v>85</v>
      </c>
      <c r="E22" s="199">
        <v>100</v>
      </c>
      <c r="F22" s="200">
        <f t="shared" si="0"/>
        <v>637</v>
      </c>
      <c r="G22" s="212">
        <v>2</v>
      </c>
      <c r="H22" s="212">
        <v>0</v>
      </c>
      <c r="I22" s="212">
        <v>2</v>
      </c>
      <c r="J22" s="212">
        <v>1</v>
      </c>
      <c r="K22" s="212">
        <v>1</v>
      </c>
      <c r="L22" s="212">
        <v>1</v>
      </c>
      <c r="M22" s="212">
        <v>0</v>
      </c>
      <c r="N22" s="212">
        <v>0</v>
      </c>
      <c r="O22" s="212">
        <v>1</v>
      </c>
      <c r="P22" s="212">
        <v>0</v>
      </c>
      <c r="Q22" s="212">
        <v>0</v>
      </c>
      <c r="R22" s="212">
        <v>0</v>
      </c>
      <c r="S22" s="212">
        <v>1</v>
      </c>
      <c r="T22" s="212">
        <v>0</v>
      </c>
      <c r="U22" s="212">
        <v>0</v>
      </c>
      <c r="V22" s="212">
        <v>0</v>
      </c>
      <c r="W22" s="212">
        <v>1</v>
      </c>
      <c r="X22" s="212">
        <v>1</v>
      </c>
      <c r="Y22" s="212">
        <v>0</v>
      </c>
      <c r="Z22" s="212">
        <v>0</v>
      </c>
      <c r="AA22" s="212">
        <v>1</v>
      </c>
      <c r="AB22" s="212">
        <v>1</v>
      </c>
      <c r="AC22" s="212">
        <v>0</v>
      </c>
      <c r="AD22" s="212">
        <v>0</v>
      </c>
      <c r="AE22" s="212">
        <v>0</v>
      </c>
      <c r="AF22" s="212">
        <v>0</v>
      </c>
      <c r="AG22" s="212">
        <v>0</v>
      </c>
      <c r="AH22" s="212">
        <v>0</v>
      </c>
      <c r="AI22" s="218">
        <f t="shared" si="1"/>
        <v>13</v>
      </c>
    </row>
    <row r="23" spans="2:35" s="187" customFormat="1" ht="15" customHeight="1" x14ac:dyDescent="0.35">
      <c r="B23" s="201" t="s">
        <v>63</v>
      </c>
      <c r="C23" s="199" t="s">
        <v>121</v>
      </c>
      <c r="D23" s="199" t="s">
        <v>86</v>
      </c>
      <c r="E23" s="199">
        <v>100</v>
      </c>
      <c r="F23" s="200">
        <f t="shared" si="0"/>
        <v>637</v>
      </c>
      <c r="G23" s="212">
        <v>3</v>
      </c>
      <c r="H23" s="212">
        <v>5</v>
      </c>
      <c r="I23" s="212">
        <v>1</v>
      </c>
      <c r="J23" s="212">
        <v>0</v>
      </c>
      <c r="K23" s="212">
        <v>1</v>
      </c>
      <c r="L23" s="212">
        <v>8</v>
      </c>
      <c r="M23" s="212">
        <v>0</v>
      </c>
      <c r="N23" s="212">
        <v>0</v>
      </c>
      <c r="O23" s="212">
        <v>0</v>
      </c>
      <c r="P23" s="212">
        <v>5</v>
      </c>
      <c r="Q23" s="212">
        <v>0</v>
      </c>
      <c r="R23" s="212">
        <v>0</v>
      </c>
      <c r="S23" s="212">
        <v>0</v>
      </c>
      <c r="T23" s="212">
        <v>0</v>
      </c>
      <c r="U23" s="212">
        <v>0</v>
      </c>
      <c r="V23" s="212">
        <v>0</v>
      </c>
      <c r="W23" s="212">
        <v>0</v>
      </c>
      <c r="X23" s="212">
        <v>0</v>
      </c>
      <c r="Y23" s="212">
        <v>0</v>
      </c>
      <c r="Z23" s="212">
        <v>0</v>
      </c>
      <c r="AA23" s="212">
        <v>0</v>
      </c>
      <c r="AB23" s="212">
        <v>0</v>
      </c>
      <c r="AC23" s="212">
        <v>0</v>
      </c>
      <c r="AD23" s="212">
        <v>0</v>
      </c>
      <c r="AE23" s="212">
        <v>0</v>
      </c>
      <c r="AF23" s="212">
        <v>0</v>
      </c>
      <c r="AG23" s="212">
        <v>0</v>
      </c>
      <c r="AH23" s="212">
        <v>0</v>
      </c>
      <c r="AI23" s="218">
        <f t="shared" si="1"/>
        <v>23</v>
      </c>
    </row>
    <row r="24" spans="2:35" s="187" customFormat="1" ht="15" customHeight="1" x14ac:dyDescent="0.35">
      <c r="B24" s="201" t="s">
        <v>64</v>
      </c>
      <c r="C24" s="199" t="s">
        <v>122</v>
      </c>
      <c r="D24" s="199" t="s">
        <v>87</v>
      </c>
      <c r="E24" s="199">
        <v>100</v>
      </c>
      <c r="F24" s="200">
        <f t="shared" si="0"/>
        <v>637</v>
      </c>
      <c r="G24" s="212">
        <v>2</v>
      </c>
      <c r="H24" s="212">
        <v>5</v>
      </c>
      <c r="I24" s="212">
        <v>2</v>
      </c>
      <c r="J24" s="212">
        <v>3</v>
      </c>
      <c r="K24" s="212">
        <v>9</v>
      </c>
      <c r="L24" s="212">
        <v>9</v>
      </c>
      <c r="M24" s="212">
        <v>0</v>
      </c>
      <c r="N24" s="212">
        <v>0</v>
      </c>
      <c r="O24" s="212">
        <v>3</v>
      </c>
      <c r="P24" s="212">
        <v>3</v>
      </c>
      <c r="Q24" s="212">
        <v>0</v>
      </c>
      <c r="R24" s="212">
        <v>0</v>
      </c>
      <c r="S24" s="212">
        <v>0</v>
      </c>
      <c r="T24" s="212">
        <v>0</v>
      </c>
      <c r="U24" s="212">
        <v>0</v>
      </c>
      <c r="V24" s="212">
        <v>0</v>
      </c>
      <c r="W24" s="212">
        <v>0</v>
      </c>
      <c r="X24" s="212">
        <v>2</v>
      </c>
      <c r="Y24" s="212">
        <v>1</v>
      </c>
      <c r="Z24" s="212">
        <v>0</v>
      </c>
      <c r="AA24" s="212">
        <v>1</v>
      </c>
      <c r="AB24" s="212">
        <v>4</v>
      </c>
      <c r="AC24" s="212">
        <v>0</v>
      </c>
      <c r="AD24" s="212">
        <v>0</v>
      </c>
      <c r="AE24" s="212">
        <v>0</v>
      </c>
      <c r="AF24" s="212">
        <v>0</v>
      </c>
      <c r="AG24" s="212">
        <v>0</v>
      </c>
      <c r="AH24" s="212">
        <v>0</v>
      </c>
      <c r="AI24" s="218">
        <f t="shared" si="1"/>
        <v>44</v>
      </c>
    </row>
    <row r="25" spans="2:35" s="187" customFormat="1" ht="15" customHeight="1" x14ac:dyDescent="0.35">
      <c r="B25" s="201" t="s">
        <v>65</v>
      </c>
      <c r="C25" s="199" t="s">
        <v>123</v>
      </c>
      <c r="D25" s="199" t="s">
        <v>88</v>
      </c>
      <c r="E25" s="199">
        <v>100</v>
      </c>
      <c r="F25" s="200">
        <f t="shared" si="0"/>
        <v>637</v>
      </c>
      <c r="G25" s="212">
        <v>1</v>
      </c>
      <c r="H25" s="212">
        <v>0</v>
      </c>
      <c r="I25" s="212">
        <v>5</v>
      </c>
      <c r="J25" s="212">
        <v>6</v>
      </c>
      <c r="K25" s="212">
        <v>8</v>
      </c>
      <c r="L25" s="212">
        <v>7</v>
      </c>
      <c r="M25" s="212">
        <v>0</v>
      </c>
      <c r="N25" s="212">
        <v>0</v>
      </c>
      <c r="O25" s="212">
        <v>2</v>
      </c>
      <c r="P25" s="212">
        <v>5</v>
      </c>
      <c r="Q25" s="212">
        <v>0</v>
      </c>
      <c r="R25" s="212">
        <v>0</v>
      </c>
      <c r="S25" s="212">
        <v>0</v>
      </c>
      <c r="T25" s="212">
        <v>0</v>
      </c>
      <c r="U25" s="212">
        <v>1</v>
      </c>
      <c r="V25" s="212">
        <v>0</v>
      </c>
      <c r="W25" s="212">
        <v>1</v>
      </c>
      <c r="X25" s="212">
        <v>1</v>
      </c>
      <c r="Y25" s="212">
        <v>1</v>
      </c>
      <c r="Z25" s="212">
        <v>2</v>
      </c>
      <c r="AA25" s="212">
        <v>0</v>
      </c>
      <c r="AB25" s="212">
        <v>1</v>
      </c>
      <c r="AC25" s="212">
        <v>0</v>
      </c>
      <c r="AD25" s="212">
        <v>0</v>
      </c>
      <c r="AE25" s="212">
        <v>0</v>
      </c>
      <c r="AF25" s="212">
        <v>0</v>
      </c>
      <c r="AG25" s="212">
        <v>0</v>
      </c>
      <c r="AH25" s="212">
        <v>0</v>
      </c>
      <c r="AI25" s="218">
        <f t="shared" si="1"/>
        <v>41</v>
      </c>
    </row>
    <row r="26" spans="2:35" s="187" customFormat="1" ht="15" customHeight="1" x14ac:dyDescent="0.35">
      <c r="B26" s="201" t="s">
        <v>66</v>
      </c>
      <c r="C26" s="199" t="s">
        <v>124</v>
      </c>
      <c r="D26" s="199" t="s">
        <v>89</v>
      </c>
      <c r="E26" s="199">
        <v>100</v>
      </c>
      <c r="F26" s="200">
        <f t="shared" si="0"/>
        <v>637</v>
      </c>
      <c r="G26" s="212">
        <v>0</v>
      </c>
      <c r="H26" s="212">
        <v>4</v>
      </c>
      <c r="I26" s="212">
        <v>0</v>
      </c>
      <c r="J26" s="212">
        <v>7</v>
      </c>
      <c r="K26" s="212">
        <v>3</v>
      </c>
      <c r="L26" s="212">
        <v>5</v>
      </c>
      <c r="M26" s="212">
        <v>0</v>
      </c>
      <c r="N26" s="212">
        <v>0</v>
      </c>
      <c r="O26" s="212">
        <v>0</v>
      </c>
      <c r="P26" s="212">
        <v>0</v>
      </c>
      <c r="Q26" s="212">
        <v>0</v>
      </c>
      <c r="R26" s="212">
        <v>0</v>
      </c>
      <c r="S26" s="212">
        <v>0</v>
      </c>
      <c r="T26" s="212">
        <v>0</v>
      </c>
      <c r="U26" s="212">
        <v>1</v>
      </c>
      <c r="V26" s="212">
        <v>0</v>
      </c>
      <c r="W26" s="212">
        <v>0</v>
      </c>
      <c r="X26" s="212">
        <v>1</v>
      </c>
      <c r="Y26" s="212">
        <v>0</v>
      </c>
      <c r="Z26" s="212">
        <v>2</v>
      </c>
      <c r="AA26" s="212">
        <v>0</v>
      </c>
      <c r="AB26" s="212">
        <v>0</v>
      </c>
      <c r="AC26" s="212">
        <v>0</v>
      </c>
      <c r="AD26" s="212">
        <v>0</v>
      </c>
      <c r="AE26" s="212">
        <v>0</v>
      </c>
      <c r="AF26" s="212">
        <v>0</v>
      </c>
      <c r="AG26" s="212">
        <v>0</v>
      </c>
      <c r="AH26" s="212">
        <v>0</v>
      </c>
      <c r="AI26" s="218">
        <f t="shared" si="1"/>
        <v>23</v>
      </c>
    </row>
    <row r="27" spans="2:35" s="187" customFormat="1" ht="15" customHeight="1" x14ac:dyDescent="0.35">
      <c r="B27" s="201" t="s">
        <v>67</v>
      </c>
      <c r="C27" s="199" t="s">
        <v>125</v>
      </c>
      <c r="D27" s="199" t="s">
        <v>90</v>
      </c>
      <c r="E27" s="199">
        <v>100</v>
      </c>
      <c r="F27" s="200">
        <f t="shared" si="0"/>
        <v>637</v>
      </c>
      <c r="G27" s="212">
        <v>0</v>
      </c>
      <c r="H27" s="212">
        <v>0</v>
      </c>
      <c r="I27" s="212">
        <v>0</v>
      </c>
      <c r="J27" s="212">
        <v>2</v>
      </c>
      <c r="K27" s="212">
        <v>1</v>
      </c>
      <c r="L27" s="212">
        <v>3</v>
      </c>
      <c r="M27" s="212">
        <v>0</v>
      </c>
      <c r="N27" s="212">
        <v>0</v>
      </c>
      <c r="O27" s="212">
        <v>0</v>
      </c>
      <c r="P27" s="212">
        <v>0</v>
      </c>
      <c r="Q27" s="212">
        <v>0</v>
      </c>
      <c r="R27" s="212">
        <v>0</v>
      </c>
      <c r="S27" s="212">
        <v>0</v>
      </c>
      <c r="T27" s="212">
        <v>0</v>
      </c>
      <c r="U27" s="212">
        <v>0</v>
      </c>
      <c r="V27" s="212">
        <v>0</v>
      </c>
      <c r="W27" s="212">
        <v>0</v>
      </c>
      <c r="X27" s="212">
        <v>0</v>
      </c>
      <c r="Y27" s="212">
        <v>0</v>
      </c>
      <c r="Z27" s="212">
        <v>0</v>
      </c>
      <c r="AA27" s="212">
        <v>0</v>
      </c>
      <c r="AB27" s="212">
        <v>0</v>
      </c>
      <c r="AC27" s="212">
        <v>0</v>
      </c>
      <c r="AD27" s="212">
        <v>0</v>
      </c>
      <c r="AE27" s="212">
        <v>0</v>
      </c>
      <c r="AF27" s="212">
        <v>0</v>
      </c>
      <c r="AG27" s="212">
        <v>0</v>
      </c>
      <c r="AH27" s="212">
        <v>0</v>
      </c>
      <c r="AI27" s="218">
        <f t="shared" si="1"/>
        <v>6</v>
      </c>
    </row>
    <row r="28" spans="2:35" s="187" customFormat="1" ht="15" customHeight="1" x14ac:dyDescent="0.35">
      <c r="B28" s="201" t="s">
        <v>68</v>
      </c>
      <c r="C28" s="199" t="s">
        <v>126</v>
      </c>
      <c r="D28" s="199" t="s">
        <v>91</v>
      </c>
      <c r="E28" s="199">
        <v>100</v>
      </c>
      <c r="F28" s="200">
        <f t="shared" si="0"/>
        <v>637</v>
      </c>
      <c r="G28" s="212">
        <v>5</v>
      </c>
      <c r="H28" s="212">
        <v>16</v>
      </c>
      <c r="I28" s="212">
        <v>0</v>
      </c>
      <c r="J28" s="212">
        <v>3</v>
      </c>
      <c r="K28" s="212">
        <v>5</v>
      </c>
      <c r="L28" s="212">
        <v>20</v>
      </c>
      <c r="M28" s="212">
        <v>0</v>
      </c>
      <c r="N28" s="212">
        <v>0</v>
      </c>
      <c r="O28" s="212">
        <v>0</v>
      </c>
      <c r="P28" s="212">
        <v>0</v>
      </c>
      <c r="Q28" s="212">
        <v>0</v>
      </c>
      <c r="R28" s="212">
        <v>0</v>
      </c>
      <c r="S28" s="212">
        <v>0</v>
      </c>
      <c r="T28" s="212">
        <v>0</v>
      </c>
      <c r="U28" s="212">
        <v>0</v>
      </c>
      <c r="V28" s="212">
        <v>0</v>
      </c>
      <c r="W28" s="212">
        <v>0</v>
      </c>
      <c r="X28" s="212">
        <v>0</v>
      </c>
      <c r="Y28" s="212">
        <v>0</v>
      </c>
      <c r="Z28" s="212">
        <v>0</v>
      </c>
      <c r="AA28" s="212">
        <v>1</v>
      </c>
      <c r="AB28" s="212">
        <v>5</v>
      </c>
      <c r="AC28" s="212">
        <v>0</v>
      </c>
      <c r="AD28" s="212">
        <v>0</v>
      </c>
      <c r="AE28" s="212">
        <v>0</v>
      </c>
      <c r="AF28" s="212">
        <v>0</v>
      </c>
      <c r="AG28" s="212">
        <v>0</v>
      </c>
      <c r="AH28" s="212">
        <v>0</v>
      </c>
      <c r="AI28" s="218">
        <f t="shared" si="1"/>
        <v>55</v>
      </c>
    </row>
    <row r="29" spans="2:35" s="187" customFormat="1" ht="15" customHeight="1" x14ac:dyDescent="0.35">
      <c r="B29" s="201" t="s">
        <v>69</v>
      </c>
      <c r="C29" s="199" t="s">
        <v>127</v>
      </c>
      <c r="D29" s="199" t="s">
        <v>92</v>
      </c>
      <c r="E29" s="199">
        <v>100</v>
      </c>
      <c r="F29" s="200">
        <f t="shared" si="0"/>
        <v>637</v>
      </c>
      <c r="G29" s="212">
        <v>5</v>
      </c>
      <c r="H29" s="212">
        <v>3</v>
      </c>
      <c r="I29" s="212">
        <v>0</v>
      </c>
      <c r="J29" s="212">
        <v>0</v>
      </c>
      <c r="K29" s="212">
        <v>6</v>
      </c>
      <c r="L29" s="212">
        <v>8</v>
      </c>
      <c r="M29" s="212">
        <v>0</v>
      </c>
      <c r="N29" s="212">
        <v>0</v>
      </c>
      <c r="O29" s="212">
        <v>0</v>
      </c>
      <c r="P29" s="212">
        <v>0</v>
      </c>
      <c r="Q29" s="212">
        <v>0</v>
      </c>
      <c r="R29" s="212">
        <v>0</v>
      </c>
      <c r="S29" s="212">
        <v>0</v>
      </c>
      <c r="T29" s="212">
        <v>0</v>
      </c>
      <c r="U29" s="212">
        <v>0</v>
      </c>
      <c r="V29" s="212">
        <v>0</v>
      </c>
      <c r="W29" s="212">
        <v>0</v>
      </c>
      <c r="X29" s="212">
        <v>0</v>
      </c>
      <c r="Y29" s="212">
        <v>0</v>
      </c>
      <c r="Z29" s="212">
        <v>0</v>
      </c>
      <c r="AA29" s="212">
        <v>0</v>
      </c>
      <c r="AB29" s="212">
        <v>2</v>
      </c>
      <c r="AC29" s="212">
        <v>0</v>
      </c>
      <c r="AD29" s="212">
        <v>0</v>
      </c>
      <c r="AE29" s="212">
        <v>0</v>
      </c>
      <c r="AF29" s="212">
        <v>0</v>
      </c>
      <c r="AG29" s="212">
        <v>0</v>
      </c>
      <c r="AH29" s="212">
        <v>0</v>
      </c>
      <c r="AI29" s="218">
        <f t="shared" si="1"/>
        <v>24</v>
      </c>
    </row>
    <row r="30" spans="2:35" s="187" customFormat="1" ht="15" customHeight="1" x14ac:dyDescent="0.35">
      <c r="B30" s="201" t="s">
        <v>70</v>
      </c>
      <c r="C30" s="199" t="s">
        <v>128</v>
      </c>
      <c r="D30" s="199" t="s">
        <v>93</v>
      </c>
      <c r="E30" s="199">
        <v>100</v>
      </c>
      <c r="F30" s="200">
        <f t="shared" si="0"/>
        <v>637</v>
      </c>
      <c r="G30" s="212">
        <v>5</v>
      </c>
      <c r="H30" s="212">
        <v>11</v>
      </c>
      <c r="I30" s="212">
        <v>3</v>
      </c>
      <c r="J30" s="212">
        <v>0</v>
      </c>
      <c r="K30" s="212">
        <v>7</v>
      </c>
      <c r="L30" s="212">
        <v>7</v>
      </c>
      <c r="M30" s="212">
        <v>0</v>
      </c>
      <c r="N30" s="212">
        <v>0</v>
      </c>
      <c r="O30" s="212">
        <v>2</v>
      </c>
      <c r="P30" s="212">
        <v>1</v>
      </c>
      <c r="Q30" s="212">
        <v>0</v>
      </c>
      <c r="R30" s="212">
        <v>0</v>
      </c>
      <c r="S30" s="212">
        <v>0</v>
      </c>
      <c r="T30" s="212">
        <v>0</v>
      </c>
      <c r="U30" s="212">
        <v>0</v>
      </c>
      <c r="V30" s="212">
        <v>0</v>
      </c>
      <c r="W30" s="212">
        <v>0</v>
      </c>
      <c r="X30" s="212">
        <v>0</v>
      </c>
      <c r="Y30" s="212">
        <v>0</v>
      </c>
      <c r="Z30" s="212">
        <v>0</v>
      </c>
      <c r="AA30" s="212">
        <v>0</v>
      </c>
      <c r="AB30" s="212">
        <v>0</v>
      </c>
      <c r="AC30" s="212">
        <v>0</v>
      </c>
      <c r="AD30" s="212">
        <v>0</v>
      </c>
      <c r="AE30" s="212">
        <v>0</v>
      </c>
      <c r="AF30" s="212">
        <v>0</v>
      </c>
      <c r="AG30" s="212">
        <v>0</v>
      </c>
      <c r="AH30" s="212">
        <v>0</v>
      </c>
      <c r="AI30" s="218">
        <f t="shared" si="1"/>
        <v>36</v>
      </c>
    </row>
    <row r="31" spans="2:35" s="187" customFormat="1" ht="15" customHeight="1" x14ac:dyDescent="0.35">
      <c r="B31" s="201" t="s">
        <v>71</v>
      </c>
      <c r="C31" s="199" t="s">
        <v>129</v>
      </c>
      <c r="D31" s="199" t="s">
        <v>94</v>
      </c>
      <c r="E31" s="199">
        <v>100</v>
      </c>
      <c r="F31" s="200">
        <f t="shared" si="0"/>
        <v>637</v>
      </c>
      <c r="G31" s="212">
        <v>6</v>
      </c>
      <c r="H31" s="212">
        <v>6</v>
      </c>
      <c r="I31" s="212">
        <v>1</v>
      </c>
      <c r="J31" s="212">
        <v>5</v>
      </c>
      <c r="K31" s="212">
        <v>6</v>
      </c>
      <c r="L31" s="212">
        <v>12</v>
      </c>
      <c r="M31" s="212">
        <v>0</v>
      </c>
      <c r="N31" s="212">
        <v>0</v>
      </c>
      <c r="O31" s="212">
        <v>0</v>
      </c>
      <c r="P31" s="212">
        <v>1</v>
      </c>
      <c r="Q31" s="212">
        <v>1</v>
      </c>
      <c r="R31" s="212">
        <v>0</v>
      </c>
      <c r="S31" s="212">
        <v>0</v>
      </c>
      <c r="T31" s="212">
        <v>0</v>
      </c>
      <c r="U31" s="212">
        <v>0</v>
      </c>
      <c r="V31" s="212">
        <v>0</v>
      </c>
      <c r="W31" s="212">
        <v>0</v>
      </c>
      <c r="X31" s="212">
        <v>0</v>
      </c>
      <c r="Y31" s="212">
        <v>0</v>
      </c>
      <c r="Z31" s="212">
        <v>0</v>
      </c>
      <c r="AA31" s="212">
        <v>1</v>
      </c>
      <c r="AB31" s="212">
        <v>1</v>
      </c>
      <c r="AC31" s="212">
        <v>0</v>
      </c>
      <c r="AD31" s="212">
        <v>0</v>
      </c>
      <c r="AE31" s="212">
        <v>0</v>
      </c>
      <c r="AF31" s="212">
        <v>0</v>
      </c>
      <c r="AG31" s="212">
        <v>0</v>
      </c>
      <c r="AH31" s="212">
        <v>0</v>
      </c>
      <c r="AI31" s="218">
        <f t="shared" si="1"/>
        <v>40</v>
      </c>
    </row>
    <row r="32" spans="2:35" s="187" customFormat="1" ht="15" customHeight="1" x14ac:dyDescent="0.35">
      <c r="B32" s="201" t="s">
        <v>72</v>
      </c>
      <c r="C32" s="199" t="s">
        <v>130</v>
      </c>
      <c r="D32" s="199" t="s">
        <v>95</v>
      </c>
      <c r="E32" s="199">
        <v>100</v>
      </c>
      <c r="F32" s="200">
        <f t="shared" si="0"/>
        <v>637</v>
      </c>
      <c r="G32" s="212">
        <v>1</v>
      </c>
      <c r="H32" s="212">
        <v>9</v>
      </c>
      <c r="I32" s="212">
        <v>9</v>
      </c>
      <c r="J32" s="212">
        <v>3</v>
      </c>
      <c r="K32" s="212">
        <v>11</v>
      </c>
      <c r="L32" s="212">
        <v>10</v>
      </c>
      <c r="M32" s="212">
        <v>0</v>
      </c>
      <c r="N32" s="212">
        <v>0</v>
      </c>
      <c r="O32" s="212">
        <v>2</v>
      </c>
      <c r="P32" s="212">
        <v>1</v>
      </c>
      <c r="Q32" s="212">
        <v>0</v>
      </c>
      <c r="R32" s="212">
        <v>0</v>
      </c>
      <c r="S32" s="212">
        <v>0</v>
      </c>
      <c r="T32" s="212">
        <v>0</v>
      </c>
      <c r="U32" s="212">
        <v>0</v>
      </c>
      <c r="V32" s="212">
        <v>0</v>
      </c>
      <c r="W32" s="212">
        <v>0</v>
      </c>
      <c r="X32" s="212">
        <v>0</v>
      </c>
      <c r="Y32" s="212">
        <v>1</v>
      </c>
      <c r="Z32" s="212">
        <v>0</v>
      </c>
      <c r="AA32" s="212">
        <v>0</v>
      </c>
      <c r="AB32" s="212">
        <v>1</v>
      </c>
      <c r="AC32" s="212">
        <v>0</v>
      </c>
      <c r="AD32" s="212">
        <v>0</v>
      </c>
      <c r="AE32" s="212">
        <v>0</v>
      </c>
      <c r="AF32" s="212">
        <v>0</v>
      </c>
      <c r="AG32" s="212">
        <v>0</v>
      </c>
      <c r="AH32" s="212">
        <v>0</v>
      </c>
      <c r="AI32" s="218">
        <f t="shared" si="1"/>
        <v>48</v>
      </c>
    </row>
    <row r="33" spans="2:35" s="187" customFormat="1" ht="15" customHeight="1" x14ac:dyDescent="0.35">
      <c r="B33" s="201" t="s">
        <v>73</v>
      </c>
      <c r="C33" s="199" t="s">
        <v>131</v>
      </c>
      <c r="D33" s="199" t="s">
        <v>96</v>
      </c>
      <c r="E33" s="199">
        <v>100</v>
      </c>
      <c r="F33" s="200">
        <f t="shared" si="0"/>
        <v>637</v>
      </c>
      <c r="G33" s="212">
        <v>0</v>
      </c>
      <c r="H33" s="212">
        <v>2</v>
      </c>
      <c r="I33" s="212">
        <v>2</v>
      </c>
      <c r="J33" s="212">
        <v>0</v>
      </c>
      <c r="K33" s="212">
        <v>9</v>
      </c>
      <c r="L33" s="212">
        <v>6</v>
      </c>
      <c r="M33" s="212">
        <v>0</v>
      </c>
      <c r="N33" s="212">
        <v>0</v>
      </c>
      <c r="O33" s="212">
        <v>0</v>
      </c>
      <c r="P33" s="212">
        <v>0</v>
      </c>
      <c r="Q33" s="212">
        <v>0</v>
      </c>
      <c r="R33" s="212">
        <v>0</v>
      </c>
      <c r="S33" s="212">
        <v>0</v>
      </c>
      <c r="T33" s="212">
        <v>0</v>
      </c>
      <c r="U33" s="212">
        <v>0</v>
      </c>
      <c r="V33" s="212">
        <v>0</v>
      </c>
      <c r="W33" s="212">
        <v>0</v>
      </c>
      <c r="X33" s="212">
        <v>0</v>
      </c>
      <c r="Y33" s="212">
        <v>0</v>
      </c>
      <c r="Z33" s="212">
        <v>0</v>
      </c>
      <c r="AA33" s="212">
        <v>0</v>
      </c>
      <c r="AB33" s="212">
        <v>2</v>
      </c>
      <c r="AC33" s="212">
        <v>0</v>
      </c>
      <c r="AD33" s="212">
        <v>0</v>
      </c>
      <c r="AE33" s="212">
        <v>0</v>
      </c>
      <c r="AF33" s="212">
        <v>0</v>
      </c>
      <c r="AG33" s="212">
        <v>0</v>
      </c>
      <c r="AH33" s="212">
        <v>0</v>
      </c>
      <c r="AI33" s="218">
        <f t="shared" si="1"/>
        <v>21</v>
      </c>
    </row>
    <row r="34" spans="2:35" s="187" customFormat="1" ht="15" customHeight="1" x14ac:dyDescent="0.35">
      <c r="B34" s="201" t="s">
        <v>74</v>
      </c>
      <c r="C34" s="199" t="s">
        <v>132</v>
      </c>
      <c r="D34" s="199" t="s">
        <v>97</v>
      </c>
      <c r="E34" s="199">
        <v>100</v>
      </c>
      <c r="F34" s="200">
        <f t="shared" si="0"/>
        <v>637</v>
      </c>
      <c r="G34" s="212">
        <v>2</v>
      </c>
      <c r="H34" s="212">
        <v>3</v>
      </c>
      <c r="I34" s="212">
        <v>0</v>
      </c>
      <c r="J34" s="212">
        <v>0</v>
      </c>
      <c r="K34" s="212">
        <v>4</v>
      </c>
      <c r="L34" s="212">
        <v>9</v>
      </c>
      <c r="M34" s="212">
        <v>0</v>
      </c>
      <c r="N34" s="212">
        <v>0</v>
      </c>
      <c r="O34" s="212">
        <v>1</v>
      </c>
      <c r="P34" s="212">
        <v>0</v>
      </c>
      <c r="Q34" s="212">
        <v>0</v>
      </c>
      <c r="R34" s="212">
        <v>0</v>
      </c>
      <c r="S34" s="212">
        <v>0</v>
      </c>
      <c r="T34" s="212">
        <v>0</v>
      </c>
      <c r="U34" s="212">
        <v>0</v>
      </c>
      <c r="V34" s="212">
        <v>0</v>
      </c>
      <c r="W34" s="212">
        <v>0</v>
      </c>
      <c r="X34" s="212">
        <v>0</v>
      </c>
      <c r="Y34" s="212">
        <v>0</v>
      </c>
      <c r="Z34" s="212">
        <v>0</v>
      </c>
      <c r="AA34" s="212">
        <v>0</v>
      </c>
      <c r="AB34" s="212">
        <v>1</v>
      </c>
      <c r="AC34" s="212">
        <v>0</v>
      </c>
      <c r="AD34" s="212">
        <v>0</v>
      </c>
      <c r="AE34" s="212">
        <v>0</v>
      </c>
      <c r="AF34" s="212">
        <v>0</v>
      </c>
      <c r="AG34" s="212">
        <v>0</v>
      </c>
      <c r="AH34" s="212">
        <v>0</v>
      </c>
      <c r="AI34" s="218">
        <f t="shared" si="1"/>
        <v>20</v>
      </c>
    </row>
    <row r="35" spans="2:35" s="187" customFormat="1" ht="15" customHeight="1" x14ac:dyDescent="0.35">
      <c r="B35" s="201" t="s">
        <v>75</v>
      </c>
      <c r="C35" s="199" t="s">
        <v>133</v>
      </c>
      <c r="D35" s="199" t="s">
        <v>98</v>
      </c>
      <c r="E35" s="199">
        <v>100</v>
      </c>
      <c r="F35" s="200">
        <f t="shared" si="0"/>
        <v>637</v>
      </c>
      <c r="G35" s="212">
        <v>2</v>
      </c>
      <c r="H35" s="212">
        <v>2</v>
      </c>
      <c r="I35" s="212">
        <v>4</v>
      </c>
      <c r="J35" s="212">
        <v>0</v>
      </c>
      <c r="K35" s="212">
        <v>8</v>
      </c>
      <c r="L35" s="212">
        <v>7</v>
      </c>
      <c r="M35" s="212">
        <v>0</v>
      </c>
      <c r="N35" s="212">
        <v>0</v>
      </c>
      <c r="O35" s="212">
        <v>0</v>
      </c>
      <c r="P35" s="212">
        <v>0</v>
      </c>
      <c r="Q35" s="212">
        <v>0</v>
      </c>
      <c r="R35" s="212">
        <v>0</v>
      </c>
      <c r="S35" s="212">
        <v>0</v>
      </c>
      <c r="T35" s="212">
        <v>0</v>
      </c>
      <c r="U35" s="212">
        <v>0</v>
      </c>
      <c r="V35" s="212">
        <v>0</v>
      </c>
      <c r="W35" s="212">
        <v>0</v>
      </c>
      <c r="X35" s="212">
        <v>0</v>
      </c>
      <c r="Y35" s="212">
        <v>0</v>
      </c>
      <c r="Z35" s="212">
        <v>0</v>
      </c>
      <c r="AA35" s="212">
        <v>0</v>
      </c>
      <c r="AB35" s="212">
        <v>1</v>
      </c>
      <c r="AC35" s="212">
        <v>0</v>
      </c>
      <c r="AD35" s="212">
        <v>0</v>
      </c>
      <c r="AE35" s="212">
        <v>0</v>
      </c>
      <c r="AF35" s="212">
        <v>0</v>
      </c>
      <c r="AG35" s="212">
        <v>0</v>
      </c>
      <c r="AH35" s="212">
        <v>0</v>
      </c>
      <c r="AI35" s="218">
        <f t="shared" si="1"/>
        <v>24</v>
      </c>
    </row>
    <row r="36" spans="2:35" s="187" customFormat="1" ht="15" customHeight="1" x14ac:dyDescent="0.35">
      <c r="B36" s="201" t="s">
        <v>76</v>
      </c>
      <c r="C36" s="199" t="s">
        <v>134</v>
      </c>
      <c r="D36" s="199" t="s">
        <v>99</v>
      </c>
      <c r="E36" s="199">
        <v>100</v>
      </c>
      <c r="F36" s="200">
        <f t="shared" si="0"/>
        <v>637</v>
      </c>
      <c r="G36" s="212">
        <v>1</v>
      </c>
      <c r="H36" s="212">
        <v>4</v>
      </c>
      <c r="I36" s="212">
        <v>5</v>
      </c>
      <c r="J36" s="212">
        <v>0</v>
      </c>
      <c r="K36" s="212">
        <v>19</v>
      </c>
      <c r="L36" s="212">
        <v>8</v>
      </c>
      <c r="M36" s="212">
        <v>0</v>
      </c>
      <c r="N36" s="212">
        <v>0</v>
      </c>
      <c r="O36" s="212">
        <v>0</v>
      </c>
      <c r="P36" s="212">
        <v>0</v>
      </c>
      <c r="Q36" s="212">
        <v>0</v>
      </c>
      <c r="R36" s="212">
        <v>0</v>
      </c>
      <c r="S36" s="212">
        <v>0</v>
      </c>
      <c r="T36" s="212">
        <v>0</v>
      </c>
      <c r="U36" s="212">
        <v>0</v>
      </c>
      <c r="V36" s="212">
        <v>0</v>
      </c>
      <c r="W36" s="212">
        <v>0</v>
      </c>
      <c r="X36" s="212">
        <v>0</v>
      </c>
      <c r="Y36" s="212">
        <v>0</v>
      </c>
      <c r="Z36" s="212">
        <v>0</v>
      </c>
      <c r="AA36" s="212">
        <v>0</v>
      </c>
      <c r="AB36" s="212">
        <v>0</v>
      </c>
      <c r="AC36" s="212">
        <v>0</v>
      </c>
      <c r="AD36" s="212">
        <v>0</v>
      </c>
      <c r="AE36" s="212">
        <v>0</v>
      </c>
      <c r="AF36" s="212">
        <v>0</v>
      </c>
      <c r="AG36" s="212">
        <v>0</v>
      </c>
      <c r="AH36" s="212">
        <v>0</v>
      </c>
      <c r="AI36" s="218">
        <f t="shared" si="1"/>
        <v>37</v>
      </c>
    </row>
    <row r="37" spans="2:35" s="187" customFormat="1" ht="15" customHeight="1" x14ac:dyDescent="0.35">
      <c r="B37" s="201" t="s">
        <v>77</v>
      </c>
      <c r="C37" s="199" t="s">
        <v>135</v>
      </c>
      <c r="D37" s="199" t="s">
        <v>100</v>
      </c>
      <c r="E37" s="199">
        <v>100</v>
      </c>
      <c r="F37" s="200">
        <f t="shared" si="0"/>
        <v>637</v>
      </c>
      <c r="G37" s="212">
        <v>0</v>
      </c>
      <c r="H37" s="212">
        <v>0</v>
      </c>
      <c r="I37" s="212">
        <v>0</v>
      </c>
      <c r="J37" s="212">
        <v>0</v>
      </c>
      <c r="K37" s="212">
        <v>7</v>
      </c>
      <c r="L37" s="212">
        <v>2</v>
      </c>
      <c r="M37" s="212">
        <v>0</v>
      </c>
      <c r="N37" s="212">
        <v>0</v>
      </c>
      <c r="O37" s="212">
        <v>0</v>
      </c>
      <c r="P37" s="212">
        <v>0</v>
      </c>
      <c r="Q37" s="212">
        <v>0</v>
      </c>
      <c r="R37" s="212">
        <v>0</v>
      </c>
      <c r="S37" s="212">
        <v>0</v>
      </c>
      <c r="T37" s="212">
        <v>1</v>
      </c>
      <c r="U37" s="212">
        <v>0</v>
      </c>
      <c r="V37" s="212">
        <v>0</v>
      </c>
      <c r="W37" s="212">
        <v>0</v>
      </c>
      <c r="X37" s="212">
        <v>0</v>
      </c>
      <c r="Y37" s="212">
        <v>0</v>
      </c>
      <c r="Z37" s="212">
        <v>0</v>
      </c>
      <c r="AA37" s="212">
        <v>0</v>
      </c>
      <c r="AB37" s="212">
        <v>0</v>
      </c>
      <c r="AC37" s="212">
        <v>0</v>
      </c>
      <c r="AD37" s="212">
        <v>0</v>
      </c>
      <c r="AE37" s="212">
        <v>0</v>
      </c>
      <c r="AF37" s="212">
        <v>0</v>
      </c>
      <c r="AG37" s="212">
        <v>0</v>
      </c>
      <c r="AH37" s="212">
        <v>0</v>
      </c>
      <c r="AI37" s="218">
        <f t="shared" si="1"/>
        <v>10</v>
      </c>
    </row>
    <row r="38" spans="2:35" s="187" customFormat="1" ht="15" customHeight="1" x14ac:dyDescent="0.35">
      <c r="B38" s="201" t="s">
        <v>78</v>
      </c>
      <c r="C38" s="199" t="s">
        <v>136</v>
      </c>
      <c r="D38" s="199" t="s">
        <v>101</v>
      </c>
      <c r="E38" s="199">
        <v>100</v>
      </c>
      <c r="F38" s="200">
        <f t="shared" si="0"/>
        <v>637</v>
      </c>
      <c r="G38" s="212">
        <v>1</v>
      </c>
      <c r="H38" s="212">
        <v>0</v>
      </c>
      <c r="I38" s="212">
        <v>2</v>
      </c>
      <c r="J38" s="212">
        <v>1</v>
      </c>
      <c r="K38" s="212">
        <v>9</v>
      </c>
      <c r="L38" s="212">
        <v>1</v>
      </c>
      <c r="M38" s="212">
        <v>0</v>
      </c>
      <c r="N38" s="212">
        <v>0</v>
      </c>
      <c r="O38" s="212">
        <v>0</v>
      </c>
      <c r="P38" s="212">
        <v>0</v>
      </c>
      <c r="Q38" s="212">
        <v>0</v>
      </c>
      <c r="R38" s="212">
        <v>0</v>
      </c>
      <c r="S38" s="212">
        <v>0</v>
      </c>
      <c r="T38" s="212">
        <v>0</v>
      </c>
      <c r="U38" s="212">
        <v>0</v>
      </c>
      <c r="V38" s="212">
        <v>0</v>
      </c>
      <c r="W38" s="212">
        <v>0</v>
      </c>
      <c r="X38" s="212">
        <v>0</v>
      </c>
      <c r="Y38" s="212">
        <v>0</v>
      </c>
      <c r="Z38" s="212">
        <v>0</v>
      </c>
      <c r="AA38" s="212">
        <v>1</v>
      </c>
      <c r="AB38" s="212">
        <v>0</v>
      </c>
      <c r="AC38" s="212">
        <v>0</v>
      </c>
      <c r="AD38" s="212">
        <v>0</v>
      </c>
      <c r="AE38" s="212">
        <v>0</v>
      </c>
      <c r="AF38" s="212">
        <v>0</v>
      </c>
      <c r="AG38" s="212">
        <v>0</v>
      </c>
      <c r="AH38" s="212">
        <v>0</v>
      </c>
      <c r="AI38" s="218">
        <f t="shared" si="1"/>
        <v>15</v>
      </c>
    </row>
    <row r="39" spans="2:35" s="187" customFormat="1" ht="15" customHeight="1" x14ac:dyDescent="0.35">
      <c r="B39" s="201" t="s">
        <v>79</v>
      </c>
      <c r="C39" s="199" t="s">
        <v>137</v>
      </c>
      <c r="D39" s="199" t="s">
        <v>102</v>
      </c>
      <c r="E39" s="199">
        <v>100</v>
      </c>
      <c r="F39" s="200">
        <f t="shared" si="0"/>
        <v>637</v>
      </c>
      <c r="G39" s="212">
        <v>0</v>
      </c>
      <c r="H39" s="212">
        <v>2</v>
      </c>
      <c r="I39" s="212">
        <v>0</v>
      </c>
      <c r="J39" s="212">
        <v>6</v>
      </c>
      <c r="K39" s="212">
        <v>14</v>
      </c>
      <c r="L39" s="212">
        <v>9</v>
      </c>
      <c r="M39" s="212">
        <v>0</v>
      </c>
      <c r="N39" s="212">
        <v>0</v>
      </c>
      <c r="O39" s="212">
        <v>4</v>
      </c>
      <c r="P39" s="212">
        <v>0</v>
      </c>
      <c r="Q39" s="212">
        <v>0</v>
      </c>
      <c r="R39" s="212">
        <v>0</v>
      </c>
      <c r="S39" s="212">
        <v>0</v>
      </c>
      <c r="T39" s="212">
        <v>0</v>
      </c>
      <c r="U39" s="212">
        <v>0</v>
      </c>
      <c r="V39" s="212">
        <v>0</v>
      </c>
      <c r="W39" s="212">
        <v>0</v>
      </c>
      <c r="X39" s="212">
        <v>0</v>
      </c>
      <c r="Y39" s="212">
        <v>0</v>
      </c>
      <c r="Z39" s="212">
        <v>0</v>
      </c>
      <c r="AA39" s="212">
        <v>0</v>
      </c>
      <c r="AB39" s="212">
        <v>0</v>
      </c>
      <c r="AC39" s="212">
        <v>0</v>
      </c>
      <c r="AD39" s="212">
        <v>0</v>
      </c>
      <c r="AE39" s="212">
        <v>0</v>
      </c>
      <c r="AF39" s="212">
        <v>0</v>
      </c>
      <c r="AG39" s="212">
        <v>0</v>
      </c>
      <c r="AH39" s="212">
        <v>0</v>
      </c>
      <c r="AI39" s="218">
        <f t="shared" si="1"/>
        <v>35</v>
      </c>
    </row>
    <row r="40" spans="2:35" s="187" customFormat="1" ht="15" customHeight="1" x14ac:dyDescent="0.35">
      <c r="B40" s="201" t="s">
        <v>80</v>
      </c>
      <c r="C40" s="199" t="s">
        <v>138</v>
      </c>
      <c r="D40" s="199" t="s">
        <v>103</v>
      </c>
      <c r="E40" s="199">
        <v>100</v>
      </c>
      <c r="F40" s="200">
        <f t="shared" si="0"/>
        <v>637</v>
      </c>
      <c r="G40" s="212">
        <v>1</v>
      </c>
      <c r="H40" s="212">
        <v>0</v>
      </c>
      <c r="I40" s="212">
        <v>0</v>
      </c>
      <c r="J40" s="212">
        <v>2</v>
      </c>
      <c r="K40" s="212">
        <v>18</v>
      </c>
      <c r="L40" s="212">
        <v>6</v>
      </c>
      <c r="M40" s="212">
        <v>0</v>
      </c>
      <c r="N40" s="212">
        <v>0</v>
      </c>
      <c r="O40" s="212">
        <v>0</v>
      </c>
      <c r="P40" s="212">
        <v>0</v>
      </c>
      <c r="Q40" s="212">
        <v>0</v>
      </c>
      <c r="R40" s="212">
        <v>0</v>
      </c>
      <c r="S40" s="212">
        <v>0</v>
      </c>
      <c r="T40" s="212">
        <v>0</v>
      </c>
      <c r="U40" s="212">
        <v>0</v>
      </c>
      <c r="V40" s="212">
        <v>0</v>
      </c>
      <c r="W40" s="212">
        <v>0</v>
      </c>
      <c r="X40" s="212">
        <v>2</v>
      </c>
      <c r="Y40" s="212">
        <v>0</v>
      </c>
      <c r="Z40" s="212">
        <v>0</v>
      </c>
      <c r="AA40" s="212">
        <v>0</v>
      </c>
      <c r="AB40" s="212">
        <v>0</v>
      </c>
      <c r="AC40" s="212">
        <v>0</v>
      </c>
      <c r="AD40" s="212">
        <v>0</v>
      </c>
      <c r="AE40" s="212">
        <v>0</v>
      </c>
      <c r="AF40" s="212">
        <v>0</v>
      </c>
      <c r="AG40" s="212">
        <v>0</v>
      </c>
      <c r="AH40" s="212">
        <v>0</v>
      </c>
      <c r="AI40" s="218">
        <f t="shared" si="1"/>
        <v>29</v>
      </c>
    </row>
    <row r="41" spans="2:35" s="187" customFormat="1" ht="15" customHeight="1" x14ac:dyDescent="0.35">
      <c r="B41" s="201" t="s">
        <v>81</v>
      </c>
      <c r="C41" s="199" t="s">
        <v>139</v>
      </c>
      <c r="D41" s="199" t="s">
        <v>104</v>
      </c>
      <c r="E41" s="199">
        <v>100</v>
      </c>
      <c r="F41" s="200">
        <f t="shared" si="0"/>
        <v>637</v>
      </c>
      <c r="G41" s="212">
        <v>3</v>
      </c>
      <c r="H41" s="212">
        <v>1</v>
      </c>
      <c r="I41" s="212">
        <v>0</v>
      </c>
      <c r="J41" s="212">
        <v>0</v>
      </c>
      <c r="K41" s="212">
        <v>3</v>
      </c>
      <c r="L41" s="212">
        <v>4</v>
      </c>
      <c r="M41" s="212">
        <v>0</v>
      </c>
      <c r="N41" s="212">
        <v>0</v>
      </c>
      <c r="O41" s="212">
        <v>0</v>
      </c>
      <c r="P41" s="212">
        <v>2</v>
      </c>
      <c r="Q41" s="212">
        <v>0</v>
      </c>
      <c r="R41" s="212">
        <v>0</v>
      </c>
      <c r="S41" s="212">
        <v>0</v>
      </c>
      <c r="T41" s="212">
        <v>0</v>
      </c>
      <c r="U41" s="212">
        <v>0</v>
      </c>
      <c r="V41" s="212">
        <v>0</v>
      </c>
      <c r="W41" s="212">
        <v>0</v>
      </c>
      <c r="X41" s="212">
        <v>1</v>
      </c>
      <c r="Y41" s="212">
        <v>0</v>
      </c>
      <c r="Z41" s="212">
        <v>0</v>
      </c>
      <c r="AA41" s="212">
        <v>0</v>
      </c>
      <c r="AB41" s="212">
        <v>0</v>
      </c>
      <c r="AC41" s="212">
        <v>0</v>
      </c>
      <c r="AD41" s="212">
        <v>0</v>
      </c>
      <c r="AE41" s="212">
        <v>0</v>
      </c>
      <c r="AF41" s="212">
        <v>0</v>
      </c>
      <c r="AG41" s="212">
        <v>0</v>
      </c>
      <c r="AH41" s="212">
        <v>0</v>
      </c>
      <c r="AI41" s="218">
        <f t="shared" si="1"/>
        <v>14</v>
      </c>
    </row>
    <row r="42" spans="2:35" s="187" customFormat="1" ht="15" customHeight="1" thickBot="1" x14ac:dyDescent="0.4">
      <c r="B42" s="202" t="s">
        <v>82</v>
      </c>
      <c r="C42" s="203" t="s">
        <v>140</v>
      </c>
      <c r="D42" s="203" t="s">
        <v>105</v>
      </c>
      <c r="E42" s="203">
        <v>27</v>
      </c>
      <c r="F42" s="204">
        <f t="shared" si="0"/>
        <v>171.99</v>
      </c>
      <c r="G42" s="213">
        <v>0</v>
      </c>
      <c r="H42" s="213">
        <v>0</v>
      </c>
      <c r="I42" s="213">
        <v>0</v>
      </c>
      <c r="J42" s="213">
        <v>0</v>
      </c>
      <c r="K42" s="213">
        <v>0</v>
      </c>
      <c r="L42" s="213">
        <v>0</v>
      </c>
      <c r="M42" s="213">
        <v>0</v>
      </c>
      <c r="N42" s="213">
        <v>0</v>
      </c>
      <c r="O42" s="213">
        <v>0</v>
      </c>
      <c r="P42" s="213">
        <v>0</v>
      </c>
      <c r="Q42" s="213">
        <v>0</v>
      </c>
      <c r="R42" s="213">
        <v>0</v>
      </c>
      <c r="S42" s="213">
        <v>0</v>
      </c>
      <c r="T42" s="213">
        <v>0</v>
      </c>
      <c r="U42" s="213">
        <v>0</v>
      </c>
      <c r="V42" s="213">
        <v>0</v>
      </c>
      <c r="W42" s="213">
        <v>1</v>
      </c>
      <c r="X42" s="213">
        <v>0</v>
      </c>
      <c r="Y42" s="213">
        <v>0</v>
      </c>
      <c r="Z42" s="213">
        <v>0</v>
      </c>
      <c r="AA42" s="213">
        <v>0</v>
      </c>
      <c r="AB42" s="213">
        <v>0</v>
      </c>
      <c r="AC42" s="213">
        <v>0</v>
      </c>
      <c r="AD42" s="213">
        <v>0</v>
      </c>
      <c r="AE42" s="213">
        <v>0</v>
      </c>
      <c r="AF42" s="213">
        <v>0</v>
      </c>
      <c r="AG42" s="213">
        <v>0</v>
      </c>
      <c r="AH42" s="213">
        <v>0</v>
      </c>
      <c r="AI42" s="219">
        <f t="shared" si="1"/>
        <v>1</v>
      </c>
    </row>
    <row r="43" spans="2:35" s="187" customFormat="1" ht="18" customHeight="1" thickBot="1" x14ac:dyDescent="0.4">
      <c r="B43" s="336" t="s">
        <v>38</v>
      </c>
      <c r="C43" s="337"/>
      <c r="D43" s="337"/>
      <c r="E43" s="337"/>
      <c r="F43" s="208">
        <f>SUM(F10:F42)</f>
        <v>20555.990000000002</v>
      </c>
      <c r="G43" s="214">
        <f t="shared" ref="G43:AG43" si="2">SUM(G10:G42)</f>
        <v>49</v>
      </c>
      <c r="H43" s="215">
        <f t="shared" si="2"/>
        <v>87</v>
      </c>
      <c r="I43" s="215">
        <f t="shared" si="2"/>
        <v>47</v>
      </c>
      <c r="J43" s="215">
        <f t="shared" si="2"/>
        <v>56</v>
      </c>
      <c r="K43" s="215">
        <f t="shared" si="2"/>
        <v>177</v>
      </c>
      <c r="L43" s="215">
        <f t="shared" si="2"/>
        <v>168</v>
      </c>
      <c r="M43" s="215">
        <f t="shared" si="2"/>
        <v>3</v>
      </c>
      <c r="N43" s="215">
        <f t="shared" si="2"/>
        <v>0</v>
      </c>
      <c r="O43" s="215">
        <f t="shared" si="2"/>
        <v>47</v>
      </c>
      <c r="P43" s="215">
        <f t="shared" si="2"/>
        <v>56</v>
      </c>
      <c r="Q43" s="215">
        <f t="shared" si="2"/>
        <v>3</v>
      </c>
      <c r="R43" s="215">
        <f t="shared" si="2"/>
        <v>3</v>
      </c>
      <c r="S43" s="215">
        <f t="shared" si="2"/>
        <v>1</v>
      </c>
      <c r="T43" s="215">
        <f t="shared" si="2"/>
        <v>2</v>
      </c>
      <c r="U43" s="215">
        <f t="shared" si="2"/>
        <v>3</v>
      </c>
      <c r="V43" s="215">
        <f t="shared" si="2"/>
        <v>1</v>
      </c>
      <c r="W43" s="215">
        <f t="shared" si="2"/>
        <v>10</v>
      </c>
      <c r="X43" s="215">
        <f t="shared" si="2"/>
        <v>19</v>
      </c>
      <c r="Y43" s="215">
        <f t="shared" si="2"/>
        <v>36</v>
      </c>
      <c r="Z43" s="215">
        <f t="shared" si="2"/>
        <v>28</v>
      </c>
      <c r="AA43" s="215">
        <f t="shared" si="2"/>
        <v>7</v>
      </c>
      <c r="AB43" s="215">
        <f t="shared" si="2"/>
        <v>21</v>
      </c>
      <c r="AC43" s="215">
        <f t="shared" si="2"/>
        <v>3</v>
      </c>
      <c r="AD43" s="215">
        <f t="shared" si="2"/>
        <v>1</v>
      </c>
      <c r="AE43" s="215">
        <f t="shared" si="2"/>
        <v>2</v>
      </c>
      <c r="AF43" s="215">
        <f t="shared" si="2"/>
        <v>0</v>
      </c>
      <c r="AG43" s="215">
        <f t="shared" si="2"/>
        <v>1</v>
      </c>
      <c r="AH43" s="216">
        <f>SUM(AH10:AH42)</f>
        <v>2</v>
      </c>
      <c r="AI43" s="220">
        <f>SUM(AI10:AI42)</f>
        <v>833</v>
      </c>
    </row>
    <row r="44" spans="2:35" s="187" customFormat="1" ht="14.4" customHeight="1" x14ac:dyDescent="0.35">
      <c r="B44" s="325"/>
      <c r="C44" s="326"/>
      <c r="D44" s="326"/>
      <c r="E44" s="326"/>
      <c r="F44" s="326"/>
      <c r="G44" s="326"/>
      <c r="H44" s="326"/>
      <c r="I44" s="326"/>
      <c r="J44" s="326"/>
      <c r="K44" s="326"/>
      <c r="L44" s="326"/>
      <c r="M44" s="326"/>
      <c r="N44" s="326"/>
      <c r="O44" s="326"/>
      <c r="P44" s="326"/>
      <c r="Q44" s="326"/>
      <c r="R44" s="326"/>
      <c r="S44" s="326"/>
      <c r="T44" s="326"/>
      <c r="U44" s="326"/>
      <c r="V44" s="326"/>
      <c r="W44" s="326"/>
      <c r="X44" s="326"/>
      <c r="Y44" s="326"/>
      <c r="Z44" s="326"/>
      <c r="AE44" s="189"/>
      <c r="AF44" s="189"/>
      <c r="AI44" s="188"/>
    </row>
    <row r="45" spans="2:35" s="187" customFormat="1" ht="14.4" customHeight="1" x14ac:dyDescent="0.35">
      <c r="B45" s="335" t="s">
        <v>43</v>
      </c>
      <c r="C45" s="335"/>
      <c r="D45" s="335"/>
      <c r="E45" s="205">
        <v>1</v>
      </c>
      <c r="F45" s="335" t="s">
        <v>44</v>
      </c>
      <c r="G45" s="335"/>
      <c r="H45" s="335"/>
      <c r="I45" s="192">
        <v>6.37</v>
      </c>
      <c r="J45" s="191" t="s">
        <v>45</v>
      </c>
    </row>
    <row r="46" spans="2:35" s="187" customFormat="1" ht="14.4" customHeight="1" x14ac:dyDescent="0.35">
      <c r="B46" s="335" t="s">
        <v>46</v>
      </c>
      <c r="C46" s="335"/>
      <c r="D46" s="335"/>
      <c r="E46" s="205">
        <v>2</v>
      </c>
      <c r="F46" s="335" t="s">
        <v>47</v>
      </c>
      <c r="G46" s="335"/>
      <c r="H46" s="335"/>
      <c r="I46" s="192">
        <v>0.6</v>
      </c>
      <c r="J46" s="191" t="s">
        <v>45</v>
      </c>
    </row>
    <row r="47" spans="2:35" s="187" customFormat="1" ht="14.4" customHeight="1" x14ac:dyDescent="0.35"/>
    <row r="48" spans="2:35" s="187" customFormat="1" ht="15" customHeight="1" x14ac:dyDescent="0.35">
      <c r="B48" s="335" t="s">
        <v>113</v>
      </c>
      <c r="C48" s="335"/>
      <c r="D48" s="335"/>
      <c r="E48" s="335"/>
      <c r="F48" s="335"/>
      <c r="G48" s="221">
        <f>G43+I43+K43+M43+O43+Q43+S43+U43+W43+Y43+AA43+AC43+AE43+AG43</f>
        <v>389</v>
      </c>
      <c r="Y48" s="190"/>
    </row>
    <row r="49" spans="2:7" s="187" customFormat="1" ht="15" customHeight="1" x14ac:dyDescent="0.35">
      <c r="B49" s="335" t="s">
        <v>114</v>
      </c>
      <c r="C49" s="335"/>
      <c r="D49" s="335"/>
      <c r="E49" s="335"/>
      <c r="F49" s="335"/>
      <c r="G49" s="221">
        <f>H43+J43+L43+N43+P43+R43+T43+V43+X43+Z43+AB43+AD43+AF43+AH43</f>
        <v>444</v>
      </c>
    </row>
    <row r="50" spans="2:7" s="187" customFormat="1" ht="14.4" customHeight="1" x14ac:dyDescent="0.35"/>
    <row r="51" spans="2:7" s="187" customFormat="1" ht="14.4" customHeight="1" x14ac:dyDescent="0.35"/>
    <row r="52" spans="2:7" s="187" customFormat="1" ht="14.4" customHeight="1" x14ac:dyDescent="0.35"/>
    <row r="53" spans="2:7" ht="14.25" customHeight="1" x14ac:dyDescent="0.25"/>
    <row r="54" spans="2:7" ht="14.25" customHeight="1" x14ac:dyDescent="0.25"/>
    <row r="55" spans="2:7" ht="14.25" customHeight="1" x14ac:dyDescent="0.25"/>
    <row r="56" spans="2:7" ht="14.25" customHeight="1" x14ac:dyDescent="0.25"/>
    <row r="57" spans="2:7" ht="14.25" customHeight="1" x14ac:dyDescent="0.25"/>
    <row r="58" spans="2:7" ht="14.25" customHeight="1" x14ac:dyDescent="0.25"/>
    <row r="59" spans="2:7" ht="14.25" customHeight="1" x14ac:dyDescent="0.25"/>
    <row r="60" spans="2:7" ht="14.25" customHeight="1" x14ac:dyDescent="0.25"/>
    <row r="61" spans="2:7" ht="14.25" customHeight="1" x14ac:dyDescent="0.25"/>
    <row r="62" spans="2:7" ht="14.25" customHeight="1" x14ac:dyDescent="0.25"/>
    <row r="63" spans="2:7" ht="14.25" customHeight="1" x14ac:dyDescent="0.25"/>
    <row r="64" spans="2:7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  <row r="1001" ht="14.25" customHeight="1" x14ac:dyDescent="0.25"/>
    <row r="1002" ht="14.25" customHeight="1" x14ac:dyDescent="0.25"/>
    <row r="1003" ht="14.25" customHeight="1" x14ac:dyDescent="0.25"/>
    <row r="1004" ht="14.25" customHeight="1" x14ac:dyDescent="0.25"/>
    <row r="1005" ht="14.25" customHeight="1" x14ac:dyDescent="0.25"/>
    <row r="1006" ht="14.25" customHeight="1" x14ac:dyDescent="0.25"/>
    <row r="1007" ht="14.25" customHeight="1" x14ac:dyDescent="0.25"/>
    <row r="1008" ht="14.25" customHeight="1" x14ac:dyDescent="0.25"/>
    <row r="1009" ht="14.25" customHeight="1" x14ac:dyDescent="0.25"/>
    <row r="1010" ht="14.25" customHeight="1" x14ac:dyDescent="0.25"/>
    <row r="1011" ht="14.25" customHeight="1" x14ac:dyDescent="0.25"/>
    <row r="1012" ht="14.25" customHeight="1" x14ac:dyDescent="0.25"/>
    <row r="1013" ht="14.25" customHeight="1" x14ac:dyDescent="0.25"/>
    <row r="1014" ht="14.25" customHeight="1" x14ac:dyDescent="0.25"/>
    <row r="1015" ht="14.25" customHeight="1" x14ac:dyDescent="0.25"/>
    <row r="1016" ht="14.25" customHeight="1" x14ac:dyDescent="0.25"/>
    <row r="1017" ht="14.25" customHeight="1" x14ac:dyDescent="0.25"/>
    <row r="1018" ht="14.25" customHeight="1" x14ac:dyDescent="0.25"/>
    <row r="1019" ht="14.25" customHeight="1" x14ac:dyDescent="0.25"/>
    <row r="1020" ht="14.25" customHeight="1" x14ac:dyDescent="0.25"/>
  </sheetData>
  <mergeCells count="29">
    <mergeCell ref="B49:F49"/>
    <mergeCell ref="B48:F48"/>
    <mergeCell ref="B43:E43"/>
    <mergeCell ref="B8:B9"/>
    <mergeCell ref="B46:D46"/>
    <mergeCell ref="B45:D45"/>
    <mergeCell ref="F46:H46"/>
    <mergeCell ref="F45:H45"/>
    <mergeCell ref="B44:Z44"/>
    <mergeCell ref="Q8:R8"/>
    <mergeCell ref="S8:T8"/>
    <mergeCell ref="U8:V8"/>
    <mergeCell ref="W8:X8"/>
    <mergeCell ref="Y8:Z8"/>
    <mergeCell ref="B6:C6"/>
    <mergeCell ref="B7:AI7"/>
    <mergeCell ref="C8:D8"/>
    <mergeCell ref="E8:E9"/>
    <mergeCell ref="F8:F9"/>
    <mergeCell ref="G8:H8"/>
    <mergeCell ref="I8:J8"/>
    <mergeCell ref="K8:L8"/>
    <mergeCell ref="M8:N8"/>
    <mergeCell ref="O8:P8"/>
    <mergeCell ref="AC8:AD8"/>
    <mergeCell ref="AE8:AF8"/>
    <mergeCell ref="AG8:AH8"/>
    <mergeCell ref="AI8:AI9"/>
    <mergeCell ref="AA8:AB8"/>
  </mergeCells>
  <pageMargins left="0.7" right="0.7" top="0.75" bottom="0.75" header="0" footer="0"/>
  <pageSetup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25"/>
  <sheetViews>
    <sheetView showGridLines="0" tabSelected="1" zoomScale="55" zoomScaleNormal="55" workbookViewId="0">
      <selection activeCell="B8" sqref="B8:B9"/>
    </sheetView>
  </sheetViews>
  <sheetFormatPr baseColWidth="10" defaultColWidth="12.59765625" defaultRowHeight="15" customHeight="1" x14ac:dyDescent="0.25"/>
  <cols>
    <col min="1" max="1" width="12.59765625" style="86"/>
    <col min="2" max="2" width="15.3984375" customWidth="1"/>
    <col min="3" max="15" width="9.3984375" customWidth="1"/>
    <col min="16" max="18" width="9.3984375" style="33" customWidth="1"/>
    <col min="19" max="22" width="9.3984375" customWidth="1"/>
    <col min="23" max="23" width="12.69921875" customWidth="1"/>
  </cols>
  <sheetData>
    <row r="1" spans="2:23" s="166" customFormat="1" ht="15" customHeight="1" x14ac:dyDescent="0.25"/>
    <row r="2" spans="2:23" s="166" customFormat="1" ht="15" customHeight="1" x14ac:dyDescent="0.25"/>
    <row r="3" spans="2:23" s="166" customFormat="1" ht="15" customHeight="1" x14ac:dyDescent="0.25"/>
    <row r="4" spans="2:23" s="166" customFormat="1" ht="15" customHeight="1" x14ac:dyDescent="0.25"/>
    <row r="5" spans="2:23" ht="14.25" customHeight="1" x14ac:dyDescent="0.25"/>
    <row r="6" spans="2:23" ht="14.25" customHeight="1" thickBot="1" x14ac:dyDescent="0.35">
      <c r="B6" s="228"/>
      <c r="C6" s="229"/>
      <c r="D6" s="1"/>
    </row>
    <row r="7" spans="2:23" ht="14.25" customHeight="1" thickBot="1" x14ac:dyDescent="0.35">
      <c r="B7" s="340" t="s">
        <v>48</v>
      </c>
      <c r="C7" s="341"/>
      <c r="D7" s="341"/>
      <c r="E7" s="341"/>
      <c r="F7" s="341"/>
      <c r="G7" s="341"/>
      <c r="H7" s="341"/>
      <c r="I7" s="341"/>
      <c r="J7" s="341"/>
      <c r="K7" s="341"/>
      <c r="L7" s="341"/>
      <c r="M7" s="341"/>
      <c r="N7" s="341"/>
      <c r="O7" s="341"/>
      <c r="P7" s="341"/>
      <c r="Q7" s="341"/>
      <c r="R7" s="341"/>
      <c r="S7" s="341"/>
      <c r="T7" s="341"/>
      <c r="U7" s="341"/>
      <c r="V7" s="341"/>
      <c r="W7" s="342"/>
    </row>
    <row r="8" spans="2:23" ht="24" customHeight="1" x14ac:dyDescent="0.3">
      <c r="B8" s="387" t="s">
        <v>15</v>
      </c>
      <c r="C8" s="234" t="s">
        <v>1</v>
      </c>
      <c r="D8" s="235"/>
      <c r="E8" s="236" t="s">
        <v>2</v>
      </c>
      <c r="F8" s="238" t="s">
        <v>3</v>
      </c>
      <c r="G8" s="343" t="s">
        <v>49</v>
      </c>
      <c r="H8" s="301"/>
      <c r="I8" s="344"/>
      <c r="J8" s="352" t="s">
        <v>59</v>
      </c>
      <c r="K8" s="353"/>
      <c r="L8" s="353"/>
      <c r="M8" s="354" t="s">
        <v>106</v>
      </c>
      <c r="N8" s="355"/>
      <c r="O8" s="356"/>
      <c r="P8" s="359" t="s">
        <v>107</v>
      </c>
      <c r="Q8" s="360"/>
      <c r="R8" s="361"/>
      <c r="S8" s="349" t="s">
        <v>50</v>
      </c>
      <c r="T8" s="350"/>
      <c r="U8" s="351"/>
      <c r="V8" s="345" t="s">
        <v>13</v>
      </c>
      <c r="W8" s="246" t="s">
        <v>14</v>
      </c>
    </row>
    <row r="9" spans="2:23" ht="24" customHeight="1" x14ac:dyDescent="0.3">
      <c r="B9" s="386"/>
      <c r="C9" s="2" t="s">
        <v>16</v>
      </c>
      <c r="D9" s="2" t="s">
        <v>17</v>
      </c>
      <c r="E9" s="237"/>
      <c r="F9" s="239"/>
      <c r="G9" s="70" t="s">
        <v>18</v>
      </c>
      <c r="H9" s="65" t="s">
        <v>19</v>
      </c>
      <c r="I9" s="62" t="s">
        <v>20</v>
      </c>
      <c r="J9" s="75" t="s">
        <v>18</v>
      </c>
      <c r="K9" s="80" t="s">
        <v>19</v>
      </c>
      <c r="L9" s="63" t="s">
        <v>20</v>
      </c>
      <c r="M9" s="83" t="s">
        <v>18</v>
      </c>
      <c r="N9" s="66" t="s">
        <v>19</v>
      </c>
      <c r="O9" s="64" t="s">
        <v>20</v>
      </c>
      <c r="P9" s="84" t="s">
        <v>18</v>
      </c>
      <c r="Q9" s="81" t="s">
        <v>19</v>
      </c>
      <c r="R9" s="78" t="s">
        <v>20</v>
      </c>
      <c r="S9" s="85" t="s">
        <v>18</v>
      </c>
      <c r="T9" s="82" t="s">
        <v>19</v>
      </c>
      <c r="U9" s="79" t="s">
        <v>20</v>
      </c>
      <c r="V9" s="346"/>
      <c r="W9" s="247"/>
    </row>
    <row r="10" spans="2:23" ht="14.25" customHeight="1" x14ac:dyDescent="0.3">
      <c r="B10" s="89" t="s">
        <v>21</v>
      </c>
      <c r="C10" s="90" t="s">
        <v>22</v>
      </c>
      <c r="D10" s="90" t="s">
        <v>23</v>
      </c>
      <c r="E10" s="90">
        <v>100</v>
      </c>
      <c r="F10" s="91">
        <f t="shared" ref="F10:F17" si="0">$G$50*E10</f>
        <v>637</v>
      </c>
      <c r="G10" s="89">
        <v>0</v>
      </c>
      <c r="H10" s="90">
        <v>0</v>
      </c>
      <c r="I10" s="142">
        <v>0</v>
      </c>
      <c r="J10" s="143">
        <v>0</v>
      </c>
      <c r="K10" s="144">
        <v>0</v>
      </c>
      <c r="L10" s="144">
        <v>0</v>
      </c>
      <c r="M10" s="145">
        <v>0</v>
      </c>
      <c r="N10" s="53">
        <v>0</v>
      </c>
      <c r="O10" s="146">
        <v>0</v>
      </c>
      <c r="P10" s="147">
        <v>0</v>
      </c>
      <c r="Q10" s="148">
        <v>0</v>
      </c>
      <c r="R10" s="149">
        <v>0</v>
      </c>
      <c r="S10" s="150">
        <v>0</v>
      </c>
      <c r="T10" s="151">
        <v>0</v>
      </c>
      <c r="U10" s="152">
        <v>0</v>
      </c>
      <c r="V10" s="25">
        <f t="shared" ref="V10:V42" si="1">SUM(G10:U10)</f>
        <v>0</v>
      </c>
      <c r="W10" s="3">
        <f t="shared" ref="W10:W42" si="2">(V10/$F$43)*100</f>
        <v>0</v>
      </c>
    </row>
    <row r="11" spans="2:23" ht="14.25" customHeight="1" x14ac:dyDescent="0.3">
      <c r="B11" s="89" t="s">
        <v>24</v>
      </c>
      <c r="C11" s="90" t="s">
        <v>23</v>
      </c>
      <c r="D11" s="90" t="s">
        <v>25</v>
      </c>
      <c r="E11" s="90">
        <v>100</v>
      </c>
      <c r="F11" s="91">
        <f t="shared" si="0"/>
        <v>637</v>
      </c>
      <c r="G11" s="89">
        <v>0</v>
      </c>
      <c r="H11" s="90">
        <v>0</v>
      </c>
      <c r="I11" s="142">
        <v>0</v>
      </c>
      <c r="J11" s="143">
        <v>0</v>
      </c>
      <c r="K11" s="144">
        <v>0</v>
      </c>
      <c r="L11" s="144">
        <v>0</v>
      </c>
      <c r="M11" s="153">
        <v>0</v>
      </c>
      <c r="N11" s="53">
        <v>0</v>
      </c>
      <c r="O11" s="146">
        <v>0</v>
      </c>
      <c r="P11" s="147">
        <v>0</v>
      </c>
      <c r="Q11" s="148">
        <v>0</v>
      </c>
      <c r="R11" s="149">
        <v>0</v>
      </c>
      <c r="S11" s="150">
        <v>0</v>
      </c>
      <c r="T11" s="151">
        <v>0</v>
      </c>
      <c r="U11" s="152">
        <v>0</v>
      </c>
      <c r="V11" s="25">
        <f t="shared" si="1"/>
        <v>0</v>
      </c>
      <c r="W11" s="3">
        <f t="shared" si="2"/>
        <v>0</v>
      </c>
    </row>
    <row r="12" spans="2:23" ht="14.25" customHeight="1" x14ac:dyDescent="0.3">
      <c r="B12" s="89" t="s">
        <v>26</v>
      </c>
      <c r="C12" s="90" t="s">
        <v>25</v>
      </c>
      <c r="D12" s="90" t="s">
        <v>27</v>
      </c>
      <c r="E12" s="90">
        <v>100</v>
      </c>
      <c r="F12" s="91">
        <f t="shared" si="0"/>
        <v>637</v>
      </c>
      <c r="G12" s="89">
        <v>0</v>
      </c>
      <c r="H12" s="90">
        <v>0</v>
      </c>
      <c r="I12" s="142">
        <v>0</v>
      </c>
      <c r="J12" s="143">
        <v>0</v>
      </c>
      <c r="K12" s="144">
        <v>0</v>
      </c>
      <c r="L12" s="144">
        <v>0</v>
      </c>
      <c r="M12" s="52">
        <v>0</v>
      </c>
      <c r="N12" s="53">
        <v>0</v>
      </c>
      <c r="O12" s="149">
        <v>0</v>
      </c>
      <c r="P12" s="145">
        <v>0</v>
      </c>
      <c r="Q12" s="148">
        <v>0</v>
      </c>
      <c r="R12" s="149">
        <v>0</v>
      </c>
      <c r="S12" s="150">
        <v>0</v>
      </c>
      <c r="T12" s="151">
        <v>0</v>
      </c>
      <c r="U12" s="152">
        <v>0</v>
      </c>
      <c r="V12" s="25">
        <f t="shared" si="1"/>
        <v>0</v>
      </c>
      <c r="W12" s="3">
        <f t="shared" si="2"/>
        <v>0</v>
      </c>
    </row>
    <row r="13" spans="2:23" ht="14.25" customHeight="1" x14ac:dyDescent="0.3">
      <c r="B13" s="89" t="s">
        <v>28</v>
      </c>
      <c r="C13" s="90" t="s">
        <v>27</v>
      </c>
      <c r="D13" s="90" t="s">
        <v>29</v>
      </c>
      <c r="E13" s="90">
        <v>100</v>
      </c>
      <c r="F13" s="91">
        <f t="shared" si="0"/>
        <v>637</v>
      </c>
      <c r="G13" s="89">
        <v>0</v>
      </c>
      <c r="H13" s="90">
        <v>0</v>
      </c>
      <c r="I13" s="142">
        <v>0</v>
      </c>
      <c r="J13" s="143">
        <v>0</v>
      </c>
      <c r="K13" s="144">
        <v>0</v>
      </c>
      <c r="L13" s="144">
        <v>0</v>
      </c>
      <c r="M13" s="52">
        <v>0</v>
      </c>
      <c r="N13" s="53">
        <v>0</v>
      </c>
      <c r="O13" s="149">
        <v>0</v>
      </c>
      <c r="P13" s="145">
        <v>0</v>
      </c>
      <c r="Q13" s="148">
        <v>0</v>
      </c>
      <c r="R13" s="149">
        <v>0</v>
      </c>
      <c r="S13" s="150">
        <v>0</v>
      </c>
      <c r="T13" s="151">
        <v>0</v>
      </c>
      <c r="U13" s="152">
        <v>0</v>
      </c>
      <c r="V13" s="25">
        <f t="shared" si="1"/>
        <v>0</v>
      </c>
      <c r="W13" s="3">
        <f t="shared" si="2"/>
        <v>0</v>
      </c>
    </row>
    <row r="14" spans="2:23" ht="14.25" customHeight="1" x14ac:dyDescent="0.3">
      <c r="B14" s="89" t="s">
        <v>30</v>
      </c>
      <c r="C14" s="90" t="s">
        <v>29</v>
      </c>
      <c r="D14" s="90" t="s">
        <v>31</v>
      </c>
      <c r="E14" s="90">
        <v>100</v>
      </c>
      <c r="F14" s="91">
        <f t="shared" si="0"/>
        <v>637</v>
      </c>
      <c r="G14" s="89">
        <v>0</v>
      </c>
      <c r="H14" s="154">
        <f>(10*3)</f>
        <v>30</v>
      </c>
      <c r="I14" s="155">
        <v>0</v>
      </c>
      <c r="J14" s="143">
        <v>0</v>
      </c>
      <c r="K14" s="144">
        <v>0</v>
      </c>
      <c r="L14" s="144">
        <v>0</v>
      </c>
      <c r="M14" s="52">
        <v>0</v>
      </c>
      <c r="N14" s="148">
        <v>0</v>
      </c>
      <c r="O14" s="146">
        <v>0</v>
      </c>
      <c r="P14" s="147">
        <v>0</v>
      </c>
      <c r="Q14" s="148">
        <v>0</v>
      </c>
      <c r="R14" s="149">
        <v>0</v>
      </c>
      <c r="S14" s="150">
        <v>0</v>
      </c>
      <c r="T14" s="156">
        <f>+(1.13*2.4)</f>
        <v>2.7119999999999997</v>
      </c>
      <c r="U14" s="157">
        <v>0</v>
      </c>
      <c r="V14" s="25">
        <f t="shared" si="1"/>
        <v>32.712000000000003</v>
      </c>
      <c r="W14" s="3">
        <f t="shared" si="2"/>
        <v>0.1591360960965636</v>
      </c>
    </row>
    <row r="15" spans="2:23" ht="14.25" customHeight="1" x14ac:dyDescent="0.3">
      <c r="B15" s="89" t="s">
        <v>32</v>
      </c>
      <c r="C15" s="90" t="s">
        <v>31</v>
      </c>
      <c r="D15" s="90" t="s">
        <v>33</v>
      </c>
      <c r="E15" s="90">
        <v>100</v>
      </c>
      <c r="F15" s="91">
        <f t="shared" si="0"/>
        <v>637</v>
      </c>
      <c r="G15" s="89">
        <v>0</v>
      </c>
      <c r="H15" s="90">
        <v>0</v>
      </c>
      <c r="I15" s="142">
        <v>0</v>
      </c>
      <c r="J15" s="158">
        <v>0</v>
      </c>
      <c r="K15" s="144">
        <v>0</v>
      </c>
      <c r="L15" s="144">
        <f>2.9*0.7</f>
        <v>2.0299999999999998</v>
      </c>
      <c r="M15" s="52">
        <v>0</v>
      </c>
      <c r="N15" s="148">
        <v>0</v>
      </c>
      <c r="O15" s="146">
        <v>0</v>
      </c>
      <c r="P15" s="147">
        <v>0</v>
      </c>
      <c r="Q15" s="148">
        <v>0</v>
      </c>
      <c r="R15" s="149">
        <v>0</v>
      </c>
      <c r="S15" s="150">
        <v>0</v>
      </c>
      <c r="T15" s="159">
        <v>0</v>
      </c>
      <c r="U15" s="157">
        <v>0</v>
      </c>
      <c r="V15" s="25">
        <f t="shared" si="1"/>
        <v>2.0299999999999998</v>
      </c>
      <c r="W15" s="3">
        <f t="shared" si="2"/>
        <v>9.8754669563470288E-3</v>
      </c>
    </row>
    <row r="16" spans="2:23" ht="14.25" customHeight="1" x14ac:dyDescent="0.3">
      <c r="B16" s="89" t="s">
        <v>34</v>
      </c>
      <c r="C16" s="90" t="s">
        <v>33</v>
      </c>
      <c r="D16" s="90" t="s">
        <v>35</v>
      </c>
      <c r="E16" s="90">
        <v>100</v>
      </c>
      <c r="F16" s="91">
        <f t="shared" si="0"/>
        <v>637</v>
      </c>
      <c r="G16" s="89">
        <v>0</v>
      </c>
      <c r="H16" s="90">
        <v>0</v>
      </c>
      <c r="I16" s="155">
        <v>0</v>
      </c>
      <c r="J16" s="160">
        <v>0</v>
      </c>
      <c r="K16" s="144">
        <v>0</v>
      </c>
      <c r="L16" s="144">
        <v>0</v>
      </c>
      <c r="M16" s="52">
        <v>0</v>
      </c>
      <c r="N16" s="148">
        <v>0</v>
      </c>
      <c r="O16" s="149">
        <f>+(3.06*2.6)</f>
        <v>7.9560000000000004</v>
      </c>
      <c r="P16" s="145">
        <v>0</v>
      </c>
      <c r="Q16" s="148">
        <v>0</v>
      </c>
      <c r="R16" s="149">
        <v>0</v>
      </c>
      <c r="S16" s="150">
        <v>0</v>
      </c>
      <c r="T16" s="161">
        <f>+(10.16*0.6)</f>
        <v>6.0960000000000001</v>
      </c>
      <c r="U16" s="157">
        <v>0</v>
      </c>
      <c r="V16" s="25">
        <f t="shared" si="1"/>
        <v>14.052</v>
      </c>
      <c r="W16" s="3">
        <f t="shared" si="2"/>
        <v>6.8359636290930267E-2</v>
      </c>
    </row>
    <row r="17" spans="1:23" ht="14.25" customHeight="1" x14ac:dyDescent="0.3">
      <c r="B17" s="89" t="s">
        <v>36</v>
      </c>
      <c r="C17" s="90" t="s">
        <v>35</v>
      </c>
      <c r="D17" s="90" t="s">
        <v>37</v>
      </c>
      <c r="E17" s="90">
        <v>100</v>
      </c>
      <c r="F17" s="91">
        <f t="shared" si="0"/>
        <v>637</v>
      </c>
      <c r="G17" s="89">
        <v>0</v>
      </c>
      <c r="H17" s="90">
        <v>0</v>
      </c>
      <c r="I17" s="142">
        <v>0</v>
      </c>
      <c r="J17" s="158">
        <v>0</v>
      </c>
      <c r="K17" s="144">
        <v>0</v>
      </c>
      <c r="L17" s="144">
        <v>0</v>
      </c>
      <c r="M17" s="52">
        <v>0</v>
      </c>
      <c r="N17" s="162">
        <v>0</v>
      </c>
      <c r="O17" s="146">
        <v>0</v>
      </c>
      <c r="P17" s="147">
        <v>0</v>
      </c>
      <c r="Q17" s="148">
        <v>0</v>
      </c>
      <c r="R17" s="149">
        <v>0</v>
      </c>
      <c r="S17" s="150">
        <v>0</v>
      </c>
      <c r="T17" s="163">
        <v>0</v>
      </c>
      <c r="U17" s="157">
        <v>0</v>
      </c>
      <c r="V17" s="25">
        <f t="shared" si="1"/>
        <v>0</v>
      </c>
      <c r="W17" s="3">
        <f t="shared" si="2"/>
        <v>0</v>
      </c>
    </row>
    <row r="18" spans="1:23" s="33" customFormat="1" ht="14.25" customHeight="1" x14ac:dyDescent="0.3">
      <c r="A18" s="86"/>
      <c r="B18" s="89" t="s">
        <v>51</v>
      </c>
      <c r="C18" s="164" t="s">
        <v>37</v>
      </c>
      <c r="D18" s="164" t="s">
        <v>54</v>
      </c>
      <c r="E18" s="90">
        <v>100</v>
      </c>
      <c r="F18" s="91">
        <f t="shared" ref="F18:F42" si="3">$G$50*E18</f>
        <v>637</v>
      </c>
      <c r="G18" s="89">
        <v>0</v>
      </c>
      <c r="H18" s="90">
        <v>0</v>
      </c>
      <c r="I18" s="142">
        <v>0</v>
      </c>
      <c r="J18" s="158">
        <v>0</v>
      </c>
      <c r="K18" s="144">
        <v>0</v>
      </c>
      <c r="L18" s="144">
        <v>0</v>
      </c>
      <c r="M18" s="52">
        <v>0</v>
      </c>
      <c r="N18" s="148">
        <v>0</v>
      </c>
      <c r="O18" s="146">
        <v>0</v>
      </c>
      <c r="P18" s="147">
        <v>0</v>
      </c>
      <c r="Q18" s="148">
        <v>0</v>
      </c>
      <c r="R18" s="149">
        <v>0</v>
      </c>
      <c r="S18" s="150">
        <v>0</v>
      </c>
      <c r="T18" s="163">
        <v>0</v>
      </c>
      <c r="U18" s="157">
        <v>0</v>
      </c>
      <c r="V18" s="25">
        <f t="shared" si="1"/>
        <v>0</v>
      </c>
      <c r="W18" s="3">
        <f t="shared" si="2"/>
        <v>0</v>
      </c>
    </row>
    <row r="19" spans="1:23" s="47" customFormat="1" ht="14.25" customHeight="1" x14ac:dyDescent="0.3">
      <c r="A19" s="86"/>
      <c r="B19" s="89" t="s">
        <v>52</v>
      </c>
      <c r="C19" s="90" t="s">
        <v>54</v>
      </c>
      <c r="D19" s="90" t="s">
        <v>55</v>
      </c>
      <c r="E19" s="90">
        <v>100</v>
      </c>
      <c r="F19" s="91">
        <f t="shared" si="3"/>
        <v>637</v>
      </c>
      <c r="G19" s="89">
        <v>0</v>
      </c>
      <c r="H19" s="90">
        <v>0</v>
      </c>
      <c r="I19" s="142">
        <v>0</v>
      </c>
      <c r="J19" s="158">
        <v>0</v>
      </c>
      <c r="K19" s="144">
        <v>0</v>
      </c>
      <c r="L19" s="144">
        <v>0</v>
      </c>
      <c r="M19" s="52">
        <v>0</v>
      </c>
      <c r="N19" s="148">
        <v>0</v>
      </c>
      <c r="O19" s="146">
        <v>0</v>
      </c>
      <c r="P19" s="147">
        <v>0</v>
      </c>
      <c r="Q19" s="148">
        <v>0</v>
      </c>
      <c r="R19" s="149">
        <v>0</v>
      </c>
      <c r="S19" s="150">
        <v>0</v>
      </c>
      <c r="T19" s="163">
        <v>0</v>
      </c>
      <c r="U19" s="157">
        <v>0</v>
      </c>
      <c r="V19" s="25">
        <f t="shared" si="1"/>
        <v>0</v>
      </c>
      <c r="W19" s="3">
        <f t="shared" si="2"/>
        <v>0</v>
      </c>
    </row>
    <row r="20" spans="1:23" s="33" customFormat="1" ht="14.25" customHeight="1" x14ac:dyDescent="0.3">
      <c r="A20" s="86"/>
      <c r="B20" s="89" t="s">
        <v>53</v>
      </c>
      <c r="C20" s="164" t="s">
        <v>55</v>
      </c>
      <c r="D20" s="164" t="s">
        <v>83</v>
      </c>
      <c r="E20" s="90">
        <v>100</v>
      </c>
      <c r="F20" s="91">
        <f t="shared" si="3"/>
        <v>637</v>
      </c>
      <c r="G20" s="89">
        <v>0</v>
      </c>
      <c r="H20" s="90">
        <v>0</v>
      </c>
      <c r="I20" s="142">
        <v>0</v>
      </c>
      <c r="J20" s="158">
        <v>0</v>
      </c>
      <c r="K20" s="144">
        <v>0</v>
      </c>
      <c r="L20" s="144">
        <v>0</v>
      </c>
      <c r="M20" s="52">
        <v>0</v>
      </c>
      <c r="N20" s="148">
        <v>0</v>
      </c>
      <c r="O20" s="146">
        <v>0</v>
      </c>
      <c r="P20" s="147">
        <v>0</v>
      </c>
      <c r="Q20" s="148">
        <v>0</v>
      </c>
      <c r="R20" s="149">
        <v>0</v>
      </c>
      <c r="S20" s="150">
        <v>0</v>
      </c>
      <c r="T20" s="163">
        <v>0</v>
      </c>
      <c r="U20" s="157">
        <v>0</v>
      </c>
      <c r="V20" s="25">
        <f t="shared" si="1"/>
        <v>0</v>
      </c>
      <c r="W20" s="3">
        <f t="shared" si="2"/>
        <v>0</v>
      </c>
    </row>
    <row r="21" spans="1:23" s="33" customFormat="1" ht="14.25" customHeight="1" x14ac:dyDescent="0.3">
      <c r="A21" s="86"/>
      <c r="B21" s="89" t="s">
        <v>61</v>
      </c>
      <c r="C21" s="90" t="s">
        <v>83</v>
      </c>
      <c r="D21" s="90" t="s">
        <v>84</v>
      </c>
      <c r="E21" s="90">
        <v>100</v>
      </c>
      <c r="F21" s="91">
        <f t="shared" si="3"/>
        <v>637</v>
      </c>
      <c r="G21" s="89">
        <v>0</v>
      </c>
      <c r="H21" s="90">
        <v>0</v>
      </c>
      <c r="I21" s="142">
        <v>0</v>
      </c>
      <c r="J21" s="158">
        <v>0</v>
      </c>
      <c r="K21" s="144">
        <v>0</v>
      </c>
      <c r="L21" s="144">
        <v>0</v>
      </c>
      <c r="M21" s="52">
        <v>0</v>
      </c>
      <c r="N21" s="148">
        <v>0</v>
      </c>
      <c r="O21" s="146">
        <v>0</v>
      </c>
      <c r="P21" s="147">
        <v>0</v>
      </c>
      <c r="Q21" s="148">
        <v>0</v>
      </c>
      <c r="R21" s="149">
        <v>0</v>
      </c>
      <c r="S21" s="150">
        <v>0</v>
      </c>
      <c r="T21" s="163">
        <v>0</v>
      </c>
      <c r="U21" s="157">
        <v>0</v>
      </c>
      <c r="V21" s="25">
        <f t="shared" si="1"/>
        <v>0</v>
      </c>
      <c r="W21" s="3">
        <f t="shared" si="2"/>
        <v>0</v>
      </c>
    </row>
    <row r="22" spans="1:23" s="33" customFormat="1" ht="14.25" customHeight="1" x14ac:dyDescent="0.3">
      <c r="A22" s="86"/>
      <c r="B22" s="89" t="s">
        <v>62</v>
      </c>
      <c r="C22" s="164" t="s">
        <v>84</v>
      </c>
      <c r="D22" s="164" t="s">
        <v>85</v>
      </c>
      <c r="E22" s="90">
        <v>100</v>
      </c>
      <c r="F22" s="91">
        <f t="shared" si="3"/>
        <v>637</v>
      </c>
      <c r="G22" s="89">
        <v>0</v>
      </c>
      <c r="H22" s="90">
        <v>0</v>
      </c>
      <c r="I22" s="142">
        <v>0</v>
      </c>
      <c r="J22" s="158">
        <v>0</v>
      </c>
      <c r="K22" s="144">
        <v>0</v>
      </c>
      <c r="L22" s="144">
        <v>0</v>
      </c>
      <c r="M22" s="52">
        <v>0</v>
      </c>
      <c r="N22" s="148">
        <v>0</v>
      </c>
      <c r="O22" s="146">
        <v>0</v>
      </c>
      <c r="P22" s="147">
        <v>0</v>
      </c>
      <c r="Q22" s="148">
        <v>0</v>
      </c>
      <c r="R22" s="149">
        <v>0</v>
      </c>
      <c r="S22" s="150">
        <v>0</v>
      </c>
      <c r="T22" s="163">
        <v>0</v>
      </c>
      <c r="U22" s="157">
        <v>0</v>
      </c>
      <c r="V22" s="25">
        <f t="shared" si="1"/>
        <v>0</v>
      </c>
      <c r="W22" s="3">
        <f t="shared" si="2"/>
        <v>0</v>
      </c>
    </row>
    <row r="23" spans="1:23" s="33" customFormat="1" ht="14.25" customHeight="1" x14ac:dyDescent="0.3">
      <c r="A23" s="86"/>
      <c r="B23" s="89" t="s">
        <v>63</v>
      </c>
      <c r="C23" s="90" t="s">
        <v>85</v>
      </c>
      <c r="D23" s="90" t="s">
        <v>86</v>
      </c>
      <c r="E23" s="90">
        <v>100</v>
      </c>
      <c r="F23" s="91">
        <f t="shared" si="3"/>
        <v>637</v>
      </c>
      <c r="G23" s="89">
        <v>0</v>
      </c>
      <c r="H23" s="90">
        <v>0</v>
      </c>
      <c r="I23" s="142">
        <v>0</v>
      </c>
      <c r="J23" s="158">
        <v>0</v>
      </c>
      <c r="K23" s="144">
        <v>0</v>
      </c>
      <c r="L23" s="144">
        <v>0</v>
      </c>
      <c r="M23" s="52">
        <v>0</v>
      </c>
      <c r="N23" s="148">
        <v>0</v>
      </c>
      <c r="O23" s="146">
        <v>0</v>
      </c>
      <c r="P23" s="147">
        <v>0</v>
      </c>
      <c r="Q23" s="148">
        <f>+(4.51*1.1)</f>
        <v>4.9610000000000003</v>
      </c>
      <c r="R23" s="149">
        <v>0</v>
      </c>
      <c r="S23" s="150">
        <v>0</v>
      </c>
      <c r="T23" s="163">
        <v>0</v>
      </c>
      <c r="U23" s="157">
        <v>0</v>
      </c>
      <c r="V23" s="25">
        <f t="shared" si="1"/>
        <v>4.9610000000000003</v>
      </c>
      <c r="W23" s="3">
        <f t="shared" si="2"/>
        <v>2.4134084517456956E-2</v>
      </c>
    </row>
    <row r="24" spans="1:23" s="33" customFormat="1" ht="14.25" customHeight="1" x14ac:dyDescent="0.3">
      <c r="A24" s="86"/>
      <c r="B24" s="89" t="s">
        <v>64</v>
      </c>
      <c r="C24" s="164" t="s">
        <v>86</v>
      </c>
      <c r="D24" s="164" t="s">
        <v>87</v>
      </c>
      <c r="E24" s="90">
        <v>100</v>
      </c>
      <c r="F24" s="91">
        <f t="shared" si="3"/>
        <v>637</v>
      </c>
      <c r="G24" s="89">
        <v>0</v>
      </c>
      <c r="H24" s="90">
        <v>0</v>
      </c>
      <c r="I24" s="142">
        <v>0</v>
      </c>
      <c r="J24" s="158">
        <v>0</v>
      </c>
      <c r="K24" s="144">
        <v>0</v>
      </c>
      <c r="L24" s="144">
        <v>0</v>
      </c>
      <c r="M24" s="52">
        <v>0</v>
      </c>
      <c r="N24" s="148">
        <v>0</v>
      </c>
      <c r="O24" s="146">
        <v>0</v>
      </c>
      <c r="P24" s="147">
        <v>0</v>
      </c>
      <c r="Q24" s="148">
        <f>+(3.74*0.63)+(3.04*1.23)</f>
        <v>6.0953999999999997</v>
      </c>
      <c r="R24" s="149">
        <v>0</v>
      </c>
      <c r="S24" s="150">
        <v>0</v>
      </c>
      <c r="T24" s="163">
        <v>0</v>
      </c>
      <c r="U24" s="157">
        <v>0</v>
      </c>
      <c r="V24" s="25">
        <f t="shared" si="1"/>
        <v>6.0953999999999997</v>
      </c>
      <c r="W24" s="3">
        <f t="shared" si="2"/>
        <v>2.9652670584097381E-2</v>
      </c>
    </row>
    <row r="25" spans="1:23" s="33" customFormat="1" ht="14.25" customHeight="1" x14ac:dyDescent="0.3">
      <c r="A25" s="86"/>
      <c r="B25" s="89" t="s">
        <v>65</v>
      </c>
      <c r="C25" s="90" t="s">
        <v>87</v>
      </c>
      <c r="D25" s="90" t="s">
        <v>88</v>
      </c>
      <c r="E25" s="90">
        <v>100</v>
      </c>
      <c r="F25" s="91">
        <f t="shared" si="3"/>
        <v>637</v>
      </c>
      <c r="G25" s="89">
        <v>0</v>
      </c>
      <c r="H25" s="90">
        <v>0</v>
      </c>
      <c r="I25" s="142">
        <v>0</v>
      </c>
      <c r="J25" s="158">
        <v>0</v>
      </c>
      <c r="K25" s="144">
        <v>0</v>
      </c>
      <c r="L25" s="144">
        <v>0</v>
      </c>
      <c r="M25" s="52">
        <v>0</v>
      </c>
      <c r="N25" s="148">
        <v>0</v>
      </c>
      <c r="O25" s="146">
        <v>0</v>
      </c>
      <c r="P25" s="147">
        <v>0</v>
      </c>
      <c r="Q25" s="148">
        <v>0</v>
      </c>
      <c r="R25" s="149">
        <v>0</v>
      </c>
      <c r="S25" s="150">
        <v>0</v>
      </c>
      <c r="T25" s="163">
        <v>0</v>
      </c>
      <c r="U25" s="157">
        <v>0</v>
      </c>
      <c r="V25" s="25">
        <f t="shared" si="1"/>
        <v>0</v>
      </c>
      <c r="W25" s="3">
        <f t="shared" si="2"/>
        <v>0</v>
      </c>
    </row>
    <row r="26" spans="1:23" s="33" customFormat="1" ht="14.25" customHeight="1" x14ac:dyDescent="0.3">
      <c r="A26" s="86"/>
      <c r="B26" s="89" t="s">
        <v>66</v>
      </c>
      <c r="C26" s="164" t="s">
        <v>88</v>
      </c>
      <c r="D26" s="164" t="s">
        <v>89</v>
      </c>
      <c r="E26" s="90">
        <v>100</v>
      </c>
      <c r="F26" s="91">
        <f t="shared" si="3"/>
        <v>637</v>
      </c>
      <c r="G26" s="89">
        <v>0</v>
      </c>
      <c r="H26" s="90">
        <v>0</v>
      </c>
      <c r="I26" s="142">
        <v>0</v>
      </c>
      <c r="J26" s="158">
        <v>0</v>
      </c>
      <c r="K26" s="144">
        <v>0</v>
      </c>
      <c r="L26" s="144">
        <v>0</v>
      </c>
      <c r="M26" s="52">
        <v>0</v>
      </c>
      <c r="N26" s="148">
        <v>0</v>
      </c>
      <c r="O26" s="146">
        <v>0</v>
      </c>
      <c r="P26" s="147">
        <v>0</v>
      </c>
      <c r="Q26" s="148">
        <v>0</v>
      </c>
      <c r="R26" s="149">
        <v>0</v>
      </c>
      <c r="S26" s="150">
        <v>0</v>
      </c>
      <c r="T26" s="163">
        <v>0</v>
      </c>
      <c r="U26" s="157">
        <v>0</v>
      </c>
      <c r="V26" s="25">
        <f t="shared" si="1"/>
        <v>0</v>
      </c>
      <c r="W26" s="3">
        <f t="shared" si="2"/>
        <v>0</v>
      </c>
    </row>
    <row r="27" spans="1:23" s="33" customFormat="1" ht="14.25" customHeight="1" x14ac:dyDescent="0.3">
      <c r="A27" s="86"/>
      <c r="B27" s="89" t="s">
        <v>67</v>
      </c>
      <c r="C27" s="164" t="s">
        <v>89</v>
      </c>
      <c r="D27" s="90" t="s">
        <v>90</v>
      </c>
      <c r="E27" s="90">
        <v>100</v>
      </c>
      <c r="F27" s="91">
        <f t="shared" si="3"/>
        <v>637</v>
      </c>
      <c r="G27" s="89">
        <v>0</v>
      </c>
      <c r="H27" s="90">
        <v>0</v>
      </c>
      <c r="I27" s="142">
        <v>0</v>
      </c>
      <c r="J27" s="158">
        <v>0</v>
      </c>
      <c r="K27" s="144">
        <v>0</v>
      </c>
      <c r="L27" s="144">
        <v>0</v>
      </c>
      <c r="M27" s="52">
        <v>0</v>
      </c>
      <c r="N27" s="148">
        <v>0</v>
      </c>
      <c r="O27" s="146">
        <v>0</v>
      </c>
      <c r="P27" s="147">
        <v>0</v>
      </c>
      <c r="Q27" s="148">
        <v>0</v>
      </c>
      <c r="R27" s="149">
        <v>0</v>
      </c>
      <c r="S27" s="150">
        <v>0</v>
      </c>
      <c r="T27" s="163">
        <v>0</v>
      </c>
      <c r="U27" s="157">
        <v>0</v>
      </c>
      <c r="V27" s="25">
        <f t="shared" si="1"/>
        <v>0</v>
      </c>
      <c r="W27" s="3">
        <f t="shared" si="2"/>
        <v>0</v>
      </c>
    </row>
    <row r="28" spans="1:23" s="33" customFormat="1" ht="14.25" customHeight="1" x14ac:dyDescent="0.3">
      <c r="A28" s="86"/>
      <c r="B28" s="89" t="s">
        <v>68</v>
      </c>
      <c r="C28" s="90" t="s">
        <v>90</v>
      </c>
      <c r="D28" s="90" t="s">
        <v>91</v>
      </c>
      <c r="E28" s="90">
        <v>100</v>
      </c>
      <c r="F28" s="91">
        <f t="shared" si="3"/>
        <v>637</v>
      </c>
      <c r="G28" s="89">
        <v>0</v>
      </c>
      <c r="H28" s="90">
        <v>0</v>
      </c>
      <c r="I28" s="142">
        <v>0</v>
      </c>
      <c r="J28" s="158">
        <v>0</v>
      </c>
      <c r="K28" s="144">
        <v>0</v>
      </c>
      <c r="L28" s="144">
        <v>0</v>
      </c>
      <c r="M28" s="52">
        <v>0</v>
      </c>
      <c r="N28" s="148">
        <v>0</v>
      </c>
      <c r="O28" s="146">
        <v>0</v>
      </c>
      <c r="P28" s="147">
        <v>0</v>
      </c>
      <c r="Q28" s="148">
        <v>0</v>
      </c>
      <c r="R28" s="149">
        <v>0</v>
      </c>
      <c r="S28" s="150">
        <v>0</v>
      </c>
      <c r="T28" s="163">
        <v>0</v>
      </c>
      <c r="U28" s="157">
        <v>0</v>
      </c>
      <c r="V28" s="25">
        <f t="shared" si="1"/>
        <v>0</v>
      </c>
      <c r="W28" s="3">
        <f t="shared" si="2"/>
        <v>0</v>
      </c>
    </row>
    <row r="29" spans="1:23" s="33" customFormat="1" ht="14.25" customHeight="1" x14ac:dyDescent="0.3">
      <c r="A29" s="86"/>
      <c r="B29" s="89" t="s">
        <v>69</v>
      </c>
      <c r="C29" s="90" t="s">
        <v>91</v>
      </c>
      <c r="D29" s="90" t="s">
        <v>92</v>
      </c>
      <c r="E29" s="90">
        <v>100</v>
      </c>
      <c r="F29" s="91">
        <f t="shared" si="3"/>
        <v>637</v>
      </c>
      <c r="G29" s="89">
        <v>0</v>
      </c>
      <c r="H29" s="90">
        <v>0</v>
      </c>
      <c r="I29" s="142">
        <v>0</v>
      </c>
      <c r="J29" s="158">
        <v>0</v>
      </c>
      <c r="K29" s="144">
        <v>0</v>
      </c>
      <c r="L29" s="144">
        <v>0</v>
      </c>
      <c r="M29" s="52">
        <v>0</v>
      </c>
      <c r="N29" s="148">
        <v>0</v>
      </c>
      <c r="O29" s="146">
        <v>0</v>
      </c>
      <c r="P29" s="147">
        <v>0</v>
      </c>
      <c r="Q29" s="148">
        <v>0</v>
      </c>
      <c r="R29" s="149">
        <v>0</v>
      </c>
      <c r="S29" s="150">
        <v>0</v>
      </c>
      <c r="T29" s="163">
        <v>0</v>
      </c>
      <c r="U29" s="157">
        <v>0</v>
      </c>
      <c r="V29" s="25">
        <f t="shared" si="1"/>
        <v>0</v>
      </c>
      <c r="W29" s="3">
        <f t="shared" si="2"/>
        <v>0</v>
      </c>
    </row>
    <row r="30" spans="1:23" s="33" customFormat="1" ht="14.25" customHeight="1" x14ac:dyDescent="0.3">
      <c r="A30" s="86"/>
      <c r="B30" s="89" t="s">
        <v>70</v>
      </c>
      <c r="C30" s="90" t="s">
        <v>92</v>
      </c>
      <c r="D30" s="90" t="s">
        <v>93</v>
      </c>
      <c r="E30" s="90">
        <v>100</v>
      </c>
      <c r="F30" s="91">
        <f t="shared" si="3"/>
        <v>637</v>
      </c>
      <c r="G30" s="89">
        <v>0</v>
      </c>
      <c r="H30" s="90">
        <v>0</v>
      </c>
      <c r="I30" s="142">
        <v>0</v>
      </c>
      <c r="J30" s="158">
        <v>0</v>
      </c>
      <c r="K30" s="144">
        <v>0</v>
      </c>
      <c r="L30" s="144">
        <v>0</v>
      </c>
      <c r="M30" s="52">
        <v>0</v>
      </c>
      <c r="N30" s="148">
        <v>0</v>
      </c>
      <c r="O30" s="146">
        <v>0</v>
      </c>
      <c r="P30" s="147">
        <v>0</v>
      </c>
      <c r="Q30" s="148">
        <v>0</v>
      </c>
      <c r="R30" s="149">
        <v>0</v>
      </c>
      <c r="S30" s="150">
        <v>0</v>
      </c>
      <c r="T30" s="163">
        <v>0</v>
      </c>
      <c r="U30" s="157">
        <v>0</v>
      </c>
      <c r="V30" s="25">
        <f t="shared" si="1"/>
        <v>0</v>
      </c>
      <c r="W30" s="3">
        <f t="shared" si="2"/>
        <v>0</v>
      </c>
    </row>
    <row r="31" spans="1:23" s="33" customFormat="1" ht="14.25" customHeight="1" x14ac:dyDescent="0.3">
      <c r="A31" s="86"/>
      <c r="B31" s="89" t="s">
        <v>71</v>
      </c>
      <c r="C31" s="90" t="s">
        <v>93</v>
      </c>
      <c r="D31" s="90" t="s">
        <v>94</v>
      </c>
      <c r="E31" s="90">
        <v>100</v>
      </c>
      <c r="F31" s="91">
        <f t="shared" si="3"/>
        <v>637</v>
      </c>
      <c r="G31" s="89">
        <v>0</v>
      </c>
      <c r="H31" s="90">
        <v>0</v>
      </c>
      <c r="I31" s="142">
        <v>0</v>
      </c>
      <c r="J31" s="158">
        <v>0</v>
      </c>
      <c r="K31" s="144">
        <v>0</v>
      </c>
      <c r="L31" s="144">
        <v>0</v>
      </c>
      <c r="M31" s="52">
        <v>0</v>
      </c>
      <c r="N31" s="148">
        <v>0</v>
      </c>
      <c r="O31" s="146">
        <v>0</v>
      </c>
      <c r="P31" s="147">
        <v>0</v>
      </c>
      <c r="Q31" s="148">
        <v>0</v>
      </c>
      <c r="R31" s="149">
        <f>+(8*1.3)</f>
        <v>10.4</v>
      </c>
      <c r="S31" s="150">
        <v>0</v>
      </c>
      <c r="T31" s="163">
        <v>0</v>
      </c>
      <c r="U31" s="157">
        <v>0</v>
      </c>
      <c r="V31" s="25">
        <f t="shared" si="1"/>
        <v>10.4</v>
      </c>
      <c r="W31" s="3">
        <f t="shared" si="2"/>
        <v>5.0593525293600547E-2</v>
      </c>
    </row>
    <row r="32" spans="1:23" s="33" customFormat="1" ht="14.25" customHeight="1" x14ac:dyDescent="0.3">
      <c r="A32" s="86"/>
      <c r="B32" s="89" t="s">
        <v>72</v>
      </c>
      <c r="C32" s="90" t="s">
        <v>94</v>
      </c>
      <c r="D32" s="90" t="s">
        <v>95</v>
      </c>
      <c r="E32" s="90">
        <v>100</v>
      </c>
      <c r="F32" s="91">
        <f t="shared" si="3"/>
        <v>637</v>
      </c>
      <c r="G32" s="89">
        <v>0</v>
      </c>
      <c r="H32" s="90">
        <v>0</v>
      </c>
      <c r="I32" s="142">
        <v>0</v>
      </c>
      <c r="J32" s="158">
        <v>0</v>
      </c>
      <c r="K32" s="144">
        <v>0</v>
      </c>
      <c r="L32" s="144">
        <v>0</v>
      </c>
      <c r="M32" s="52">
        <v>0</v>
      </c>
      <c r="N32" s="148">
        <v>0</v>
      </c>
      <c r="O32" s="146">
        <v>0</v>
      </c>
      <c r="P32" s="147">
        <v>0</v>
      </c>
      <c r="Q32" s="148">
        <f>+(5.2*0.95)</f>
        <v>4.9399999999999995</v>
      </c>
      <c r="R32" s="149">
        <v>0</v>
      </c>
      <c r="S32" s="150">
        <v>0</v>
      </c>
      <c r="T32" s="163">
        <v>0</v>
      </c>
      <c r="U32" s="157">
        <v>0</v>
      </c>
      <c r="V32" s="25">
        <f t="shared" si="1"/>
        <v>4.9399999999999995</v>
      </c>
      <c r="W32" s="3">
        <f t="shared" si="2"/>
        <v>2.4031924514460259E-2</v>
      </c>
    </row>
    <row r="33" spans="1:23" ht="14.25" customHeight="1" x14ac:dyDescent="0.3">
      <c r="B33" s="89" t="s">
        <v>73</v>
      </c>
      <c r="C33" s="90" t="s">
        <v>95</v>
      </c>
      <c r="D33" s="90" t="s">
        <v>96</v>
      </c>
      <c r="E33" s="90">
        <v>100</v>
      </c>
      <c r="F33" s="91">
        <f t="shared" si="3"/>
        <v>637</v>
      </c>
      <c r="G33" s="89">
        <v>0</v>
      </c>
      <c r="H33" s="90">
        <v>0</v>
      </c>
      <c r="I33" s="142">
        <v>0</v>
      </c>
      <c r="J33" s="158">
        <v>0</v>
      </c>
      <c r="K33" s="144">
        <v>0</v>
      </c>
      <c r="L33" s="144">
        <v>0</v>
      </c>
      <c r="M33" s="52">
        <v>0</v>
      </c>
      <c r="N33" s="148">
        <v>0</v>
      </c>
      <c r="O33" s="146">
        <v>0</v>
      </c>
      <c r="P33" s="147">
        <v>0</v>
      </c>
      <c r="Q33" s="148">
        <v>0</v>
      </c>
      <c r="R33" s="149">
        <v>0</v>
      </c>
      <c r="S33" s="150">
        <v>0</v>
      </c>
      <c r="T33" s="163">
        <v>0</v>
      </c>
      <c r="U33" s="157">
        <v>0</v>
      </c>
      <c r="V33" s="25">
        <f t="shared" si="1"/>
        <v>0</v>
      </c>
      <c r="W33" s="3">
        <f t="shared" si="2"/>
        <v>0</v>
      </c>
    </row>
    <row r="34" spans="1:23" ht="14.25" customHeight="1" x14ac:dyDescent="0.3">
      <c r="B34" s="89" t="s">
        <v>74</v>
      </c>
      <c r="C34" s="90" t="s">
        <v>96</v>
      </c>
      <c r="D34" s="90" t="s">
        <v>97</v>
      </c>
      <c r="E34" s="90">
        <v>100</v>
      </c>
      <c r="F34" s="91">
        <f t="shared" si="3"/>
        <v>637</v>
      </c>
      <c r="G34" s="89">
        <v>0</v>
      </c>
      <c r="H34" s="90">
        <v>0</v>
      </c>
      <c r="I34" s="142">
        <f>+(23.4*0.6)</f>
        <v>14.04</v>
      </c>
      <c r="J34" s="158">
        <v>0</v>
      </c>
      <c r="K34" s="144">
        <v>0</v>
      </c>
      <c r="L34" s="144">
        <v>0</v>
      </c>
      <c r="M34" s="52">
        <v>0</v>
      </c>
      <c r="N34" s="148">
        <v>0</v>
      </c>
      <c r="O34" s="146">
        <v>0</v>
      </c>
      <c r="P34" s="147">
        <v>0</v>
      </c>
      <c r="Q34" s="148">
        <v>0</v>
      </c>
      <c r="R34" s="149">
        <v>0</v>
      </c>
      <c r="S34" s="150">
        <v>0</v>
      </c>
      <c r="T34" s="163">
        <v>0</v>
      </c>
      <c r="U34" s="157">
        <v>0</v>
      </c>
      <c r="V34" s="25">
        <f t="shared" si="1"/>
        <v>14.04</v>
      </c>
      <c r="W34" s="3">
        <f t="shared" si="2"/>
        <v>6.8301259146360732E-2</v>
      </c>
    </row>
    <row r="35" spans="1:23" s="33" customFormat="1" ht="14.25" customHeight="1" x14ac:dyDescent="0.3">
      <c r="A35" s="86"/>
      <c r="B35" s="89" t="s">
        <v>75</v>
      </c>
      <c r="C35" s="90" t="s">
        <v>97</v>
      </c>
      <c r="D35" s="90" t="s">
        <v>98</v>
      </c>
      <c r="E35" s="90">
        <v>100</v>
      </c>
      <c r="F35" s="91">
        <f t="shared" si="3"/>
        <v>637</v>
      </c>
      <c r="G35" s="89">
        <v>0</v>
      </c>
      <c r="H35" s="90">
        <v>0</v>
      </c>
      <c r="I35" s="142">
        <v>0</v>
      </c>
      <c r="J35" s="158">
        <v>0</v>
      </c>
      <c r="K35" s="144">
        <v>0</v>
      </c>
      <c r="L35" s="144">
        <v>0</v>
      </c>
      <c r="M35" s="52">
        <v>0</v>
      </c>
      <c r="N35" s="148">
        <v>0</v>
      </c>
      <c r="O35" s="146">
        <v>0</v>
      </c>
      <c r="P35" s="147">
        <v>0</v>
      </c>
      <c r="Q35" s="148">
        <v>0</v>
      </c>
      <c r="R35" s="146">
        <v>0</v>
      </c>
      <c r="S35" s="150">
        <v>0</v>
      </c>
      <c r="T35" s="163">
        <v>0</v>
      </c>
      <c r="U35" s="157">
        <v>0</v>
      </c>
      <c r="V35" s="25">
        <f t="shared" si="1"/>
        <v>0</v>
      </c>
      <c r="W35" s="3">
        <f t="shared" si="2"/>
        <v>0</v>
      </c>
    </row>
    <row r="36" spans="1:23" s="33" customFormat="1" ht="14.25" customHeight="1" x14ac:dyDescent="0.3">
      <c r="A36" s="86"/>
      <c r="B36" s="89" t="s">
        <v>76</v>
      </c>
      <c r="C36" s="90" t="s">
        <v>98</v>
      </c>
      <c r="D36" s="90" t="s">
        <v>99</v>
      </c>
      <c r="E36" s="90">
        <v>100</v>
      </c>
      <c r="F36" s="91">
        <f t="shared" si="3"/>
        <v>637</v>
      </c>
      <c r="G36" s="89">
        <v>0</v>
      </c>
      <c r="H36" s="90">
        <v>0</v>
      </c>
      <c r="I36" s="142">
        <v>0</v>
      </c>
      <c r="J36" s="158">
        <v>0</v>
      </c>
      <c r="K36" s="144">
        <v>0</v>
      </c>
      <c r="L36" s="144">
        <v>0</v>
      </c>
      <c r="M36" s="52">
        <v>0</v>
      </c>
      <c r="N36" s="148">
        <v>0</v>
      </c>
      <c r="O36" s="146">
        <v>0</v>
      </c>
      <c r="P36" s="147">
        <v>0</v>
      </c>
      <c r="Q36" s="148">
        <v>0</v>
      </c>
      <c r="R36" s="146">
        <v>0</v>
      </c>
      <c r="S36" s="150">
        <v>0</v>
      </c>
      <c r="T36" s="163">
        <v>0</v>
      </c>
      <c r="U36" s="157">
        <v>0</v>
      </c>
      <c r="V36" s="25">
        <f t="shared" si="1"/>
        <v>0</v>
      </c>
      <c r="W36" s="3">
        <f t="shared" si="2"/>
        <v>0</v>
      </c>
    </row>
    <row r="37" spans="1:23" s="33" customFormat="1" ht="14.25" customHeight="1" x14ac:dyDescent="0.3">
      <c r="A37" s="86"/>
      <c r="B37" s="89" t="s">
        <v>77</v>
      </c>
      <c r="C37" s="90" t="s">
        <v>99</v>
      </c>
      <c r="D37" s="90" t="s">
        <v>100</v>
      </c>
      <c r="E37" s="90">
        <v>100</v>
      </c>
      <c r="F37" s="91">
        <f t="shared" si="3"/>
        <v>637</v>
      </c>
      <c r="G37" s="89">
        <v>0</v>
      </c>
      <c r="H37" s="90">
        <v>0</v>
      </c>
      <c r="I37" s="142">
        <v>0</v>
      </c>
      <c r="J37" s="158">
        <v>0</v>
      </c>
      <c r="K37" s="144">
        <v>0</v>
      </c>
      <c r="L37" s="144">
        <v>0</v>
      </c>
      <c r="M37" s="52">
        <v>0</v>
      </c>
      <c r="N37" s="148">
        <v>0</v>
      </c>
      <c r="O37" s="146">
        <v>0</v>
      </c>
      <c r="P37" s="147">
        <v>0</v>
      </c>
      <c r="Q37" s="148">
        <v>0</v>
      </c>
      <c r="R37" s="149">
        <v>0</v>
      </c>
      <c r="S37" s="150">
        <v>0</v>
      </c>
      <c r="T37" s="163">
        <v>0</v>
      </c>
      <c r="U37" s="157">
        <v>0</v>
      </c>
      <c r="V37" s="25">
        <f t="shared" si="1"/>
        <v>0</v>
      </c>
      <c r="W37" s="3">
        <f t="shared" si="2"/>
        <v>0</v>
      </c>
    </row>
    <row r="38" spans="1:23" s="33" customFormat="1" ht="14.25" customHeight="1" x14ac:dyDescent="0.3">
      <c r="A38" s="86"/>
      <c r="B38" s="89" t="s">
        <v>78</v>
      </c>
      <c r="C38" s="90" t="s">
        <v>100</v>
      </c>
      <c r="D38" s="90" t="s">
        <v>101</v>
      </c>
      <c r="E38" s="90">
        <v>100</v>
      </c>
      <c r="F38" s="91">
        <f t="shared" si="3"/>
        <v>637</v>
      </c>
      <c r="G38" s="89">
        <v>0</v>
      </c>
      <c r="H38" s="90">
        <v>0</v>
      </c>
      <c r="I38" s="142">
        <v>0</v>
      </c>
      <c r="J38" s="158">
        <v>0</v>
      </c>
      <c r="K38" s="144">
        <v>0</v>
      </c>
      <c r="L38" s="144">
        <v>0</v>
      </c>
      <c r="M38" s="52">
        <v>0</v>
      </c>
      <c r="N38" s="148">
        <v>0</v>
      </c>
      <c r="O38" s="146">
        <v>0</v>
      </c>
      <c r="P38" s="147">
        <v>0</v>
      </c>
      <c r="Q38" s="148">
        <v>0</v>
      </c>
      <c r="R38" s="149">
        <v>0</v>
      </c>
      <c r="S38" s="150">
        <v>0</v>
      </c>
      <c r="T38" s="163">
        <v>0</v>
      </c>
      <c r="U38" s="157">
        <v>0</v>
      </c>
      <c r="V38" s="25">
        <f t="shared" si="1"/>
        <v>0</v>
      </c>
      <c r="W38" s="3">
        <f t="shared" si="2"/>
        <v>0</v>
      </c>
    </row>
    <row r="39" spans="1:23" s="33" customFormat="1" ht="14.25" customHeight="1" x14ac:dyDescent="0.3">
      <c r="A39" s="86"/>
      <c r="B39" s="89" t="s">
        <v>79</v>
      </c>
      <c r="C39" s="90" t="s">
        <v>101</v>
      </c>
      <c r="D39" s="90" t="s">
        <v>102</v>
      </c>
      <c r="E39" s="90">
        <v>100</v>
      </c>
      <c r="F39" s="91">
        <f t="shared" si="3"/>
        <v>637</v>
      </c>
      <c r="G39" s="89">
        <v>0</v>
      </c>
      <c r="H39" s="90">
        <v>0</v>
      </c>
      <c r="I39" s="142">
        <v>0</v>
      </c>
      <c r="J39" s="158">
        <v>0</v>
      </c>
      <c r="K39" s="144">
        <v>0</v>
      </c>
      <c r="L39" s="144">
        <v>0</v>
      </c>
      <c r="M39" s="52">
        <v>0</v>
      </c>
      <c r="N39" s="148">
        <v>0</v>
      </c>
      <c r="O39" s="146">
        <v>0</v>
      </c>
      <c r="P39" s="147">
        <v>0</v>
      </c>
      <c r="Q39" s="148">
        <v>0</v>
      </c>
      <c r="R39" s="149">
        <v>0</v>
      </c>
      <c r="S39" s="150">
        <v>0</v>
      </c>
      <c r="T39" s="163">
        <v>0</v>
      </c>
      <c r="U39" s="157">
        <v>0</v>
      </c>
      <c r="V39" s="25">
        <f t="shared" si="1"/>
        <v>0</v>
      </c>
      <c r="W39" s="3">
        <f t="shared" si="2"/>
        <v>0</v>
      </c>
    </row>
    <row r="40" spans="1:23" s="33" customFormat="1" ht="14.25" customHeight="1" x14ac:dyDescent="0.3">
      <c r="A40" s="86"/>
      <c r="B40" s="89" t="s">
        <v>80</v>
      </c>
      <c r="C40" s="90" t="s">
        <v>102</v>
      </c>
      <c r="D40" s="90" t="s">
        <v>103</v>
      </c>
      <c r="E40" s="90">
        <v>100</v>
      </c>
      <c r="F40" s="91">
        <f t="shared" si="3"/>
        <v>637</v>
      </c>
      <c r="G40" s="89">
        <v>0</v>
      </c>
      <c r="H40" s="90">
        <v>0</v>
      </c>
      <c r="I40" s="142">
        <v>0</v>
      </c>
      <c r="J40" s="158">
        <v>0</v>
      </c>
      <c r="K40" s="144">
        <v>0</v>
      </c>
      <c r="L40" s="144">
        <v>0</v>
      </c>
      <c r="M40" s="52">
        <v>0</v>
      </c>
      <c r="N40" s="148">
        <v>0</v>
      </c>
      <c r="O40" s="146">
        <v>0</v>
      </c>
      <c r="P40" s="147">
        <v>0</v>
      </c>
      <c r="Q40" s="148">
        <v>0</v>
      </c>
      <c r="R40" s="149">
        <v>0</v>
      </c>
      <c r="S40" s="150">
        <v>0</v>
      </c>
      <c r="T40" s="163">
        <v>0</v>
      </c>
      <c r="U40" s="157">
        <v>0</v>
      </c>
      <c r="V40" s="25">
        <f t="shared" si="1"/>
        <v>0</v>
      </c>
      <c r="W40" s="3">
        <f t="shared" si="2"/>
        <v>0</v>
      </c>
    </row>
    <row r="41" spans="1:23" s="33" customFormat="1" ht="14.25" customHeight="1" x14ac:dyDescent="0.3">
      <c r="A41" s="86"/>
      <c r="B41" s="89" t="s">
        <v>81</v>
      </c>
      <c r="C41" s="90" t="s">
        <v>103</v>
      </c>
      <c r="D41" s="90" t="s">
        <v>104</v>
      </c>
      <c r="E41" s="90">
        <v>100</v>
      </c>
      <c r="F41" s="91">
        <f t="shared" si="3"/>
        <v>637</v>
      </c>
      <c r="G41" s="89">
        <v>0</v>
      </c>
      <c r="H41" s="90">
        <v>0</v>
      </c>
      <c r="I41" s="142">
        <v>0</v>
      </c>
      <c r="J41" s="158">
        <v>0</v>
      </c>
      <c r="K41" s="144">
        <v>0</v>
      </c>
      <c r="L41" s="144">
        <v>0</v>
      </c>
      <c r="M41" s="52">
        <v>0</v>
      </c>
      <c r="N41" s="148">
        <v>0</v>
      </c>
      <c r="O41" s="146">
        <v>0</v>
      </c>
      <c r="P41" s="147">
        <v>0</v>
      </c>
      <c r="Q41" s="148">
        <v>0</v>
      </c>
      <c r="R41" s="149">
        <v>0</v>
      </c>
      <c r="S41" s="150">
        <v>0</v>
      </c>
      <c r="T41" s="163">
        <v>0</v>
      </c>
      <c r="U41" s="157">
        <v>0</v>
      </c>
      <c r="V41" s="25">
        <f t="shared" si="1"/>
        <v>0</v>
      </c>
      <c r="W41" s="3">
        <f t="shared" si="2"/>
        <v>0</v>
      </c>
    </row>
    <row r="42" spans="1:23" s="33" customFormat="1" ht="14.25" customHeight="1" thickBot="1" x14ac:dyDescent="0.35">
      <c r="A42" s="86"/>
      <c r="B42" s="89" t="s">
        <v>82</v>
      </c>
      <c r="C42" s="90" t="s">
        <v>104</v>
      </c>
      <c r="D42" s="90" t="s">
        <v>105</v>
      </c>
      <c r="E42" s="90">
        <v>27</v>
      </c>
      <c r="F42" s="91">
        <f t="shared" si="3"/>
        <v>171.99</v>
      </c>
      <c r="G42" s="89">
        <v>0</v>
      </c>
      <c r="H42" s="90">
        <v>0</v>
      </c>
      <c r="I42" s="142">
        <v>0</v>
      </c>
      <c r="J42" s="158">
        <v>0</v>
      </c>
      <c r="K42" s="144">
        <v>0</v>
      </c>
      <c r="L42" s="144">
        <v>0</v>
      </c>
      <c r="M42" s="52">
        <v>0</v>
      </c>
      <c r="N42" s="148">
        <v>0</v>
      </c>
      <c r="O42" s="146">
        <v>0</v>
      </c>
      <c r="P42" s="147">
        <v>0</v>
      </c>
      <c r="Q42" s="148">
        <v>0</v>
      </c>
      <c r="R42" s="149">
        <v>0</v>
      </c>
      <c r="S42" s="150">
        <v>0</v>
      </c>
      <c r="T42" s="163">
        <v>0</v>
      </c>
      <c r="U42" s="157">
        <v>0</v>
      </c>
      <c r="V42" s="25">
        <f t="shared" si="1"/>
        <v>0</v>
      </c>
      <c r="W42" s="3">
        <f t="shared" si="2"/>
        <v>0</v>
      </c>
    </row>
    <row r="43" spans="1:23" ht="14.25" customHeight="1" thickBot="1" x14ac:dyDescent="0.35">
      <c r="B43" s="357" t="s">
        <v>38</v>
      </c>
      <c r="C43" s="226"/>
      <c r="D43" s="358"/>
      <c r="E43" s="26"/>
      <c r="F43" s="27">
        <f>SUM(F10:F42)</f>
        <v>20555.990000000002</v>
      </c>
      <c r="G43" s="28"/>
      <c r="H43" s="29"/>
      <c r="I43" s="40"/>
      <c r="J43" s="38"/>
      <c r="K43" s="39"/>
      <c r="L43" s="39"/>
      <c r="M43" s="52"/>
      <c r="N43" s="53"/>
      <c r="O43" s="54"/>
      <c r="P43" s="43"/>
      <c r="Q43" s="49"/>
      <c r="R43" s="48"/>
      <c r="S43" s="51"/>
      <c r="T43" s="42"/>
      <c r="U43" s="41"/>
      <c r="V43" s="87">
        <f>SUM(V10:V42)</f>
        <v>89.230400000000003</v>
      </c>
      <c r="W43" s="87">
        <f>SUM(W10:W42)</f>
        <v>0.43408466339981677</v>
      </c>
    </row>
    <row r="44" spans="1:23" ht="14.25" customHeight="1" thickBot="1" x14ac:dyDescent="0.35">
      <c r="B44" s="270"/>
      <c r="C44" s="271"/>
      <c r="D44" s="271"/>
      <c r="E44" s="271"/>
      <c r="F44" s="271"/>
      <c r="G44" s="271"/>
      <c r="H44" s="271"/>
      <c r="I44" s="271"/>
      <c r="M44" s="50"/>
      <c r="N44" s="50"/>
      <c r="Q44" s="50"/>
      <c r="R44" s="50"/>
      <c r="U44" s="1"/>
      <c r="V44" s="1"/>
      <c r="W44" s="1"/>
    </row>
    <row r="45" spans="1:23" ht="14.25" customHeight="1" x14ac:dyDescent="0.3">
      <c r="B45" s="272" t="s">
        <v>39</v>
      </c>
      <c r="C45" s="258"/>
      <c r="D45" s="258"/>
      <c r="E45" s="258"/>
      <c r="F45" s="273"/>
      <c r="G45" s="30">
        <f t="shared" ref="G45:U45" si="4">SUM(G10:G42)</f>
        <v>0</v>
      </c>
      <c r="H45" s="30">
        <f t="shared" si="4"/>
        <v>30</v>
      </c>
      <c r="I45" s="30">
        <f t="shared" si="4"/>
        <v>14.04</v>
      </c>
      <c r="J45" s="30">
        <f t="shared" si="4"/>
        <v>0</v>
      </c>
      <c r="K45" s="30">
        <f t="shared" si="4"/>
        <v>0</v>
      </c>
      <c r="L45" s="30">
        <f t="shared" si="4"/>
        <v>2.0299999999999998</v>
      </c>
      <c r="M45" s="30">
        <f t="shared" si="4"/>
        <v>0</v>
      </c>
      <c r="N45" s="30">
        <f t="shared" si="4"/>
        <v>0</v>
      </c>
      <c r="O45" s="30">
        <f t="shared" si="4"/>
        <v>7.9560000000000004</v>
      </c>
      <c r="P45" s="30">
        <f t="shared" si="4"/>
        <v>0</v>
      </c>
      <c r="Q45" s="30">
        <f t="shared" si="4"/>
        <v>15.9964</v>
      </c>
      <c r="R45" s="30">
        <f t="shared" si="4"/>
        <v>10.4</v>
      </c>
      <c r="S45" s="30">
        <f t="shared" si="4"/>
        <v>0</v>
      </c>
      <c r="T45" s="30">
        <f t="shared" si="4"/>
        <v>8.8079999999999998</v>
      </c>
      <c r="U45" s="30">
        <f t="shared" si="4"/>
        <v>0</v>
      </c>
      <c r="V45" s="55"/>
    </row>
    <row r="46" spans="1:23" ht="14.25" customHeight="1" x14ac:dyDescent="0.3">
      <c r="B46" s="274" t="s">
        <v>40</v>
      </c>
      <c r="C46" s="223"/>
      <c r="D46" s="223"/>
      <c r="E46" s="223"/>
      <c r="F46" s="224"/>
      <c r="G46" s="274">
        <f>G45+H45+I45</f>
        <v>44.04</v>
      </c>
      <c r="H46" s="223"/>
      <c r="I46" s="224"/>
      <c r="J46" s="274">
        <f t="shared" ref="J46" si="5">J45+K45+L45</f>
        <v>2.0299999999999998</v>
      </c>
      <c r="K46" s="223"/>
      <c r="L46" s="224"/>
      <c r="M46" s="274">
        <f t="shared" ref="M46" si="6">M45+N45+O45</f>
        <v>7.9560000000000004</v>
      </c>
      <c r="N46" s="223"/>
      <c r="O46" s="224"/>
      <c r="P46" s="274">
        <f t="shared" ref="P46" si="7">P45+Q45+R45</f>
        <v>26.3964</v>
      </c>
      <c r="Q46" s="223"/>
      <c r="R46" s="224"/>
      <c r="S46" s="274">
        <f t="shared" ref="S46" si="8">S45+T45+U45</f>
        <v>8.8079999999999998</v>
      </c>
      <c r="T46" s="223"/>
      <c r="U46" s="224"/>
      <c r="V46" s="1"/>
      <c r="W46" s="1"/>
    </row>
    <row r="47" spans="1:23" ht="14.25" customHeight="1" x14ac:dyDescent="0.3">
      <c r="B47" s="279" t="s">
        <v>41</v>
      </c>
      <c r="C47" s="223"/>
      <c r="D47" s="223"/>
      <c r="E47" s="223"/>
      <c r="F47" s="224"/>
      <c r="G47" s="22">
        <f t="shared" ref="G47:U47" si="9">(G45/$F$43)*100</f>
        <v>0</v>
      </c>
      <c r="H47" s="22">
        <f t="shared" si="9"/>
        <v>0.14594286142384774</v>
      </c>
      <c r="I47" s="22">
        <f t="shared" si="9"/>
        <v>6.8301259146360732E-2</v>
      </c>
      <c r="J47" s="22">
        <f t="shared" si="9"/>
        <v>0</v>
      </c>
      <c r="K47" s="22">
        <f t="shared" si="9"/>
        <v>0</v>
      </c>
      <c r="L47" s="22">
        <f t="shared" si="9"/>
        <v>9.8754669563470288E-3</v>
      </c>
      <c r="M47" s="22">
        <f t="shared" si="9"/>
        <v>0</v>
      </c>
      <c r="N47" s="22">
        <f t="shared" si="9"/>
        <v>0</v>
      </c>
      <c r="O47" s="22">
        <f t="shared" si="9"/>
        <v>3.870404684960442E-2</v>
      </c>
      <c r="P47" s="22">
        <f t="shared" si="9"/>
        <v>0</v>
      </c>
      <c r="Q47" s="22">
        <f t="shared" si="9"/>
        <v>7.7818679616014588E-2</v>
      </c>
      <c r="R47" s="22">
        <f t="shared" si="9"/>
        <v>5.0593525293600547E-2</v>
      </c>
      <c r="S47" s="22">
        <f t="shared" si="9"/>
        <v>0</v>
      </c>
      <c r="T47" s="22">
        <f t="shared" si="9"/>
        <v>4.2848824114041693E-2</v>
      </c>
      <c r="U47" s="22">
        <f t="shared" si="9"/>
        <v>0</v>
      </c>
      <c r="V47" s="55"/>
    </row>
    <row r="48" spans="1:23" ht="14.25" customHeight="1" thickBot="1" x14ac:dyDescent="0.35">
      <c r="B48" s="280" t="s">
        <v>42</v>
      </c>
      <c r="C48" s="226"/>
      <c r="D48" s="226"/>
      <c r="E48" s="226"/>
      <c r="F48" s="227"/>
      <c r="G48" s="225">
        <f>(G46/$F$43)*100</f>
        <v>0.21424412057020847</v>
      </c>
      <c r="H48" s="226"/>
      <c r="I48" s="227"/>
      <c r="J48" s="225">
        <f t="shared" ref="J48" si="10">(J46/$F$43)*100</f>
        <v>9.8754669563470288E-3</v>
      </c>
      <c r="K48" s="226"/>
      <c r="L48" s="227"/>
      <c r="M48" s="225">
        <f t="shared" ref="M48" si="11">(M46/$F$43)*100</f>
        <v>3.870404684960442E-2</v>
      </c>
      <c r="N48" s="226"/>
      <c r="O48" s="227"/>
      <c r="P48" s="225">
        <f t="shared" ref="P48" si="12">(P46/$F$43)*100</f>
        <v>0.12841220490961514</v>
      </c>
      <c r="Q48" s="226"/>
      <c r="R48" s="227"/>
      <c r="S48" s="225">
        <f t="shared" ref="S48" si="13">(S46/$F$43)*100</f>
        <v>4.2848824114041693E-2</v>
      </c>
      <c r="T48" s="226"/>
      <c r="U48" s="227"/>
      <c r="V48" s="31"/>
      <c r="W48" s="31"/>
    </row>
    <row r="49" spans="2:8" ht="14.25" customHeight="1" thickBot="1" x14ac:dyDescent="0.3"/>
    <row r="50" spans="2:8" ht="14.25" customHeight="1" thickBot="1" x14ac:dyDescent="0.35">
      <c r="B50" s="23" t="s">
        <v>43</v>
      </c>
      <c r="C50" s="347">
        <v>1</v>
      </c>
      <c r="D50" s="233"/>
      <c r="E50" s="348" t="s">
        <v>44</v>
      </c>
      <c r="F50" s="233"/>
      <c r="G50" s="165">
        <v>6.37</v>
      </c>
      <c r="H50" s="23" t="s">
        <v>45</v>
      </c>
    </row>
    <row r="51" spans="2:8" ht="14.25" customHeight="1" thickBot="1" x14ac:dyDescent="0.35">
      <c r="B51" s="23" t="s">
        <v>46</v>
      </c>
      <c r="C51" s="347">
        <v>2</v>
      </c>
      <c r="D51" s="233"/>
      <c r="E51" s="348" t="s">
        <v>47</v>
      </c>
      <c r="F51" s="233"/>
      <c r="G51" s="165">
        <v>0.6</v>
      </c>
      <c r="H51" s="23" t="s">
        <v>45</v>
      </c>
    </row>
    <row r="52" spans="2:8" ht="14.25" customHeight="1" x14ac:dyDescent="0.25"/>
    <row r="53" spans="2:8" ht="14.25" customHeight="1" x14ac:dyDescent="0.25"/>
    <row r="54" spans="2:8" ht="14.25" customHeight="1" x14ac:dyDescent="0.25"/>
    <row r="55" spans="2:8" ht="14.25" customHeight="1" x14ac:dyDescent="0.25"/>
    <row r="56" spans="2:8" ht="14.25" customHeight="1" x14ac:dyDescent="0.25"/>
    <row r="57" spans="2:8" ht="14.25" customHeight="1" x14ac:dyDescent="0.25"/>
    <row r="58" spans="2:8" ht="14.25" customHeight="1" x14ac:dyDescent="0.25"/>
    <row r="59" spans="2:8" ht="14.25" customHeight="1" x14ac:dyDescent="0.25"/>
    <row r="60" spans="2:8" ht="14.25" customHeight="1" x14ac:dyDescent="0.25"/>
    <row r="61" spans="2:8" ht="14.25" customHeight="1" x14ac:dyDescent="0.25"/>
    <row r="62" spans="2:8" ht="14.25" customHeight="1" x14ac:dyDescent="0.25"/>
    <row r="63" spans="2:8" ht="14.25" customHeight="1" x14ac:dyDescent="0.25"/>
    <row r="64" spans="2:8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spans="8:23" ht="14.25" customHeight="1" x14ac:dyDescent="0.25"/>
    <row r="82" spans="8:23" ht="14.25" customHeight="1" x14ac:dyDescent="0.25"/>
    <row r="83" spans="8:23" ht="14.25" customHeight="1" x14ac:dyDescent="0.25"/>
    <row r="84" spans="8:23" ht="14.25" customHeight="1" x14ac:dyDescent="0.25"/>
    <row r="85" spans="8:23" ht="14.25" customHeight="1" x14ac:dyDescent="0.3">
      <c r="H85" s="32"/>
      <c r="V85" s="32"/>
      <c r="W85" s="32"/>
    </row>
    <row r="86" spans="8:23" ht="14.25" customHeight="1" x14ac:dyDescent="0.25"/>
    <row r="87" spans="8:23" ht="14.25" customHeight="1" x14ac:dyDescent="0.25"/>
    <row r="88" spans="8:23" ht="14.25" customHeight="1" x14ac:dyDescent="0.3">
      <c r="H88" s="32"/>
    </row>
    <row r="89" spans="8:23" ht="14.25" customHeight="1" x14ac:dyDescent="0.3"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</row>
    <row r="90" spans="8:23" ht="14.25" customHeight="1" x14ac:dyDescent="0.25"/>
    <row r="91" spans="8:23" ht="14.25" customHeight="1" x14ac:dyDescent="0.25"/>
    <row r="92" spans="8:23" ht="14.25" customHeight="1" x14ac:dyDescent="0.25"/>
    <row r="93" spans="8:23" ht="14.25" customHeight="1" x14ac:dyDescent="0.25"/>
    <row r="94" spans="8:23" ht="14.25" customHeight="1" x14ac:dyDescent="0.25"/>
    <row r="95" spans="8:23" ht="14.25" customHeight="1" x14ac:dyDescent="0.25"/>
    <row r="96" spans="8:23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  <row r="1001" ht="14.25" customHeight="1" x14ac:dyDescent="0.25"/>
    <row r="1002" ht="14.25" customHeight="1" x14ac:dyDescent="0.25"/>
    <row r="1003" ht="14.25" customHeight="1" x14ac:dyDescent="0.25"/>
    <row r="1004" ht="14.25" customHeight="1" x14ac:dyDescent="0.25"/>
    <row r="1005" ht="14.25" customHeight="1" x14ac:dyDescent="0.25"/>
    <row r="1006" ht="14.25" customHeight="1" x14ac:dyDescent="0.25"/>
    <row r="1007" ht="14.25" customHeight="1" x14ac:dyDescent="0.25"/>
    <row r="1008" ht="14.25" customHeight="1" x14ac:dyDescent="0.25"/>
    <row r="1009" ht="14.25" customHeight="1" x14ac:dyDescent="0.25"/>
    <row r="1010" ht="14.25" customHeight="1" x14ac:dyDescent="0.25"/>
    <row r="1011" ht="14.25" customHeight="1" x14ac:dyDescent="0.25"/>
    <row r="1012" ht="14.25" customHeight="1" x14ac:dyDescent="0.25"/>
    <row r="1013" ht="14.25" customHeight="1" x14ac:dyDescent="0.25"/>
    <row r="1014" ht="14.25" customHeight="1" x14ac:dyDescent="0.25"/>
    <row r="1015" ht="14.25" customHeight="1" x14ac:dyDescent="0.25"/>
    <row r="1016" ht="14.25" customHeight="1" x14ac:dyDescent="0.25"/>
    <row r="1017" ht="14.25" customHeight="1" x14ac:dyDescent="0.25"/>
    <row r="1018" ht="14.25" customHeight="1" x14ac:dyDescent="0.25"/>
    <row r="1019" ht="14.25" customHeight="1" x14ac:dyDescent="0.25"/>
    <row r="1020" ht="14.25" customHeight="1" x14ac:dyDescent="0.25"/>
    <row r="1021" ht="14.25" customHeight="1" x14ac:dyDescent="0.25"/>
    <row r="1022" ht="14.25" customHeight="1" x14ac:dyDescent="0.25"/>
    <row r="1023" ht="14.25" customHeight="1" x14ac:dyDescent="0.25"/>
    <row r="1024" ht="14.25" customHeight="1" x14ac:dyDescent="0.25"/>
    <row r="1025" ht="14.25" customHeight="1" x14ac:dyDescent="0.25"/>
  </sheetData>
  <mergeCells count="33">
    <mergeCell ref="B47:F47"/>
    <mergeCell ref="S8:U8"/>
    <mergeCell ref="J8:L8"/>
    <mergeCell ref="M8:O8"/>
    <mergeCell ref="B43:D43"/>
    <mergeCell ref="B44:I44"/>
    <mergeCell ref="B45:F45"/>
    <mergeCell ref="B46:F46"/>
    <mergeCell ref="G46:I46"/>
    <mergeCell ref="P8:R8"/>
    <mergeCell ref="J46:L46"/>
    <mergeCell ref="S46:U46"/>
    <mergeCell ref="B8:B9"/>
    <mergeCell ref="B48:F48"/>
    <mergeCell ref="G48:I48"/>
    <mergeCell ref="C50:D50"/>
    <mergeCell ref="E50:F50"/>
    <mergeCell ref="C51:D51"/>
    <mergeCell ref="E51:F51"/>
    <mergeCell ref="B6:C6"/>
    <mergeCell ref="B7:W7"/>
    <mergeCell ref="E8:E9"/>
    <mergeCell ref="F8:F9"/>
    <mergeCell ref="G8:I8"/>
    <mergeCell ref="V8:V9"/>
    <mergeCell ref="W8:W9"/>
    <mergeCell ref="C8:D8"/>
    <mergeCell ref="S48:U48"/>
    <mergeCell ref="J48:L48"/>
    <mergeCell ref="M46:O46"/>
    <mergeCell ref="M48:O48"/>
    <mergeCell ref="P46:R46"/>
    <mergeCell ref="P48:R48"/>
  </mergeCells>
  <pageMargins left="0.7" right="0.7" top="0.75" bottom="0.75" header="0" footer="0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1020"/>
  <sheetViews>
    <sheetView showGridLines="0" zoomScale="55" zoomScaleNormal="55" workbookViewId="0">
      <selection activeCell="U45" sqref="U45"/>
    </sheetView>
  </sheetViews>
  <sheetFormatPr baseColWidth="10" defaultColWidth="12.59765625" defaultRowHeight="15" customHeight="1" x14ac:dyDescent="0.25"/>
  <cols>
    <col min="1" max="1" width="5.8984375" style="88" customWidth="1"/>
    <col min="2" max="2" width="9.69921875" style="88" customWidth="1"/>
    <col min="3" max="4" width="10.69921875" style="88" customWidth="1"/>
    <col min="5" max="6" width="16.69921875" style="88" customWidth="1"/>
    <col min="7" max="16" width="9.3984375" style="88" customWidth="1"/>
    <col min="17" max="17" width="12.69921875" style="88" customWidth="1"/>
    <col min="18" max="16384" width="12.59765625" style="88"/>
  </cols>
  <sheetData>
    <row r="1" spans="2:17" s="166" customFormat="1" ht="15" customHeight="1" x14ac:dyDescent="0.25"/>
    <row r="2" spans="2:17" s="166" customFormat="1" ht="15" customHeight="1" x14ac:dyDescent="0.25"/>
    <row r="3" spans="2:17" s="166" customFormat="1" ht="15" customHeight="1" x14ac:dyDescent="0.25"/>
    <row r="4" spans="2:17" s="166" customFormat="1" ht="15" customHeight="1" x14ac:dyDescent="0.25"/>
    <row r="5" spans="2:17" s="166" customFormat="1" ht="15" customHeight="1" x14ac:dyDescent="0.25"/>
    <row r="6" spans="2:17" ht="19.8" customHeight="1" thickBot="1" x14ac:dyDescent="0.35">
      <c r="B6" s="300"/>
      <c r="C6" s="301"/>
      <c r="D6" s="1"/>
    </row>
    <row r="7" spans="2:17" ht="20.399999999999999" customHeight="1" thickBot="1" x14ac:dyDescent="0.3">
      <c r="B7" s="362" t="s">
        <v>141</v>
      </c>
      <c r="C7" s="363"/>
      <c r="D7" s="363"/>
      <c r="E7" s="363"/>
      <c r="F7" s="363"/>
      <c r="G7" s="363"/>
      <c r="H7" s="363"/>
      <c r="I7" s="363"/>
      <c r="J7" s="363"/>
      <c r="K7" s="363"/>
      <c r="L7" s="363"/>
      <c r="M7" s="363"/>
      <c r="N7" s="363"/>
      <c r="O7" s="363"/>
      <c r="P7" s="363"/>
      <c r="Q7" s="364"/>
    </row>
    <row r="8" spans="2:17" ht="27" customHeight="1" x14ac:dyDescent="0.25">
      <c r="B8" s="379" t="s">
        <v>15</v>
      </c>
      <c r="C8" s="365" t="s">
        <v>1</v>
      </c>
      <c r="D8" s="366"/>
      <c r="E8" s="367" t="s">
        <v>2</v>
      </c>
      <c r="F8" s="369" t="s">
        <v>3</v>
      </c>
      <c r="G8" s="370" t="s">
        <v>49</v>
      </c>
      <c r="H8" s="366"/>
      <c r="I8" s="371" t="s">
        <v>59</v>
      </c>
      <c r="J8" s="372"/>
      <c r="K8" s="373" t="s">
        <v>106</v>
      </c>
      <c r="L8" s="373"/>
      <c r="M8" s="374" t="s">
        <v>107</v>
      </c>
      <c r="N8" s="374"/>
      <c r="O8" s="370" t="s">
        <v>50</v>
      </c>
      <c r="P8" s="370"/>
      <c r="Q8" s="323" t="s">
        <v>110</v>
      </c>
    </row>
    <row r="9" spans="2:17" ht="27" customHeight="1" thickBot="1" x14ac:dyDescent="0.3">
      <c r="B9" s="380"/>
      <c r="C9" s="169" t="s">
        <v>16</v>
      </c>
      <c r="D9" s="169" t="s">
        <v>17</v>
      </c>
      <c r="E9" s="368"/>
      <c r="F9" s="368"/>
      <c r="G9" s="169" t="s">
        <v>111</v>
      </c>
      <c r="H9" s="169" t="s">
        <v>112</v>
      </c>
      <c r="I9" s="169" t="s">
        <v>111</v>
      </c>
      <c r="J9" s="169" t="s">
        <v>112</v>
      </c>
      <c r="K9" s="169" t="s">
        <v>111</v>
      </c>
      <c r="L9" s="169" t="s">
        <v>112</v>
      </c>
      <c r="M9" s="169" t="s">
        <v>111</v>
      </c>
      <c r="N9" s="169" t="s">
        <v>112</v>
      </c>
      <c r="O9" s="169" t="s">
        <v>111</v>
      </c>
      <c r="P9" s="169" t="s">
        <v>112</v>
      </c>
      <c r="Q9" s="324"/>
    </row>
    <row r="10" spans="2:17" ht="15" customHeight="1" x14ac:dyDescent="0.25">
      <c r="B10" s="170" t="s">
        <v>21</v>
      </c>
      <c r="C10" s="171" t="s">
        <v>22</v>
      </c>
      <c r="D10" s="171" t="s">
        <v>23</v>
      </c>
      <c r="E10" s="171">
        <v>100</v>
      </c>
      <c r="F10" s="172">
        <f t="shared" ref="F10:F42" si="0">$H$45*E10</f>
        <v>637</v>
      </c>
      <c r="G10" s="171">
        <v>0</v>
      </c>
      <c r="H10" s="171">
        <v>0</v>
      </c>
      <c r="I10" s="171">
        <v>0</v>
      </c>
      <c r="J10" s="171">
        <v>0</v>
      </c>
      <c r="K10" s="171">
        <v>0</v>
      </c>
      <c r="L10" s="171">
        <v>0</v>
      </c>
      <c r="M10" s="171">
        <v>0</v>
      </c>
      <c r="N10" s="171">
        <v>0</v>
      </c>
      <c r="O10" s="171">
        <v>0</v>
      </c>
      <c r="P10" s="171">
        <v>0</v>
      </c>
      <c r="Q10" s="173">
        <f t="shared" ref="Q10:Q42" si="1">SUM(G10:P10)</f>
        <v>0</v>
      </c>
    </row>
    <row r="11" spans="2:17" ht="15" customHeight="1" x14ac:dyDescent="0.25">
      <c r="B11" s="174" t="s">
        <v>24</v>
      </c>
      <c r="C11" s="175" t="s">
        <v>23</v>
      </c>
      <c r="D11" s="175" t="s">
        <v>25</v>
      </c>
      <c r="E11" s="175">
        <v>100</v>
      </c>
      <c r="F11" s="176">
        <f t="shared" si="0"/>
        <v>637</v>
      </c>
      <c r="G11" s="175">
        <v>0</v>
      </c>
      <c r="H11" s="175">
        <v>0</v>
      </c>
      <c r="I11" s="175">
        <v>0</v>
      </c>
      <c r="J11" s="175">
        <v>0</v>
      </c>
      <c r="K11" s="175">
        <v>0</v>
      </c>
      <c r="L11" s="175">
        <v>0</v>
      </c>
      <c r="M11" s="175">
        <v>0</v>
      </c>
      <c r="N11" s="175">
        <v>0</v>
      </c>
      <c r="O11" s="175">
        <v>0</v>
      </c>
      <c r="P11" s="175">
        <v>0</v>
      </c>
      <c r="Q11" s="177">
        <f t="shared" si="1"/>
        <v>0</v>
      </c>
    </row>
    <row r="12" spans="2:17" ht="15" customHeight="1" x14ac:dyDescent="0.25">
      <c r="B12" s="174" t="s">
        <v>26</v>
      </c>
      <c r="C12" s="175" t="s">
        <v>25</v>
      </c>
      <c r="D12" s="175" t="s">
        <v>27</v>
      </c>
      <c r="E12" s="175">
        <v>100</v>
      </c>
      <c r="F12" s="176">
        <f t="shared" si="0"/>
        <v>637</v>
      </c>
      <c r="G12" s="175">
        <v>0</v>
      </c>
      <c r="H12" s="175">
        <v>0</v>
      </c>
      <c r="I12" s="175">
        <v>0</v>
      </c>
      <c r="J12" s="175">
        <v>0</v>
      </c>
      <c r="K12" s="175">
        <v>0</v>
      </c>
      <c r="L12" s="175">
        <v>0</v>
      </c>
      <c r="M12" s="175">
        <v>0</v>
      </c>
      <c r="N12" s="175">
        <v>0</v>
      </c>
      <c r="O12" s="175">
        <v>0</v>
      </c>
      <c r="P12" s="175">
        <v>0</v>
      </c>
      <c r="Q12" s="177">
        <f t="shared" si="1"/>
        <v>0</v>
      </c>
    </row>
    <row r="13" spans="2:17" ht="15" customHeight="1" x14ac:dyDescent="0.25">
      <c r="B13" s="174" t="s">
        <v>28</v>
      </c>
      <c r="C13" s="175" t="s">
        <v>27</v>
      </c>
      <c r="D13" s="175" t="s">
        <v>29</v>
      </c>
      <c r="E13" s="175">
        <v>100</v>
      </c>
      <c r="F13" s="176">
        <f t="shared" si="0"/>
        <v>637</v>
      </c>
      <c r="G13" s="175">
        <v>0</v>
      </c>
      <c r="H13" s="175">
        <v>0</v>
      </c>
      <c r="I13" s="175">
        <v>0</v>
      </c>
      <c r="J13" s="175">
        <v>0</v>
      </c>
      <c r="K13" s="175">
        <v>0</v>
      </c>
      <c r="L13" s="175">
        <v>0</v>
      </c>
      <c r="M13" s="175">
        <v>0</v>
      </c>
      <c r="N13" s="175">
        <v>0</v>
      </c>
      <c r="O13" s="175">
        <v>0</v>
      </c>
      <c r="P13" s="175">
        <v>0</v>
      </c>
      <c r="Q13" s="177">
        <f t="shared" si="1"/>
        <v>0</v>
      </c>
    </row>
    <row r="14" spans="2:17" ht="15" customHeight="1" x14ac:dyDescent="0.25">
      <c r="B14" s="174" t="s">
        <v>30</v>
      </c>
      <c r="C14" s="175" t="s">
        <v>29</v>
      </c>
      <c r="D14" s="175" t="s">
        <v>31</v>
      </c>
      <c r="E14" s="175">
        <v>100</v>
      </c>
      <c r="F14" s="176">
        <f t="shared" si="0"/>
        <v>637</v>
      </c>
      <c r="G14" s="175">
        <v>0</v>
      </c>
      <c r="H14" s="175">
        <v>0</v>
      </c>
      <c r="I14" s="175">
        <v>0</v>
      </c>
      <c r="J14" s="175">
        <v>0</v>
      </c>
      <c r="K14" s="175">
        <v>0</v>
      </c>
      <c r="L14" s="175">
        <v>0</v>
      </c>
      <c r="M14" s="175">
        <v>0</v>
      </c>
      <c r="N14" s="175">
        <v>0</v>
      </c>
      <c r="O14" s="175">
        <v>1</v>
      </c>
      <c r="P14" s="175">
        <v>0</v>
      </c>
      <c r="Q14" s="177">
        <f t="shared" si="1"/>
        <v>1</v>
      </c>
    </row>
    <row r="15" spans="2:17" ht="15" customHeight="1" x14ac:dyDescent="0.25">
      <c r="B15" s="174" t="s">
        <v>32</v>
      </c>
      <c r="C15" s="175" t="s">
        <v>31</v>
      </c>
      <c r="D15" s="175" t="s">
        <v>33</v>
      </c>
      <c r="E15" s="175">
        <v>100</v>
      </c>
      <c r="F15" s="176">
        <f t="shared" si="0"/>
        <v>637</v>
      </c>
      <c r="G15" s="175">
        <v>0</v>
      </c>
      <c r="H15" s="175">
        <v>0</v>
      </c>
      <c r="I15" s="175">
        <v>0</v>
      </c>
      <c r="J15" s="175">
        <v>1</v>
      </c>
      <c r="K15" s="175">
        <v>0</v>
      </c>
      <c r="L15" s="175">
        <v>0</v>
      </c>
      <c r="M15" s="175">
        <v>0</v>
      </c>
      <c r="N15" s="175">
        <v>0</v>
      </c>
      <c r="O15" s="175">
        <v>0</v>
      </c>
      <c r="P15" s="175">
        <v>0</v>
      </c>
      <c r="Q15" s="177">
        <f t="shared" si="1"/>
        <v>1</v>
      </c>
    </row>
    <row r="16" spans="2:17" ht="15" customHeight="1" x14ac:dyDescent="0.25">
      <c r="B16" s="174" t="s">
        <v>34</v>
      </c>
      <c r="C16" s="175" t="s">
        <v>33</v>
      </c>
      <c r="D16" s="175" t="s">
        <v>35</v>
      </c>
      <c r="E16" s="175">
        <v>100</v>
      </c>
      <c r="F16" s="176">
        <f t="shared" si="0"/>
        <v>637</v>
      </c>
      <c r="G16" s="175">
        <v>0</v>
      </c>
      <c r="H16" s="175">
        <v>0</v>
      </c>
      <c r="I16" s="175">
        <v>0</v>
      </c>
      <c r="J16" s="175">
        <v>0</v>
      </c>
      <c r="K16" s="175">
        <v>0</v>
      </c>
      <c r="L16" s="175">
        <v>0</v>
      </c>
      <c r="M16" s="175">
        <v>0</v>
      </c>
      <c r="N16" s="175">
        <v>0</v>
      </c>
      <c r="O16" s="175">
        <v>1</v>
      </c>
      <c r="P16" s="175">
        <v>0</v>
      </c>
      <c r="Q16" s="177">
        <f t="shared" si="1"/>
        <v>1</v>
      </c>
    </row>
    <row r="17" spans="2:17" ht="15" customHeight="1" x14ac:dyDescent="0.25">
      <c r="B17" s="174" t="s">
        <v>36</v>
      </c>
      <c r="C17" s="175" t="s">
        <v>35</v>
      </c>
      <c r="D17" s="175" t="s">
        <v>37</v>
      </c>
      <c r="E17" s="175">
        <v>100</v>
      </c>
      <c r="F17" s="176">
        <f t="shared" si="0"/>
        <v>637</v>
      </c>
      <c r="G17" s="175">
        <v>0</v>
      </c>
      <c r="H17" s="175">
        <v>0</v>
      </c>
      <c r="I17" s="175">
        <v>0</v>
      </c>
      <c r="J17" s="175">
        <v>0</v>
      </c>
      <c r="K17" s="175">
        <v>0</v>
      </c>
      <c r="L17" s="175">
        <v>0</v>
      </c>
      <c r="M17" s="175">
        <v>0</v>
      </c>
      <c r="N17" s="175">
        <v>0</v>
      </c>
      <c r="O17" s="175">
        <v>0</v>
      </c>
      <c r="P17" s="175">
        <v>0</v>
      </c>
      <c r="Q17" s="177">
        <f t="shared" si="1"/>
        <v>0</v>
      </c>
    </row>
    <row r="18" spans="2:17" ht="15" customHeight="1" x14ac:dyDescent="0.25">
      <c r="B18" s="174" t="s">
        <v>51</v>
      </c>
      <c r="C18" s="175" t="s">
        <v>37</v>
      </c>
      <c r="D18" s="175" t="s">
        <v>54</v>
      </c>
      <c r="E18" s="175">
        <v>100</v>
      </c>
      <c r="F18" s="176">
        <f t="shared" si="0"/>
        <v>637</v>
      </c>
      <c r="G18" s="175">
        <v>0</v>
      </c>
      <c r="H18" s="175">
        <v>0</v>
      </c>
      <c r="I18" s="175">
        <v>0</v>
      </c>
      <c r="J18" s="175">
        <v>0</v>
      </c>
      <c r="K18" s="175">
        <v>0</v>
      </c>
      <c r="L18" s="175">
        <v>0</v>
      </c>
      <c r="M18" s="175">
        <v>0</v>
      </c>
      <c r="N18" s="175">
        <v>0</v>
      </c>
      <c r="O18" s="175">
        <v>0</v>
      </c>
      <c r="P18" s="175">
        <v>0</v>
      </c>
      <c r="Q18" s="177">
        <f t="shared" si="1"/>
        <v>0</v>
      </c>
    </row>
    <row r="19" spans="2:17" ht="15" customHeight="1" x14ac:dyDescent="0.25">
      <c r="B19" s="174" t="s">
        <v>52</v>
      </c>
      <c r="C19" s="175" t="s">
        <v>54</v>
      </c>
      <c r="D19" s="175" t="s">
        <v>55</v>
      </c>
      <c r="E19" s="175">
        <v>100</v>
      </c>
      <c r="F19" s="176">
        <f t="shared" si="0"/>
        <v>637</v>
      </c>
      <c r="G19" s="175">
        <v>0</v>
      </c>
      <c r="H19" s="175">
        <v>0</v>
      </c>
      <c r="I19" s="175">
        <v>0</v>
      </c>
      <c r="J19" s="175">
        <v>0</v>
      </c>
      <c r="K19" s="175">
        <v>0</v>
      </c>
      <c r="L19" s="175">
        <v>0</v>
      </c>
      <c r="M19" s="175">
        <v>0</v>
      </c>
      <c r="N19" s="175">
        <v>0</v>
      </c>
      <c r="O19" s="175">
        <v>0</v>
      </c>
      <c r="P19" s="175">
        <v>0</v>
      </c>
      <c r="Q19" s="177">
        <f t="shared" si="1"/>
        <v>0</v>
      </c>
    </row>
    <row r="20" spans="2:17" ht="15" customHeight="1" x14ac:dyDescent="0.25">
      <c r="B20" s="174" t="s">
        <v>53</v>
      </c>
      <c r="C20" s="175" t="s">
        <v>55</v>
      </c>
      <c r="D20" s="175" t="s">
        <v>83</v>
      </c>
      <c r="E20" s="175">
        <v>100</v>
      </c>
      <c r="F20" s="176">
        <f t="shared" si="0"/>
        <v>637</v>
      </c>
      <c r="G20" s="175">
        <v>0</v>
      </c>
      <c r="H20" s="175">
        <v>0</v>
      </c>
      <c r="I20" s="175">
        <v>0</v>
      </c>
      <c r="J20" s="175">
        <v>0</v>
      </c>
      <c r="K20" s="175">
        <v>0</v>
      </c>
      <c r="L20" s="175">
        <v>0</v>
      </c>
      <c r="M20" s="175">
        <v>0</v>
      </c>
      <c r="N20" s="175">
        <v>0</v>
      </c>
      <c r="O20" s="175">
        <v>0</v>
      </c>
      <c r="P20" s="175">
        <v>0</v>
      </c>
      <c r="Q20" s="177">
        <f t="shared" si="1"/>
        <v>0</v>
      </c>
    </row>
    <row r="21" spans="2:17" ht="15" customHeight="1" x14ac:dyDescent="0.25">
      <c r="B21" s="174" t="s">
        <v>61</v>
      </c>
      <c r="C21" s="175" t="s">
        <v>83</v>
      </c>
      <c r="D21" s="175" t="s">
        <v>84</v>
      </c>
      <c r="E21" s="175">
        <v>100</v>
      </c>
      <c r="F21" s="176">
        <f t="shared" si="0"/>
        <v>637</v>
      </c>
      <c r="G21" s="175">
        <v>0</v>
      </c>
      <c r="H21" s="175">
        <v>0</v>
      </c>
      <c r="I21" s="175">
        <v>0</v>
      </c>
      <c r="J21" s="175">
        <v>0</v>
      </c>
      <c r="K21" s="175">
        <v>0</v>
      </c>
      <c r="L21" s="175">
        <v>0</v>
      </c>
      <c r="M21" s="175">
        <v>0</v>
      </c>
      <c r="N21" s="175">
        <v>0</v>
      </c>
      <c r="O21" s="175">
        <v>0</v>
      </c>
      <c r="P21" s="175">
        <v>0</v>
      </c>
      <c r="Q21" s="177">
        <f t="shared" si="1"/>
        <v>0</v>
      </c>
    </row>
    <row r="22" spans="2:17" ht="15" customHeight="1" x14ac:dyDescent="0.25">
      <c r="B22" s="174" t="s">
        <v>62</v>
      </c>
      <c r="C22" s="175" t="s">
        <v>84</v>
      </c>
      <c r="D22" s="175" t="s">
        <v>85</v>
      </c>
      <c r="E22" s="175">
        <v>100</v>
      </c>
      <c r="F22" s="176">
        <f t="shared" si="0"/>
        <v>637</v>
      </c>
      <c r="G22" s="175">
        <v>0</v>
      </c>
      <c r="H22" s="175">
        <v>0</v>
      </c>
      <c r="I22" s="175">
        <v>0</v>
      </c>
      <c r="J22" s="175">
        <v>0</v>
      </c>
      <c r="K22" s="175">
        <v>0</v>
      </c>
      <c r="L22" s="175">
        <v>0</v>
      </c>
      <c r="M22" s="175">
        <v>0</v>
      </c>
      <c r="N22" s="175">
        <v>0</v>
      </c>
      <c r="O22" s="175">
        <v>0</v>
      </c>
      <c r="P22" s="175">
        <v>0</v>
      </c>
      <c r="Q22" s="177">
        <f t="shared" si="1"/>
        <v>0</v>
      </c>
    </row>
    <row r="23" spans="2:17" ht="15" customHeight="1" x14ac:dyDescent="0.25">
      <c r="B23" s="174" t="s">
        <v>63</v>
      </c>
      <c r="C23" s="175" t="s">
        <v>85</v>
      </c>
      <c r="D23" s="175" t="s">
        <v>86</v>
      </c>
      <c r="E23" s="175">
        <v>100</v>
      </c>
      <c r="F23" s="176">
        <f t="shared" si="0"/>
        <v>637</v>
      </c>
      <c r="G23" s="175">
        <v>0</v>
      </c>
      <c r="H23" s="175">
        <v>0</v>
      </c>
      <c r="I23" s="175">
        <v>0</v>
      </c>
      <c r="J23" s="175">
        <v>0</v>
      </c>
      <c r="K23" s="175">
        <v>0</v>
      </c>
      <c r="L23" s="175">
        <v>0</v>
      </c>
      <c r="M23" s="175">
        <v>0</v>
      </c>
      <c r="N23" s="175">
        <v>1</v>
      </c>
      <c r="O23" s="175">
        <v>0</v>
      </c>
      <c r="P23" s="175">
        <v>0</v>
      </c>
      <c r="Q23" s="177">
        <f t="shared" si="1"/>
        <v>1</v>
      </c>
    </row>
    <row r="24" spans="2:17" ht="15" customHeight="1" x14ac:dyDescent="0.25">
      <c r="B24" s="174" t="s">
        <v>64</v>
      </c>
      <c r="C24" s="175" t="s">
        <v>86</v>
      </c>
      <c r="D24" s="175" t="s">
        <v>87</v>
      </c>
      <c r="E24" s="175">
        <v>100</v>
      </c>
      <c r="F24" s="176">
        <f t="shared" si="0"/>
        <v>637</v>
      </c>
      <c r="G24" s="175">
        <v>0</v>
      </c>
      <c r="H24" s="175">
        <v>0</v>
      </c>
      <c r="I24" s="175">
        <v>0</v>
      </c>
      <c r="J24" s="175">
        <v>0</v>
      </c>
      <c r="K24" s="175">
        <v>0</v>
      </c>
      <c r="L24" s="175">
        <v>0</v>
      </c>
      <c r="M24" s="175">
        <v>0</v>
      </c>
      <c r="N24" s="175">
        <v>0</v>
      </c>
      <c r="O24" s="175">
        <v>0</v>
      </c>
      <c r="P24" s="175">
        <v>0</v>
      </c>
      <c r="Q24" s="177">
        <f t="shared" si="1"/>
        <v>0</v>
      </c>
    </row>
    <row r="25" spans="2:17" ht="15" customHeight="1" x14ac:dyDescent="0.25">
      <c r="B25" s="174" t="s">
        <v>65</v>
      </c>
      <c r="C25" s="175" t="s">
        <v>87</v>
      </c>
      <c r="D25" s="175" t="s">
        <v>88</v>
      </c>
      <c r="E25" s="175">
        <v>100</v>
      </c>
      <c r="F25" s="176">
        <f t="shared" si="0"/>
        <v>637</v>
      </c>
      <c r="G25" s="175">
        <v>0</v>
      </c>
      <c r="H25" s="175">
        <v>0</v>
      </c>
      <c r="I25" s="175">
        <v>0</v>
      </c>
      <c r="J25" s="175">
        <v>0</v>
      </c>
      <c r="K25" s="175">
        <v>0</v>
      </c>
      <c r="L25" s="175">
        <v>0</v>
      </c>
      <c r="M25" s="175">
        <v>0</v>
      </c>
      <c r="N25" s="175">
        <v>0</v>
      </c>
      <c r="O25" s="175">
        <v>0</v>
      </c>
      <c r="P25" s="175">
        <v>0</v>
      </c>
      <c r="Q25" s="177">
        <f t="shared" si="1"/>
        <v>0</v>
      </c>
    </row>
    <row r="26" spans="2:17" ht="15" customHeight="1" x14ac:dyDescent="0.25">
      <c r="B26" s="174" t="s">
        <v>66</v>
      </c>
      <c r="C26" s="175" t="s">
        <v>88</v>
      </c>
      <c r="D26" s="175" t="s">
        <v>89</v>
      </c>
      <c r="E26" s="175">
        <v>100</v>
      </c>
      <c r="F26" s="176">
        <f t="shared" si="0"/>
        <v>637</v>
      </c>
      <c r="G26" s="175">
        <v>0</v>
      </c>
      <c r="H26" s="175">
        <v>0</v>
      </c>
      <c r="I26" s="175">
        <v>0</v>
      </c>
      <c r="J26" s="175">
        <v>0</v>
      </c>
      <c r="K26" s="175">
        <v>0</v>
      </c>
      <c r="L26" s="175">
        <v>0</v>
      </c>
      <c r="M26" s="175">
        <v>0</v>
      </c>
      <c r="N26" s="175">
        <v>0</v>
      </c>
      <c r="O26" s="175">
        <v>0</v>
      </c>
      <c r="P26" s="175">
        <v>0</v>
      </c>
      <c r="Q26" s="177">
        <f t="shared" si="1"/>
        <v>0</v>
      </c>
    </row>
    <row r="27" spans="2:17" ht="15" customHeight="1" x14ac:dyDescent="0.25">
      <c r="B27" s="174" t="s">
        <v>67</v>
      </c>
      <c r="C27" s="175" t="s">
        <v>89</v>
      </c>
      <c r="D27" s="175" t="s">
        <v>90</v>
      </c>
      <c r="E27" s="175">
        <v>100</v>
      </c>
      <c r="F27" s="176">
        <f t="shared" si="0"/>
        <v>637</v>
      </c>
      <c r="G27" s="175">
        <v>0</v>
      </c>
      <c r="H27" s="175">
        <v>0</v>
      </c>
      <c r="I27" s="175">
        <v>0</v>
      </c>
      <c r="J27" s="175">
        <v>0</v>
      </c>
      <c r="K27" s="175">
        <v>0</v>
      </c>
      <c r="L27" s="175">
        <v>0</v>
      </c>
      <c r="M27" s="175">
        <v>0</v>
      </c>
      <c r="N27" s="175">
        <v>0</v>
      </c>
      <c r="O27" s="175">
        <v>0</v>
      </c>
      <c r="P27" s="175">
        <v>0</v>
      </c>
      <c r="Q27" s="177">
        <f t="shared" si="1"/>
        <v>0</v>
      </c>
    </row>
    <row r="28" spans="2:17" ht="15" customHeight="1" x14ac:dyDescent="0.25">
      <c r="B28" s="174" t="s">
        <v>68</v>
      </c>
      <c r="C28" s="175" t="s">
        <v>90</v>
      </c>
      <c r="D28" s="175" t="s">
        <v>91</v>
      </c>
      <c r="E28" s="175">
        <v>100</v>
      </c>
      <c r="F28" s="176">
        <f t="shared" si="0"/>
        <v>637</v>
      </c>
      <c r="G28" s="175">
        <v>0</v>
      </c>
      <c r="H28" s="175">
        <v>0</v>
      </c>
      <c r="I28" s="175">
        <v>0</v>
      </c>
      <c r="J28" s="175">
        <v>0</v>
      </c>
      <c r="K28" s="175">
        <v>0</v>
      </c>
      <c r="L28" s="175">
        <v>0</v>
      </c>
      <c r="M28" s="175">
        <v>0</v>
      </c>
      <c r="N28" s="175">
        <v>0</v>
      </c>
      <c r="O28" s="175">
        <v>0</v>
      </c>
      <c r="P28" s="175">
        <v>0</v>
      </c>
      <c r="Q28" s="177">
        <f t="shared" si="1"/>
        <v>0</v>
      </c>
    </row>
    <row r="29" spans="2:17" ht="15" customHeight="1" x14ac:dyDescent="0.25">
      <c r="B29" s="174" t="s">
        <v>69</v>
      </c>
      <c r="C29" s="175" t="s">
        <v>91</v>
      </c>
      <c r="D29" s="175" t="s">
        <v>92</v>
      </c>
      <c r="E29" s="175">
        <v>100</v>
      </c>
      <c r="F29" s="176">
        <f t="shared" si="0"/>
        <v>637</v>
      </c>
      <c r="G29" s="175">
        <v>0</v>
      </c>
      <c r="H29" s="175">
        <v>0</v>
      </c>
      <c r="I29" s="175">
        <v>0</v>
      </c>
      <c r="J29" s="175">
        <v>0</v>
      </c>
      <c r="K29" s="175">
        <v>0</v>
      </c>
      <c r="L29" s="175">
        <v>0</v>
      </c>
      <c r="M29" s="175">
        <v>0</v>
      </c>
      <c r="N29" s="175">
        <v>0</v>
      </c>
      <c r="O29" s="175">
        <v>0</v>
      </c>
      <c r="P29" s="175">
        <v>0</v>
      </c>
      <c r="Q29" s="177">
        <f t="shared" si="1"/>
        <v>0</v>
      </c>
    </row>
    <row r="30" spans="2:17" ht="15" customHeight="1" x14ac:dyDescent="0.25">
      <c r="B30" s="174" t="s">
        <v>70</v>
      </c>
      <c r="C30" s="175" t="s">
        <v>92</v>
      </c>
      <c r="D30" s="175" t="s">
        <v>93</v>
      </c>
      <c r="E30" s="175">
        <v>100</v>
      </c>
      <c r="F30" s="176">
        <f t="shared" si="0"/>
        <v>637</v>
      </c>
      <c r="G30" s="175">
        <v>0</v>
      </c>
      <c r="H30" s="175">
        <v>0</v>
      </c>
      <c r="I30" s="175">
        <v>0</v>
      </c>
      <c r="J30" s="175">
        <v>0</v>
      </c>
      <c r="K30" s="175">
        <v>0</v>
      </c>
      <c r="L30" s="175">
        <v>0</v>
      </c>
      <c r="M30" s="175">
        <v>0</v>
      </c>
      <c r="N30" s="175">
        <v>0</v>
      </c>
      <c r="O30" s="175">
        <v>0</v>
      </c>
      <c r="P30" s="175">
        <v>0</v>
      </c>
      <c r="Q30" s="177">
        <f t="shared" si="1"/>
        <v>0</v>
      </c>
    </row>
    <row r="31" spans="2:17" s="167" customFormat="1" ht="15" customHeight="1" x14ac:dyDescent="0.25">
      <c r="B31" s="174" t="s">
        <v>71</v>
      </c>
      <c r="C31" s="175" t="s">
        <v>93</v>
      </c>
      <c r="D31" s="175" t="s">
        <v>94</v>
      </c>
      <c r="E31" s="175">
        <v>100</v>
      </c>
      <c r="F31" s="176">
        <f t="shared" si="0"/>
        <v>637</v>
      </c>
      <c r="G31" s="175">
        <v>0</v>
      </c>
      <c r="H31" s="175">
        <v>0</v>
      </c>
      <c r="I31" s="175">
        <v>0</v>
      </c>
      <c r="J31" s="175">
        <v>0</v>
      </c>
      <c r="K31" s="175">
        <v>0</v>
      </c>
      <c r="L31" s="175">
        <v>0</v>
      </c>
      <c r="M31" s="175">
        <v>0</v>
      </c>
      <c r="N31" s="175">
        <v>1</v>
      </c>
      <c r="O31" s="175">
        <v>0</v>
      </c>
      <c r="P31" s="175">
        <v>0</v>
      </c>
      <c r="Q31" s="178">
        <f t="shared" si="1"/>
        <v>1</v>
      </c>
    </row>
    <row r="32" spans="2:17" ht="15" customHeight="1" x14ac:dyDescent="0.25">
      <c r="B32" s="174" t="s">
        <v>72</v>
      </c>
      <c r="C32" s="175" t="s">
        <v>94</v>
      </c>
      <c r="D32" s="175" t="s">
        <v>95</v>
      </c>
      <c r="E32" s="175">
        <v>100</v>
      </c>
      <c r="F32" s="176">
        <f t="shared" si="0"/>
        <v>637</v>
      </c>
      <c r="G32" s="175">
        <v>0</v>
      </c>
      <c r="H32" s="175">
        <v>0</v>
      </c>
      <c r="I32" s="175">
        <v>0</v>
      </c>
      <c r="J32" s="175">
        <v>0</v>
      </c>
      <c r="K32" s="175">
        <v>0</v>
      </c>
      <c r="L32" s="175">
        <v>0</v>
      </c>
      <c r="M32" s="175">
        <v>1</v>
      </c>
      <c r="N32" s="175">
        <v>0</v>
      </c>
      <c r="O32" s="175">
        <v>0</v>
      </c>
      <c r="P32" s="175">
        <v>0</v>
      </c>
      <c r="Q32" s="177">
        <f t="shared" si="1"/>
        <v>1</v>
      </c>
    </row>
    <row r="33" spans="2:17" ht="15" customHeight="1" x14ac:dyDescent="0.25">
      <c r="B33" s="174" t="s">
        <v>73</v>
      </c>
      <c r="C33" s="175" t="s">
        <v>95</v>
      </c>
      <c r="D33" s="175" t="s">
        <v>96</v>
      </c>
      <c r="E33" s="175">
        <v>100</v>
      </c>
      <c r="F33" s="176">
        <f t="shared" si="0"/>
        <v>637</v>
      </c>
      <c r="G33" s="175">
        <v>0</v>
      </c>
      <c r="H33" s="175">
        <v>0</v>
      </c>
      <c r="I33" s="175">
        <v>0</v>
      </c>
      <c r="J33" s="175">
        <v>0</v>
      </c>
      <c r="K33" s="175">
        <v>0</v>
      </c>
      <c r="L33" s="175">
        <v>0</v>
      </c>
      <c r="M33" s="175">
        <v>0</v>
      </c>
      <c r="N33" s="175">
        <v>0</v>
      </c>
      <c r="O33" s="175">
        <v>0</v>
      </c>
      <c r="P33" s="175">
        <v>0</v>
      </c>
      <c r="Q33" s="177">
        <f t="shared" si="1"/>
        <v>0</v>
      </c>
    </row>
    <row r="34" spans="2:17" ht="15" customHeight="1" x14ac:dyDescent="0.25">
      <c r="B34" s="174" t="s">
        <v>74</v>
      </c>
      <c r="C34" s="175" t="s">
        <v>96</v>
      </c>
      <c r="D34" s="175" t="s">
        <v>97</v>
      </c>
      <c r="E34" s="175">
        <v>100</v>
      </c>
      <c r="F34" s="176">
        <f t="shared" si="0"/>
        <v>637</v>
      </c>
      <c r="G34" s="175">
        <v>0</v>
      </c>
      <c r="H34" s="175">
        <v>0</v>
      </c>
      <c r="I34" s="175">
        <v>0</v>
      </c>
      <c r="J34" s="175">
        <v>0</v>
      </c>
      <c r="K34" s="175">
        <v>0</v>
      </c>
      <c r="L34" s="175">
        <v>0</v>
      </c>
      <c r="M34" s="175">
        <v>0</v>
      </c>
      <c r="N34" s="175">
        <v>0</v>
      </c>
      <c r="O34" s="175">
        <v>0</v>
      </c>
      <c r="P34" s="175">
        <v>0</v>
      </c>
      <c r="Q34" s="177">
        <f t="shared" si="1"/>
        <v>0</v>
      </c>
    </row>
    <row r="35" spans="2:17" ht="15" customHeight="1" x14ac:dyDescent="0.25">
      <c r="B35" s="174" t="s">
        <v>75</v>
      </c>
      <c r="C35" s="175" t="s">
        <v>97</v>
      </c>
      <c r="D35" s="175" t="s">
        <v>98</v>
      </c>
      <c r="E35" s="175">
        <v>100</v>
      </c>
      <c r="F35" s="176">
        <f t="shared" si="0"/>
        <v>637</v>
      </c>
      <c r="G35" s="175">
        <v>0</v>
      </c>
      <c r="H35" s="175">
        <v>0</v>
      </c>
      <c r="I35" s="175">
        <v>0</v>
      </c>
      <c r="J35" s="175">
        <v>0</v>
      </c>
      <c r="K35" s="175">
        <v>0</v>
      </c>
      <c r="L35" s="175">
        <v>0</v>
      </c>
      <c r="M35" s="175">
        <v>0</v>
      </c>
      <c r="N35" s="175">
        <v>0</v>
      </c>
      <c r="O35" s="175">
        <v>0</v>
      </c>
      <c r="P35" s="175">
        <v>0</v>
      </c>
      <c r="Q35" s="177">
        <f t="shared" si="1"/>
        <v>0</v>
      </c>
    </row>
    <row r="36" spans="2:17" ht="15" customHeight="1" x14ac:dyDescent="0.25">
      <c r="B36" s="174" t="s">
        <v>76</v>
      </c>
      <c r="C36" s="175" t="s">
        <v>98</v>
      </c>
      <c r="D36" s="175" t="s">
        <v>99</v>
      </c>
      <c r="E36" s="175">
        <v>100</v>
      </c>
      <c r="F36" s="176">
        <f t="shared" si="0"/>
        <v>637</v>
      </c>
      <c r="G36" s="175">
        <v>0</v>
      </c>
      <c r="H36" s="175">
        <v>0</v>
      </c>
      <c r="I36" s="175">
        <v>0</v>
      </c>
      <c r="J36" s="175">
        <v>0</v>
      </c>
      <c r="K36" s="175">
        <v>0</v>
      </c>
      <c r="L36" s="175">
        <v>0</v>
      </c>
      <c r="M36" s="175">
        <v>0</v>
      </c>
      <c r="N36" s="175">
        <v>0</v>
      </c>
      <c r="O36" s="175">
        <v>0</v>
      </c>
      <c r="P36" s="175">
        <v>0</v>
      </c>
      <c r="Q36" s="177">
        <f t="shared" si="1"/>
        <v>0</v>
      </c>
    </row>
    <row r="37" spans="2:17" ht="15" customHeight="1" x14ac:dyDescent="0.25">
      <c r="B37" s="174" t="s">
        <v>77</v>
      </c>
      <c r="C37" s="175" t="s">
        <v>99</v>
      </c>
      <c r="D37" s="175" t="s">
        <v>100</v>
      </c>
      <c r="E37" s="175">
        <v>100</v>
      </c>
      <c r="F37" s="176">
        <f t="shared" si="0"/>
        <v>637</v>
      </c>
      <c r="G37" s="175">
        <v>0</v>
      </c>
      <c r="H37" s="175">
        <v>0</v>
      </c>
      <c r="I37" s="175">
        <v>0</v>
      </c>
      <c r="J37" s="175">
        <v>0</v>
      </c>
      <c r="K37" s="175">
        <v>0</v>
      </c>
      <c r="L37" s="175">
        <v>0</v>
      </c>
      <c r="M37" s="175">
        <v>0</v>
      </c>
      <c r="N37" s="175">
        <v>0</v>
      </c>
      <c r="O37" s="175">
        <v>0</v>
      </c>
      <c r="P37" s="175">
        <v>0</v>
      </c>
      <c r="Q37" s="177">
        <f t="shared" si="1"/>
        <v>0</v>
      </c>
    </row>
    <row r="38" spans="2:17" ht="15" customHeight="1" x14ac:dyDescent="0.25">
      <c r="B38" s="174" t="s">
        <v>78</v>
      </c>
      <c r="C38" s="175" t="s">
        <v>100</v>
      </c>
      <c r="D38" s="175" t="s">
        <v>101</v>
      </c>
      <c r="E38" s="175">
        <v>100</v>
      </c>
      <c r="F38" s="176">
        <f t="shared" si="0"/>
        <v>637</v>
      </c>
      <c r="G38" s="175">
        <v>0</v>
      </c>
      <c r="H38" s="175">
        <v>0</v>
      </c>
      <c r="I38" s="175">
        <v>0</v>
      </c>
      <c r="J38" s="175">
        <v>0</v>
      </c>
      <c r="K38" s="175">
        <v>0</v>
      </c>
      <c r="L38" s="175">
        <v>0</v>
      </c>
      <c r="M38" s="175">
        <v>0</v>
      </c>
      <c r="N38" s="175">
        <v>0</v>
      </c>
      <c r="O38" s="175">
        <v>0</v>
      </c>
      <c r="P38" s="175">
        <v>0</v>
      </c>
      <c r="Q38" s="177">
        <f t="shared" si="1"/>
        <v>0</v>
      </c>
    </row>
    <row r="39" spans="2:17" ht="15" customHeight="1" x14ac:dyDescent="0.25">
      <c r="B39" s="174" t="s">
        <v>79</v>
      </c>
      <c r="C39" s="175" t="s">
        <v>101</v>
      </c>
      <c r="D39" s="175" t="s">
        <v>102</v>
      </c>
      <c r="E39" s="175">
        <v>100</v>
      </c>
      <c r="F39" s="176">
        <f t="shared" si="0"/>
        <v>637</v>
      </c>
      <c r="G39" s="175">
        <v>0</v>
      </c>
      <c r="H39" s="175">
        <v>0</v>
      </c>
      <c r="I39" s="175">
        <v>0</v>
      </c>
      <c r="J39" s="175">
        <v>0</v>
      </c>
      <c r="K39" s="175">
        <v>0</v>
      </c>
      <c r="L39" s="175">
        <v>0</v>
      </c>
      <c r="M39" s="175">
        <v>0</v>
      </c>
      <c r="N39" s="175">
        <v>0</v>
      </c>
      <c r="O39" s="175">
        <v>0</v>
      </c>
      <c r="P39" s="175">
        <v>0</v>
      </c>
      <c r="Q39" s="177">
        <f t="shared" si="1"/>
        <v>0</v>
      </c>
    </row>
    <row r="40" spans="2:17" ht="15" customHeight="1" x14ac:dyDescent="0.25">
      <c r="B40" s="174" t="s">
        <v>80</v>
      </c>
      <c r="C40" s="175" t="s">
        <v>102</v>
      </c>
      <c r="D40" s="175" t="s">
        <v>103</v>
      </c>
      <c r="E40" s="175">
        <v>100</v>
      </c>
      <c r="F40" s="176">
        <f t="shared" si="0"/>
        <v>637</v>
      </c>
      <c r="G40" s="175">
        <v>0</v>
      </c>
      <c r="H40" s="175">
        <v>0</v>
      </c>
      <c r="I40" s="175">
        <v>0</v>
      </c>
      <c r="J40" s="175">
        <v>0</v>
      </c>
      <c r="K40" s="175">
        <v>0</v>
      </c>
      <c r="L40" s="175">
        <v>0</v>
      </c>
      <c r="M40" s="175">
        <v>0</v>
      </c>
      <c r="N40" s="175">
        <v>0</v>
      </c>
      <c r="O40" s="175">
        <v>0</v>
      </c>
      <c r="P40" s="175">
        <v>0</v>
      </c>
      <c r="Q40" s="177">
        <f t="shared" si="1"/>
        <v>0</v>
      </c>
    </row>
    <row r="41" spans="2:17" ht="15" customHeight="1" x14ac:dyDescent="0.25">
      <c r="B41" s="174" t="s">
        <v>81</v>
      </c>
      <c r="C41" s="175" t="s">
        <v>103</v>
      </c>
      <c r="D41" s="175" t="s">
        <v>104</v>
      </c>
      <c r="E41" s="175">
        <v>100</v>
      </c>
      <c r="F41" s="176">
        <f t="shared" si="0"/>
        <v>637</v>
      </c>
      <c r="G41" s="175">
        <v>0</v>
      </c>
      <c r="H41" s="175">
        <v>0</v>
      </c>
      <c r="I41" s="175">
        <v>0</v>
      </c>
      <c r="J41" s="175">
        <v>0</v>
      </c>
      <c r="K41" s="175">
        <v>0</v>
      </c>
      <c r="L41" s="175">
        <v>0</v>
      </c>
      <c r="M41" s="175">
        <v>0</v>
      </c>
      <c r="N41" s="175">
        <v>0</v>
      </c>
      <c r="O41" s="175">
        <v>0</v>
      </c>
      <c r="P41" s="175">
        <v>0</v>
      </c>
      <c r="Q41" s="177">
        <f t="shared" si="1"/>
        <v>0</v>
      </c>
    </row>
    <row r="42" spans="2:17" ht="15" customHeight="1" thickBot="1" x14ac:dyDescent="0.3">
      <c r="B42" s="179" t="s">
        <v>82</v>
      </c>
      <c r="C42" s="180" t="s">
        <v>104</v>
      </c>
      <c r="D42" s="180" t="s">
        <v>105</v>
      </c>
      <c r="E42" s="180">
        <v>27</v>
      </c>
      <c r="F42" s="181">
        <f t="shared" si="0"/>
        <v>171.99</v>
      </c>
      <c r="G42" s="180">
        <v>0</v>
      </c>
      <c r="H42" s="180">
        <v>0</v>
      </c>
      <c r="I42" s="180">
        <v>0</v>
      </c>
      <c r="J42" s="180">
        <v>0</v>
      </c>
      <c r="K42" s="180">
        <v>0</v>
      </c>
      <c r="L42" s="180">
        <v>0</v>
      </c>
      <c r="M42" s="180">
        <v>0</v>
      </c>
      <c r="N42" s="180">
        <v>0</v>
      </c>
      <c r="O42" s="180">
        <v>0</v>
      </c>
      <c r="P42" s="180">
        <v>0</v>
      </c>
      <c r="Q42" s="182">
        <f t="shared" si="1"/>
        <v>0</v>
      </c>
    </row>
    <row r="43" spans="2:17" ht="18" customHeight="1" thickBot="1" x14ac:dyDescent="0.3">
      <c r="B43" s="381" t="s">
        <v>38</v>
      </c>
      <c r="C43" s="382"/>
      <c r="D43" s="382"/>
      <c r="E43" s="382"/>
      <c r="F43" s="210">
        <f>SUM(F10:F42)</f>
        <v>20555.990000000002</v>
      </c>
      <c r="G43" s="209">
        <f>+SUM(G10:G42)</f>
        <v>0</v>
      </c>
      <c r="H43" s="183">
        <f t="shared" ref="H43:P43" si="2">+SUM(H10:H42)</f>
        <v>0</v>
      </c>
      <c r="I43" s="183">
        <f t="shared" si="2"/>
        <v>0</v>
      </c>
      <c r="J43" s="183">
        <f t="shared" si="2"/>
        <v>1</v>
      </c>
      <c r="K43" s="183">
        <f t="shared" si="2"/>
        <v>0</v>
      </c>
      <c r="L43" s="183">
        <f t="shared" si="2"/>
        <v>0</v>
      </c>
      <c r="M43" s="183">
        <f t="shared" si="2"/>
        <v>1</v>
      </c>
      <c r="N43" s="183">
        <f t="shared" si="2"/>
        <v>2</v>
      </c>
      <c r="O43" s="183">
        <f t="shared" si="2"/>
        <v>2</v>
      </c>
      <c r="P43" s="206">
        <f t="shared" si="2"/>
        <v>0</v>
      </c>
      <c r="Q43" s="207">
        <f>SUM(Q10:Q42)</f>
        <v>6</v>
      </c>
    </row>
    <row r="44" spans="2:17" ht="15" customHeight="1" x14ac:dyDescent="0.3">
      <c r="B44" s="184"/>
      <c r="C44" s="184"/>
      <c r="D44" s="184"/>
      <c r="E44" s="184"/>
      <c r="F44" s="184"/>
      <c r="G44" s="184"/>
      <c r="H44" s="184"/>
    </row>
    <row r="45" spans="2:17" ht="15" customHeight="1" x14ac:dyDescent="0.35">
      <c r="B45" s="375" t="s">
        <v>43</v>
      </c>
      <c r="C45" s="375"/>
      <c r="D45" s="375"/>
      <c r="E45" s="185">
        <v>1</v>
      </c>
      <c r="F45" s="383" t="s">
        <v>44</v>
      </c>
      <c r="G45" s="384"/>
      <c r="H45" s="185">
        <v>6.37</v>
      </c>
      <c r="I45" s="186" t="s">
        <v>45</v>
      </c>
    </row>
    <row r="46" spans="2:17" ht="15" customHeight="1" x14ac:dyDescent="0.35">
      <c r="B46" s="375" t="s">
        <v>46</v>
      </c>
      <c r="C46" s="375"/>
      <c r="D46" s="375"/>
      <c r="E46" s="185">
        <v>2</v>
      </c>
      <c r="F46" s="383" t="s">
        <v>47</v>
      </c>
      <c r="G46" s="384"/>
      <c r="H46" s="185">
        <v>0.6</v>
      </c>
      <c r="I46" s="186" t="s">
        <v>45</v>
      </c>
    </row>
    <row r="47" spans="2:17" ht="15" customHeight="1" x14ac:dyDescent="0.35">
      <c r="B47" s="187"/>
      <c r="C47" s="187"/>
      <c r="D47" s="187"/>
      <c r="E47" s="187"/>
      <c r="F47" s="187"/>
      <c r="G47" s="187"/>
      <c r="H47" s="184"/>
    </row>
    <row r="48" spans="2:17" ht="15" customHeight="1" x14ac:dyDescent="0.35">
      <c r="B48" s="376" t="s">
        <v>113</v>
      </c>
      <c r="C48" s="377"/>
      <c r="D48" s="377"/>
      <c r="E48" s="377"/>
      <c r="F48" s="378"/>
      <c r="G48" s="193">
        <f>+G43+I43+K43+M43+O43</f>
        <v>3</v>
      </c>
      <c r="H48" s="184"/>
    </row>
    <row r="49" spans="2:8" ht="15" customHeight="1" x14ac:dyDescent="0.35">
      <c r="B49" s="376" t="s">
        <v>114</v>
      </c>
      <c r="C49" s="377"/>
      <c r="D49" s="377"/>
      <c r="E49" s="377"/>
      <c r="F49" s="378"/>
      <c r="G49" s="193">
        <f>+H43+J43+L43+N43+P43</f>
        <v>3</v>
      </c>
      <c r="H49" s="184"/>
    </row>
    <row r="50" spans="2:8" ht="14.4" customHeight="1" x14ac:dyDescent="0.25"/>
    <row r="51" spans="2:8" ht="14.4" customHeight="1" x14ac:dyDescent="0.25"/>
    <row r="52" spans="2:8" ht="14.4" customHeight="1" x14ac:dyDescent="0.25"/>
    <row r="53" spans="2:8" ht="14.4" customHeight="1" x14ac:dyDescent="0.25"/>
    <row r="54" spans="2:8" ht="14.4" customHeight="1" x14ac:dyDescent="0.25"/>
    <row r="55" spans="2:8" ht="14.4" customHeight="1" x14ac:dyDescent="0.25"/>
    <row r="56" spans="2:8" ht="14.4" customHeight="1" x14ac:dyDescent="0.25"/>
    <row r="57" spans="2:8" ht="14.4" customHeight="1" x14ac:dyDescent="0.25"/>
    <row r="58" spans="2:8" ht="14.25" customHeight="1" x14ac:dyDescent="0.25"/>
    <row r="59" spans="2:8" ht="14.25" customHeight="1" x14ac:dyDescent="0.25"/>
    <row r="60" spans="2:8" ht="14.25" customHeight="1" x14ac:dyDescent="0.25"/>
    <row r="61" spans="2:8" ht="14.25" customHeight="1" x14ac:dyDescent="0.25"/>
    <row r="62" spans="2:8" ht="14.25" customHeight="1" x14ac:dyDescent="0.25"/>
    <row r="63" spans="2:8" ht="14.25" customHeight="1" x14ac:dyDescent="0.25"/>
    <row r="64" spans="2:8" ht="14.25" customHeight="1" x14ac:dyDescent="0.25"/>
    <row r="65" spans="8:17" ht="14.25" customHeight="1" x14ac:dyDescent="0.25"/>
    <row r="66" spans="8:17" ht="14.25" customHeight="1" x14ac:dyDescent="0.25"/>
    <row r="67" spans="8:17" ht="14.25" customHeight="1" x14ac:dyDescent="0.25"/>
    <row r="68" spans="8:17" ht="14.25" customHeight="1" x14ac:dyDescent="0.25"/>
    <row r="69" spans="8:17" ht="14.25" customHeight="1" x14ac:dyDescent="0.25"/>
    <row r="70" spans="8:17" ht="14.25" customHeight="1" x14ac:dyDescent="0.25"/>
    <row r="71" spans="8:17" ht="14.25" customHeight="1" x14ac:dyDescent="0.25"/>
    <row r="72" spans="8:17" ht="14.25" customHeight="1" x14ac:dyDescent="0.25"/>
    <row r="73" spans="8:17" ht="14.25" customHeight="1" x14ac:dyDescent="0.25"/>
    <row r="74" spans="8:17" ht="14.25" customHeight="1" x14ac:dyDescent="0.25"/>
    <row r="75" spans="8:17" ht="14.25" customHeight="1" x14ac:dyDescent="0.25"/>
    <row r="76" spans="8:17" ht="14.25" customHeight="1" x14ac:dyDescent="0.25"/>
    <row r="77" spans="8:17" ht="14.25" customHeight="1" x14ac:dyDescent="0.25"/>
    <row r="78" spans="8:17" ht="14.25" customHeight="1" x14ac:dyDescent="0.25"/>
    <row r="79" spans="8:17" ht="14.25" customHeight="1" x14ac:dyDescent="0.25"/>
    <row r="80" spans="8:17" ht="14.25" customHeight="1" x14ac:dyDescent="0.3">
      <c r="H80" s="168"/>
      <c r="Q80" s="168"/>
    </row>
    <row r="81" spans="8:16" ht="14.25" customHeight="1" x14ac:dyDescent="0.25"/>
    <row r="82" spans="8:16" ht="14.25" customHeight="1" x14ac:dyDescent="0.25"/>
    <row r="83" spans="8:16" ht="14.25" customHeight="1" x14ac:dyDescent="0.3">
      <c r="H83" s="168"/>
    </row>
    <row r="84" spans="8:16" ht="14.25" customHeight="1" x14ac:dyDescent="0.3">
      <c r="I84" s="168"/>
      <c r="J84" s="168"/>
      <c r="K84" s="168"/>
      <c r="L84" s="168"/>
      <c r="M84" s="168"/>
      <c r="N84" s="168"/>
      <c r="O84" s="168"/>
      <c r="P84" s="168"/>
    </row>
    <row r="85" spans="8:16" ht="14.25" customHeight="1" x14ac:dyDescent="0.25"/>
    <row r="86" spans="8:16" ht="14.25" customHeight="1" x14ac:dyDescent="0.25"/>
    <row r="87" spans="8:16" ht="14.25" customHeight="1" x14ac:dyDescent="0.25"/>
    <row r="88" spans="8:16" ht="14.25" customHeight="1" x14ac:dyDescent="0.25"/>
    <row r="89" spans="8:16" ht="14.25" customHeight="1" x14ac:dyDescent="0.25"/>
    <row r="90" spans="8:16" ht="14.25" customHeight="1" x14ac:dyDescent="0.25"/>
    <row r="91" spans="8:16" ht="14.25" customHeight="1" x14ac:dyDescent="0.25"/>
    <row r="92" spans="8:16" ht="14.25" customHeight="1" x14ac:dyDescent="0.25"/>
    <row r="93" spans="8:16" ht="14.25" customHeight="1" x14ac:dyDescent="0.25"/>
    <row r="94" spans="8:16" ht="14.25" customHeight="1" x14ac:dyDescent="0.25"/>
    <row r="95" spans="8:16" ht="14.25" customHeight="1" x14ac:dyDescent="0.25"/>
    <row r="96" spans="8:1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  <row r="1001" ht="14.25" customHeight="1" x14ac:dyDescent="0.25"/>
    <row r="1002" ht="14.25" customHeight="1" x14ac:dyDescent="0.25"/>
    <row r="1003" ht="14.25" customHeight="1" x14ac:dyDescent="0.25"/>
    <row r="1004" ht="14.25" customHeight="1" x14ac:dyDescent="0.25"/>
    <row r="1005" ht="14.25" customHeight="1" x14ac:dyDescent="0.25"/>
    <row r="1006" ht="14.25" customHeight="1" x14ac:dyDescent="0.25"/>
    <row r="1007" ht="14.25" customHeight="1" x14ac:dyDescent="0.25"/>
    <row r="1008" ht="14.25" customHeight="1" x14ac:dyDescent="0.25"/>
    <row r="1009" ht="14.25" customHeight="1" x14ac:dyDescent="0.25"/>
    <row r="1010" ht="14.25" customHeight="1" x14ac:dyDescent="0.25"/>
    <row r="1011" ht="14.25" customHeight="1" x14ac:dyDescent="0.25"/>
    <row r="1012" ht="14.25" customHeight="1" x14ac:dyDescent="0.25"/>
    <row r="1013" ht="14.25" customHeight="1" x14ac:dyDescent="0.25"/>
    <row r="1014" ht="14.25" customHeight="1" x14ac:dyDescent="0.25"/>
    <row r="1015" ht="14.25" customHeight="1" x14ac:dyDescent="0.25"/>
    <row r="1016" ht="14.25" customHeight="1" x14ac:dyDescent="0.25"/>
    <row r="1017" ht="14.25" customHeight="1" x14ac:dyDescent="0.25"/>
    <row r="1018" ht="14.25" customHeight="1" x14ac:dyDescent="0.25"/>
    <row r="1019" ht="14.25" customHeight="1" x14ac:dyDescent="0.25"/>
    <row r="1020" ht="14.25" customHeight="1" x14ac:dyDescent="0.25"/>
  </sheetData>
  <mergeCells count="19">
    <mergeCell ref="B45:D45"/>
    <mergeCell ref="B48:F48"/>
    <mergeCell ref="B49:F49"/>
    <mergeCell ref="B8:B9"/>
    <mergeCell ref="B43:E43"/>
    <mergeCell ref="B46:D46"/>
    <mergeCell ref="F45:G45"/>
    <mergeCell ref="F46:G46"/>
    <mergeCell ref="Q8:Q9"/>
    <mergeCell ref="B6:C6"/>
    <mergeCell ref="B7:Q7"/>
    <mergeCell ref="C8:D8"/>
    <mergeCell ref="E8:E9"/>
    <mergeCell ref="F8:F9"/>
    <mergeCell ref="G8:H8"/>
    <mergeCell ref="I8:J8"/>
    <mergeCell ref="K8:L8"/>
    <mergeCell ref="M8:N8"/>
    <mergeCell ref="O8:P8"/>
  </mergeCells>
  <pageMargins left="0.7" right="0.7" top="0.75" bottom="0.75" header="0" footer="0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Patologías_Generales</vt:lpstr>
      <vt:lpstr>Reporte Carril_P Generales</vt:lpstr>
      <vt:lpstr>Patologías_Superficiales</vt:lpstr>
      <vt:lpstr>Reporte Carril_P Superficiales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DANIELA</cp:lastModifiedBy>
  <dcterms:created xsi:type="dcterms:W3CDTF">2020-03-25T14:44:44Z</dcterms:created>
  <dcterms:modified xsi:type="dcterms:W3CDTF">2020-11-01T05:33:45Z</dcterms:modified>
</cp:coreProperties>
</file>