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PASANTIA EMPESARIAL MATINMO\PROYECTO SOLEDAD 2000\ESTRUCTURAL\"/>
    </mc:Choice>
  </mc:AlternateContent>
  <xr:revisionPtr revIDLastSave="0" documentId="13_ncr:1_{46A64928-7CBB-49FE-BFDB-804560463AB6}" xr6:coauthVersionLast="47" xr6:coauthVersionMax="47" xr10:uidLastSave="{00000000-0000-0000-0000-000000000000}"/>
  <bookViews>
    <workbookView xWindow="-120" yWindow="-120" windowWidth="20730" windowHeight="11160" xr2:uid="{9FC70144-E992-45DA-BFDB-9F3BEF2BF88E}"/>
  </bookViews>
  <sheets>
    <sheet name="PREDIMENSIONAMIENTO " sheetId="1" r:id="rId1"/>
    <sheet name="PESO PROPIO " sheetId="2" r:id="rId2"/>
    <sheet name="ESPECTRO" sheetId="4" r:id="rId3"/>
    <sheet name="IRREGULARIDADES" sheetId="5" r:id="rId4"/>
    <sheet name="FHE" sheetId="3" r:id="rId5"/>
    <sheet name="CARGA DE VIENTO" sheetId="6" r:id="rId6"/>
    <sheet name="DATOS DE VIENTO" sheetId="7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7" l="1"/>
  <c r="O10" i="7"/>
  <c r="N11" i="7"/>
  <c r="N10" i="7"/>
  <c r="E16" i="6"/>
  <c r="E21" i="6"/>
  <c r="E20" i="6"/>
  <c r="W24" i="7"/>
  <c r="X24" i="7"/>
  <c r="Y24" i="7"/>
  <c r="Z24" i="7"/>
  <c r="AA24" i="7"/>
  <c r="AB24" i="7"/>
  <c r="AC24" i="7"/>
  <c r="AD24" i="7"/>
  <c r="AE24" i="7"/>
  <c r="V24" i="7"/>
  <c r="K11" i="6" s="1" a="1"/>
  <c r="U25" i="7"/>
  <c r="E18" i="6"/>
  <c r="O12" i="7" l="1"/>
  <c r="E22" i="6" s="1" a="1"/>
  <c r="E22" i="6" s="1"/>
  <c r="K11" i="6"/>
  <c r="R11" i="6"/>
  <c r="Q11" i="6"/>
  <c r="T11" i="6"/>
  <c r="P11" i="6"/>
  <c r="L11" i="6"/>
  <c r="N11" i="6"/>
  <c r="M11" i="6"/>
  <c r="S11" i="6"/>
  <c r="O11" i="6"/>
  <c r="M12" i="6" l="1"/>
  <c r="Q12" i="6"/>
  <c r="K12" i="6"/>
  <c r="L12" i="6"/>
  <c r="P12" i="6"/>
  <c r="T12" i="6"/>
  <c r="N12" i="6"/>
  <c r="R12" i="6"/>
  <c r="O12" i="6"/>
  <c r="S12" i="6"/>
  <c r="E26" i="6" s="1"/>
  <c r="E24" i="6" l="1"/>
  <c r="E25" i="6"/>
  <c r="D41" i="3" l="1"/>
  <c r="C17" i="3"/>
  <c r="C13" i="3"/>
  <c r="O45" i="5"/>
  <c r="O42" i="5"/>
  <c r="O13" i="5" s="1"/>
  <c r="H13" i="5"/>
  <c r="I58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61" i="4" s="1"/>
  <c r="I41" i="4"/>
  <c r="C41" i="4"/>
  <c r="H55" i="4" s="1"/>
  <c r="I40" i="4"/>
  <c r="C40" i="4"/>
  <c r="H42" i="4" s="1"/>
  <c r="I39" i="4"/>
  <c r="C39" i="4"/>
  <c r="H35" i="4" s="1"/>
  <c r="H58" i="4" s="1" a="1"/>
  <c r="H58" i="4" s="1"/>
  <c r="I38" i="4"/>
  <c r="I37" i="4"/>
  <c r="I36" i="4"/>
  <c r="I35" i="4"/>
  <c r="I34" i="4"/>
  <c r="I33" i="4"/>
  <c r="C18" i="3" l="1"/>
  <c r="C19" i="3" s="1"/>
  <c r="D35" i="3" s="1"/>
  <c r="E40" i="3" s="1"/>
  <c r="I58" i="5"/>
  <c r="E41" i="3"/>
  <c r="E30" i="3"/>
  <c r="H63" i="4" a="1"/>
  <c r="H63" i="4" s="1"/>
  <c r="H64" i="4" a="1"/>
  <c r="H64" i="4" s="1"/>
  <c r="I55" i="4"/>
  <c r="I64" i="4" s="1"/>
  <c r="H60" i="4" a="1"/>
  <c r="H60" i="4" s="1"/>
  <c r="H61" i="4" a="1"/>
  <c r="H61" i="4" s="1"/>
  <c r="H57" i="4" a="1"/>
  <c r="H57" i="4" s="1"/>
  <c r="B55" i="2" l="1"/>
  <c r="B54" i="2"/>
  <c r="F51" i="2"/>
  <c r="H51" i="2" s="1"/>
  <c r="F50" i="2"/>
  <c r="H50" i="2" s="1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17" i="2"/>
  <c r="D41" i="2" l="1"/>
  <c r="B211" i="1" l="1"/>
  <c r="E194" i="1"/>
  <c r="D229" i="1" s="1"/>
  <c r="D251" i="1" s="1"/>
  <c r="C154" i="1"/>
  <c r="D155" i="1"/>
  <c r="E190" i="1" s="1"/>
  <c r="G182" i="1" l="1"/>
  <c r="E136" i="1"/>
  <c r="E137" i="1" s="1"/>
  <c r="E89" i="1" l="1"/>
  <c r="G104" i="1"/>
  <c r="G51" i="1"/>
  <c r="F58" i="1" s="1"/>
  <c r="F63" i="1"/>
  <c r="G63" i="1" s="1"/>
  <c r="F48" i="1"/>
  <c r="G48" i="1" s="1"/>
  <c r="F64" i="1" l="1"/>
  <c r="G64" i="1" s="1"/>
  <c r="B12" i="2" s="1"/>
  <c r="B11" i="2"/>
  <c r="F50" i="1"/>
  <c r="E95" i="1"/>
  <c r="F81" i="1"/>
  <c r="E74" i="1"/>
  <c r="B47" i="2" s="1"/>
  <c r="E73" i="1"/>
  <c r="B46" i="2" s="1"/>
  <c r="D52" i="2" s="1"/>
  <c r="F54" i="1"/>
  <c r="D42" i="2" l="1"/>
  <c r="D43" i="2"/>
  <c r="F58" i="2"/>
  <c r="H58" i="2" s="1"/>
  <c r="F59" i="2"/>
  <c r="H59" i="2" s="1"/>
  <c r="G116" i="1"/>
  <c r="B122" i="1" s="1"/>
  <c r="B126" i="1" s="1"/>
  <c r="G214" i="1"/>
  <c r="B19" i="1"/>
  <c r="G120" i="1" l="1"/>
  <c r="D60" i="2"/>
  <c r="K16" i="2" s="1"/>
  <c r="D227" i="1"/>
  <c r="K17" i="2"/>
  <c r="D23" i="3" s="1"/>
  <c r="D27" i="3" s="1"/>
  <c r="C41" i="3" s="1"/>
  <c r="F41" i="3" s="1"/>
  <c r="D44" i="2"/>
  <c r="D62" i="2" s="1"/>
  <c r="B221" i="1"/>
  <c r="B225" i="1" s="1"/>
  <c r="G218" i="1"/>
  <c r="D228" i="1" s="1"/>
  <c r="D250" i="1" s="1"/>
  <c r="D22" i="3" l="1"/>
  <c r="D26" i="3" s="1"/>
  <c r="K18" i="2"/>
  <c r="C40" i="3" l="1"/>
  <c r="E33" i="3"/>
  <c r="F40" i="3" l="1"/>
  <c r="C42" i="3"/>
  <c r="F42" i="3" l="1"/>
  <c r="G41" i="3" s="1"/>
  <c r="H41" i="3" s="1"/>
  <c r="G40" i="3" l="1"/>
  <c r="G42" i="3" l="1"/>
  <c r="H40" i="3"/>
  <c r="H42" i="3" s="1"/>
</calcChain>
</file>

<file path=xl/sharedStrings.xml><?xml version="1.0" encoding="utf-8"?>
<sst xmlns="http://schemas.openxmlformats.org/spreadsheetml/2006/main" count="575" uniqueCount="319">
  <si>
    <t xml:space="preserve"> PROYECTO PLAZA SOLEDAD 2000</t>
  </si>
  <si>
    <t xml:space="preserve">SOLEDAD ATLANTICO </t>
  </si>
  <si>
    <t xml:space="preserve">REALIZADO POR </t>
  </si>
  <si>
    <t xml:space="preserve">Nathalia Maldonado Gomez </t>
  </si>
  <si>
    <t xml:space="preserve">TELEFONO </t>
  </si>
  <si>
    <t xml:space="preserve">PROCESO </t>
  </si>
  <si>
    <t xml:space="preserve">Analisis estructural </t>
  </si>
  <si>
    <t xml:space="preserve">DIMENSIONAMIENTO Y ANALISIS ESTRUCTURAL </t>
  </si>
  <si>
    <t xml:space="preserve">PLAZA SOLEDAD 2000 </t>
  </si>
  <si>
    <t>E</t>
  </si>
  <si>
    <t xml:space="preserve"> ρ </t>
  </si>
  <si>
    <t>f´c</t>
  </si>
  <si>
    <t>Gpa</t>
  </si>
  <si>
    <t>MPa</t>
  </si>
  <si>
    <t>GPa</t>
  </si>
  <si>
    <r>
      <rPr>
        <b/>
        <sz val="12"/>
        <rFont val="Arial Narrow"/>
        <family val="2"/>
      </rPr>
      <t>DATOS PERSONALES</t>
    </r>
    <r>
      <rPr>
        <b/>
        <sz val="12"/>
        <color theme="4" tint="0.59999389629810485"/>
        <rFont val="Arial Narrow"/>
        <family val="2"/>
      </rPr>
      <t xml:space="preserve"> </t>
    </r>
  </si>
  <si>
    <r>
      <t>Kg/m</t>
    </r>
    <r>
      <rPr>
        <vertAlign val="superscript"/>
        <sz val="12"/>
        <color theme="1"/>
        <rFont val="Arial Narrow"/>
        <family val="2"/>
      </rPr>
      <t>3</t>
    </r>
  </si>
  <si>
    <r>
      <rPr>
        <b/>
        <sz val="12"/>
        <color theme="1"/>
        <rFont val="Arial Narrow"/>
        <family val="2"/>
      </rPr>
      <t>f'c</t>
    </r>
    <r>
      <rPr>
        <sz val="12"/>
        <color theme="1"/>
        <rFont val="Arial Narrow"/>
        <family val="2"/>
      </rPr>
      <t xml:space="preserve">= resistencia del concreto a compresión </t>
    </r>
  </si>
  <si>
    <r>
      <rPr>
        <b/>
        <sz val="12"/>
        <color theme="1"/>
        <rFont val="Arial Narrow"/>
        <family val="2"/>
      </rPr>
      <t>E</t>
    </r>
    <r>
      <rPr>
        <sz val="12"/>
        <color theme="1"/>
        <rFont val="Arial Narrow"/>
        <family val="2"/>
      </rPr>
      <t xml:space="preserve">= modulo de elasticidad del concreto </t>
    </r>
  </si>
  <si>
    <r>
      <rPr>
        <b/>
        <sz val="12"/>
        <color theme="1"/>
        <rFont val="Arial Narrow"/>
        <family val="2"/>
      </rPr>
      <t>ρ</t>
    </r>
    <r>
      <rPr>
        <sz val="12"/>
        <color theme="1"/>
        <rFont val="Arial Narrow"/>
        <family val="2"/>
      </rPr>
      <t xml:space="preserve"> =densidad</t>
    </r>
  </si>
  <si>
    <t>1.2. Acero estructural A36</t>
  </si>
  <si>
    <t xml:space="preserve">ρ </t>
  </si>
  <si>
    <r>
      <rPr>
        <b/>
        <sz val="12"/>
        <color theme="1"/>
        <rFont val="Arial Narrow"/>
        <family val="2"/>
      </rPr>
      <t>E</t>
    </r>
    <r>
      <rPr>
        <sz val="12"/>
        <color theme="1"/>
        <rFont val="Arial Narrow"/>
        <family val="2"/>
      </rPr>
      <t>= modulo de elasticidad del acero</t>
    </r>
  </si>
  <si>
    <t>1.1. Concreto</t>
  </si>
  <si>
    <t xml:space="preserve">2. Pre-dimdensionamiento entrepiso </t>
  </si>
  <si>
    <t xml:space="preserve">1. Materiales </t>
  </si>
  <si>
    <t>2.1 Placa</t>
  </si>
  <si>
    <t xml:space="preserve">2.1.1 Calculo de dimensiones de losa </t>
  </si>
  <si>
    <t xml:space="preserve">Placa aligerada con caseton extraible </t>
  </si>
  <si>
    <t>L=</t>
  </si>
  <si>
    <t>m</t>
  </si>
  <si>
    <t xml:space="preserve">aproximacion </t>
  </si>
  <si>
    <t xml:space="preserve">2.2 Predimensionamiento de viga </t>
  </si>
  <si>
    <r>
      <rPr>
        <b/>
        <sz val="12"/>
        <color theme="1"/>
        <rFont val="Arial Narrow"/>
        <family val="2"/>
      </rPr>
      <t>h</t>
    </r>
    <r>
      <rPr>
        <sz val="12"/>
        <color theme="1"/>
        <rFont val="Arial Narrow"/>
        <family val="2"/>
      </rPr>
      <t>= L/14</t>
    </r>
  </si>
  <si>
    <t>h=</t>
  </si>
  <si>
    <r>
      <rPr>
        <b/>
        <sz val="12"/>
        <color theme="1"/>
        <rFont val="Arial Narrow"/>
        <family val="2"/>
      </rPr>
      <t>Altura(h)</t>
    </r>
    <r>
      <rPr>
        <sz val="12"/>
        <color theme="1"/>
        <rFont val="Arial Narrow"/>
        <family val="2"/>
      </rPr>
      <t>= L/14</t>
    </r>
  </si>
  <si>
    <t>a=</t>
  </si>
  <si>
    <t>2.3 Predimensionamiento de columnas</t>
  </si>
  <si>
    <r>
      <rPr>
        <b/>
        <sz val="12"/>
        <color theme="1"/>
        <rFont val="Arial Narrow"/>
        <family val="2"/>
      </rPr>
      <t>Ancho (a)</t>
    </r>
    <r>
      <rPr>
        <sz val="12"/>
        <color theme="1"/>
        <rFont val="Arial Narrow"/>
        <family val="2"/>
      </rPr>
      <t>=0.4(h)</t>
    </r>
  </si>
  <si>
    <t>carga muerta torta superior</t>
  </si>
  <si>
    <t>γ*e</t>
  </si>
  <si>
    <t>KN/m^2</t>
  </si>
  <si>
    <t xml:space="preserve">Separacion de viguetas entre ejes </t>
  </si>
  <si>
    <t>Svt=</t>
  </si>
  <si>
    <t>Según la NSR-10 no debe exceder eel 1.2 m, se toma 1.0 m</t>
  </si>
  <si>
    <t xml:space="preserve">Espesor de vigueta </t>
  </si>
  <si>
    <t>Evt=</t>
  </si>
  <si>
    <t>Espersor  de losa</t>
  </si>
  <si>
    <t>El=</t>
  </si>
  <si>
    <t xml:space="preserve">carga muerta torta superior </t>
  </si>
  <si>
    <t>3. Calculo de cargas muertas (D)</t>
  </si>
  <si>
    <t>Dviguetas</t>
  </si>
  <si>
    <t>Dcarga piso</t>
  </si>
  <si>
    <t>Denchapa</t>
  </si>
  <si>
    <t xml:space="preserve">3.1.Carga muerta del entrepiso </t>
  </si>
  <si>
    <t>3.2 Carga muerta de viguetas</t>
  </si>
  <si>
    <t xml:space="preserve">3.3. Carga piso </t>
  </si>
  <si>
    <t>En la NSR-10 no estable las alturas(h) ni ancho(a) correspondientes a la capacidad de disipacion de energia minima (DMI). Por ende se toma el mismo ancho de la viga..</t>
  </si>
  <si>
    <t>2.4 Predimensionamiento de muros</t>
  </si>
  <si>
    <t xml:space="preserve">Espesor de muro </t>
  </si>
  <si>
    <t xml:space="preserve">longitud </t>
  </si>
  <si>
    <t xml:space="preserve">Altura </t>
  </si>
  <si>
    <t xml:space="preserve">TODOS LOS MUROS TIENE UNA LONGITUD DE 1 M CON EL FIN DE FACILITAR EL DISEÑO </t>
  </si>
  <si>
    <t xml:space="preserve">Altura del entrepiso </t>
  </si>
  <si>
    <t xml:space="preserve">4. Predimensionamiento de Cubierta </t>
  </si>
  <si>
    <t>Para la cubierta utilizaremos vigas, viguetas metalicas y lamina smart</t>
  </si>
  <si>
    <t xml:space="preserve">ANTES DE INICIAR </t>
  </si>
  <si>
    <t>E=</t>
  </si>
  <si>
    <t>mm</t>
  </si>
  <si>
    <t>Serie=</t>
  </si>
  <si>
    <t>d=</t>
  </si>
  <si>
    <t>r=</t>
  </si>
  <si>
    <t>Peso=</t>
  </si>
  <si>
    <t>cm2</t>
  </si>
  <si>
    <t>Kg/m</t>
  </si>
  <si>
    <t>L/14</t>
  </si>
  <si>
    <t xml:space="preserve">PERFIL EN I </t>
  </si>
  <si>
    <t>b=</t>
  </si>
  <si>
    <t>IPE V 600</t>
  </si>
  <si>
    <t>c=</t>
  </si>
  <si>
    <t>s=</t>
  </si>
  <si>
    <t>t=</t>
  </si>
  <si>
    <t xml:space="preserve">4.1 Predimencionamiento de viguetas en estructura metalica </t>
  </si>
  <si>
    <t>Perfl y vigas S.A.S</t>
  </si>
  <si>
    <t>Area=</t>
  </si>
  <si>
    <t>S10X25.4</t>
  </si>
  <si>
    <t xml:space="preserve">PERFIL EN I ESTANDAR AMERICANO </t>
  </si>
  <si>
    <t xml:space="preserve">4.2.Predimencionamiento de vigas en estructura metalica </t>
  </si>
  <si>
    <t xml:space="preserve">4.3.Material para la cubierta </t>
  </si>
  <si>
    <t>m2</t>
  </si>
  <si>
    <t>DRYBALL</t>
  </si>
  <si>
    <t xml:space="preserve">Calibre </t>
  </si>
  <si>
    <t xml:space="preserve">Espesor </t>
  </si>
  <si>
    <t>Peso</t>
  </si>
  <si>
    <t xml:space="preserve">Kg/m2 </t>
  </si>
  <si>
    <t>KN/m2</t>
  </si>
  <si>
    <t>Dcielo raso</t>
  </si>
  <si>
    <t xml:space="preserve">Carga </t>
  </si>
  <si>
    <t>Altura</t>
  </si>
  <si>
    <t xml:space="preserve">Longitud del muro </t>
  </si>
  <si>
    <t xml:space="preserve">Area total </t>
  </si>
  <si>
    <t xml:space="preserve">Densidad fibra de vidrio </t>
  </si>
  <si>
    <t>Espesor</t>
  </si>
  <si>
    <t>Altura entrepiso</t>
  </si>
  <si>
    <t xml:space="preserve">Logitud muro de vidrio </t>
  </si>
  <si>
    <t>KN/m3</t>
  </si>
  <si>
    <t>Dmamp-vidrio</t>
  </si>
  <si>
    <t>Dmamp-H10</t>
  </si>
  <si>
    <t>5. Calculo de cargas muerta cubierta (D)</t>
  </si>
  <si>
    <t>5.1 Carga muerta de viguetas</t>
  </si>
  <si>
    <t>Según la NSR-10 no debe exceder eel 1.2 m, se toma 1.2 m</t>
  </si>
  <si>
    <t>5.2 Carga muerta de cubierta</t>
  </si>
  <si>
    <t>Dcubierta</t>
  </si>
  <si>
    <t>3.4.Carga enchapa 1°PISO</t>
  </si>
  <si>
    <t>5.3 carga cielo raso 2°PISO</t>
  </si>
  <si>
    <t>3.5 carga cielo raso 1°PISO</t>
  </si>
  <si>
    <t>3.6 Carga de mamposteria bloque de arcilla 1°PISO</t>
  </si>
  <si>
    <t>3.7 Carga de mamposteria vidrio 1°PISO</t>
  </si>
  <si>
    <t>5.6 Carga de mamposteria bloque de arcilla 2°PISO</t>
  </si>
  <si>
    <t xml:space="preserve"> </t>
  </si>
  <si>
    <t xml:space="preserve">6.1 Carga viva Entrepiso </t>
  </si>
  <si>
    <t xml:space="preserve">6.2 Carga viva cubierta </t>
  </si>
  <si>
    <t>Carga viva</t>
  </si>
  <si>
    <t>6. Carga viva (L)</t>
  </si>
  <si>
    <t>Carga última cubierta</t>
  </si>
  <si>
    <t xml:space="preserve">7. Carga ultima </t>
  </si>
  <si>
    <t>7.1 Carga ultima 1.2D+1.6L</t>
  </si>
  <si>
    <t>5.7 Carga de mamposteria vidrio 2°PISO</t>
  </si>
  <si>
    <t>5.5 Carga enchapa 2°PISO</t>
  </si>
  <si>
    <t>5.4 Carga piso 2°PISO</t>
  </si>
  <si>
    <t xml:space="preserve">Carga muerta total cubierta </t>
  </si>
  <si>
    <t xml:space="preserve">Carga muerta 1°piso </t>
  </si>
  <si>
    <t>Carga muerta 2° piso</t>
  </si>
  <si>
    <t>=</t>
  </si>
  <si>
    <t>Carga última 1° 2° Piso</t>
  </si>
  <si>
    <t>Peso propio</t>
  </si>
  <si>
    <t xml:space="preserve">PESOS PROPIOS </t>
  </si>
  <si>
    <t>SUMA PESOS-REACCION=0</t>
  </si>
  <si>
    <t>Numero de vigas</t>
  </si>
  <si>
    <t>Longitues (m)</t>
  </si>
  <si>
    <t xml:space="preserve">Numero X Longitudes </t>
  </si>
  <si>
    <t xml:space="preserve">LONGITUD TOTAL </t>
  </si>
  <si>
    <t>h</t>
  </si>
  <si>
    <t>a</t>
  </si>
  <si>
    <t>MASA DE VIGAS PRIMER PISO (KN)</t>
  </si>
  <si>
    <t>MASA DE VIGAS SEGUNDO PISO (KN)</t>
  </si>
  <si>
    <t>MASA TOTAL (KN)</t>
  </si>
  <si>
    <t xml:space="preserve">Numero de Entrepiso </t>
  </si>
  <si>
    <t xml:space="preserve">Numero de columnas </t>
  </si>
  <si>
    <t>Numero de muros</t>
  </si>
  <si>
    <t>Altura entrepiso (m)</t>
  </si>
  <si>
    <t>Altura de muro(m)</t>
  </si>
  <si>
    <t xml:space="preserve">Longitud </t>
  </si>
  <si>
    <t>ESPECTRO ELASTICO DE ACELERACIONES PARA ANALISIS Y DISEÑO COMO FRACCION DE GRAVEDAD (g)</t>
  </si>
  <si>
    <t xml:space="preserve"> ESPECTRO </t>
  </si>
  <si>
    <t>Aa</t>
  </si>
  <si>
    <t xml:space="preserve">representa la aceleracion horizontal pico afectiva </t>
  </si>
  <si>
    <t>Ts()</t>
  </si>
  <si>
    <t>Sa</t>
  </si>
  <si>
    <t>Av</t>
  </si>
  <si>
    <t>Fa</t>
  </si>
  <si>
    <t xml:space="preserve">representa la velocidad horizontal pico afectiva </t>
  </si>
  <si>
    <t>Fv</t>
  </si>
  <si>
    <t>I</t>
  </si>
  <si>
    <t xml:space="preserve">Coeficiente de amplificacion que afecta la aceleracion en la zona de periodos cortos debido a los efectos de sitio </t>
  </si>
  <si>
    <t>TO</t>
  </si>
  <si>
    <t>TC</t>
  </si>
  <si>
    <t>TL</t>
  </si>
  <si>
    <t xml:space="preserve">Coeficiente que amplifica las ordenadas de espectro en rosa para tener en cuenta los efectos  de sitio en el rango de periodos </t>
  </si>
  <si>
    <t xml:space="preserve">Coeficiente de importancia </t>
  </si>
  <si>
    <t>Espectro</t>
  </si>
  <si>
    <t>CALCULO DE R =ꞗaxꞗpxꞗrxRo</t>
  </si>
  <si>
    <t xml:space="preserve">IRREGULARIDAD EN PLANTA </t>
  </si>
  <si>
    <t>ꞗa=</t>
  </si>
  <si>
    <t xml:space="preserve">IRREGULARIDAD EN ALTURA </t>
  </si>
  <si>
    <t>1ap=</t>
  </si>
  <si>
    <t>1aA=</t>
  </si>
  <si>
    <t>1bp=</t>
  </si>
  <si>
    <t>1bA=</t>
  </si>
  <si>
    <t>1p</t>
  </si>
  <si>
    <t>1A=</t>
  </si>
  <si>
    <t>2p=</t>
  </si>
  <si>
    <t>2A=</t>
  </si>
  <si>
    <t>3p=</t>
  </si>
  <si>
    <t>3A=</t>
  </si>
  <si>
    <t>4p=</t>
  </si>
  <si>
    <t>4A=</t>
  </si>
  <si>
    <t>5aA=</t>
  </si>
  <si>
    <t>5p=</t>
  </si>
  <si>
    <t>5bA=</t>
  </si>
  <si>
    <t xml:space="preserve">ꞗr se determina con base a A.3.3.B AUSENCIA DE REDDUCCION EN EL SISTEMA ESTRUCTURAL DE RESISTENCIA SISMICA </t>
  </si>
  <si>
    <t xml:space="preserve">Para el calculo del Ro se usa la tabla relacionada con el sistema estructural </t>
  </si>
  <si>
    <t xml:space="preserve">SISTEMA ESTRCTURAL </t>
  </si>
  <si>
    <t>TABLA</t>
  </si>
  <si>
    <t>PAG NSR10</t>
  </si>
  <si>
    <t xml:space="preserve">PAG </t>
  </si>
  <si>
    <t>ꞗr =</t>
  </si>
  <si>
    <t xml:space="preserve"> muros de carga </t>
  </si>
  <si>
    <t>A.3-1</t>
  </si>
  <si>
    <t>A52</t>
  </si>
  <si>
    <t xml:space="preserve"> combinado </t>
  </si>
  <si>
    <t>A.3-2</t>
  </si>
  <si>
    <t>A53-A54</t>
  </si>
  <si>
    <t>197-198</t>
  </si>
  <si>
    <t xml:space="preserve">portico resistente a momentos </t>
  </si>
  <si>
    <t>A.3-3</t>
  </si>
  <si>
    <t>A55</t>
  </si>
  <si>
    <t xml:space="preserve">Dual </t>
  </si>
  <si>
    <t>A.3-4</t>
  </si>
  <si>
    <t>A56,A57</t>
  </si>
  <si>
    <t>200-201</t>
  </si>
  <si>
    <t>Ro=</t>
  </si>
  <si>
    <t xml:space="preserve">R </t>
  </si>
  <si>
    <t>Irregularidades</t>
  </si>
  <si>
    <t>Fuerzas Horizontales Equivalentes</t>
  </si>
  <si>
    <t xml:space="preserve">Centro comercial 2 pisos </t>
  </si>
  <si>
    <t xml:space="preserve">PERIODO NATURAL </t>
  </si>
  <si>
    <t>Ta</t>
  </si>
  <si>
    <t>Ct</t>
  </si>
  <si>
    <t>α</t>
  </si>
  <si>
    <t>hn</t>
  </si>
  <si>
    <t xml:space="preserve">Cu </t>
  </si>
  <si>
    <t>Tmax</t>
  </si>
  <si>
    <t>Tescogido</t>
  </si>
  <si>
    <t>S</t>
  </si>
  <si>
    <t>t</t>
  </si>
  <si>
    <t>KN</t>
  </si>
  <si>
    <t>Tonelada</t>
  </si>
  <si>
    <t>MASA DELPRIMER PISO (KN)</t>
  </si>
  <si>
    <t>MASA DEL SEGUNDO PISO (KN)</t>
  </si>
  <si>
    <t>MASA  (KN)</t>
  </si>
  <si>
    <t xml:space="preserve">MASA PRIMER PISO </t>
  </si>
  <si>
    <t xml:space="preserve">MASA SEGUNO PISO </t>
  </si>
  <si>
    <t>PISO 1</t>
  </si>
  <si>
    <t>PISO 2</t>
  </si>
  <si>
    <t>MASA</t>
  </si>
  <si>
    <t xml:space="preserve"> Sa (ACELERACION ESPECTRAL)</t>
  </si>
  <si>
    <t>CORTANTE BASAL(Vs) o FHE</t>
  </si>
  <si>
    <t>Vs</t>
  </si>
  <si>
    <t>K</t>
  </si>
  <si>
    <t>DISTRIBUCION FHE EN ALTURA</t>
  </si>
  <si>
    <t>Piso</t>
  </si>
  <si>
    <t>Cv</t>
  </si>
  <si>
    <t>F</t>
  </si>
  <si>
    <r>
      <t>h</t>
    </r>
    <r>
      <rPr>
        <b/>
        <vertAlign val="superscript"/>
        <sz val="11"/>
        <color theme="1"/>
        <rFont val="Arial Narrow"/>
        <family val="2"/>
      </rPr>
      <t>k</t>
    </r>
  </si>
  <si>
    <r>
      <t>mh</t>
    </r>
    <r>
      <rPr>
        <b/>
        <vertAlign val="superscript"/>
        <sz val="11"/>
        <color theme="1"/>
        <rFont val="Arial Narrow"/>
        <family val="2"/>
      </rPr>
      <t>k</t>
    </r>
  </si>
  <si>
    <t xml:space="preserve">DATOS INICIALES </t>
  </si>
  <si>
    <t xml:space="preserve">Carga de viento </t>
  </si>
  <si>
    <t xml:space="preserve">UBICACIÓN DE LA EDIFICACION </t>
  </si>
  <si>
    <t xml:space="preserve">DEPARTAMENTO </t>
  </si>
  <si>
    <t xml:space="preserve">MUNICIPIO </t>
  </si>
  <si>
    <t xml:space="preserve">ZONA </t>
  </si>
  <si>
    <t xml:space="preserve">Atlantico </t>
  </si>
  <si>
    <t xml:space="preserve">Soledad </t>
  </si>
  <si>
    <t xml:space="preserve">Urbana </t>
  </si>
  <si>
    <t xml:space="preserve">GRUPO DE USO DE LA ESTRUCTURA </t>
  </si>
  <si>
    <t xml:space="preserve">I.Estructura de ocupacion normal </t>
  </si>
  <si>
    <t xml:space="preserve">II. Estrcuturas de ocupacion especial </t>
  </si>
  <si>
    <t xml:space="preserve">III. Edificaciones de atencion a la comunidad </t>
  </si>
  <si>
    <t xml:space="preserve">IV. Edificaciones indispensables </t>
  </si>
  <si>
    <t xml:space="preserve">RIESGO DE HURACANES </t>
  </si>
  <si>
    <t xml:space="preserve">RIESGOS DE HURACANES </t>
  </si>
  <si>
    <t xml:space="preserve">SI </t>
  </si>
  <si>
    <t xml:space="preserve">NO </t>
  </si>
  <si>
    <t>COEFICIENTE DE IMPORTANCIA (I)</t>
  </si>
  <si>
    <t xml:space="preserve">ZONA GEOGRAFICA </t>
  </si>
  <si>
    <t xml:space="preserve">REGION </t>
  </si>
  <si>
    <t xml:space="preserve">VELOCIDADE DEL VIENTO </t>
  </si>
  <si>
    <t>km/h</t>
  </si>
  <si>
    <t>VELOCIDAD DE VIENTO (Km/h)</t>
  </si>
  <si>
    <t xml:space="preserve">EXPOSICION </t>
  </si>
  <si>
    <t>B</t>
  </si>
  <si>
    <t>C</t>
  </si>
  <si>
    <t>D</t>
  </si>
  <si>
    <t xml:space="preserve">ALTURA MEDIA DEL EDIFICIO </t>
  </si>
  <si>
    <t>INTERPOLACION</t>
  </si>
  <si>
    <t xml:space="preserve">LIMITE INFERIOR </t>
  </si>
  <si>
    <t>LIMITE SUPERIOR</t>
  </si>
  <si>
    <t>ALTURA(m)</t>
  </si>
  <si>
    <t>FACTOR DE IMPORTACIA I CARGA DE VIENTO TABLA B.6.5.1</t>
  </si>
  <si>
    <t xml:space="preserve">GRUPO DE USO </t>
  </si>
  <si>
    <t>Regiones con  posibilidad de huracanes y V&gt;45m/s</t>
  </si>
  <si>
    <t>Angulo de Inclinacion de la cubierta (grados)</t>
  </si>
  <si>
    <t xml:space="preserve">caso de carga </t>
  </si>
  <si>
    <t>0 a 5</t>
  </si>
  <si>
    <t>30 a 45</t>
  </si>
  <si>
    <t>17 (60)</t>
  </si>
  <si>
    <t>22(80)</t>
  </si>
  <si>
    <t>28(100)</t>
  </si>
  <si>
    <t>33(210)</t>
  </si>
  <si>
    <t>36(130)</t>
  </si>
  <si>
    <t xml:space="preserve">Zonas </t>
  </si>
  <si>
    <t xml:space="preserve">presiones Horizontales </t>
  </si>
  <si>
    <t xml:space="preserve">presiones Verticales </t>
  </si>
  <si>
    <t xml:space="preserve">Aleros </t>
  </si>
  <si>
    <t>A</t>
  </si>
  <si>
    <t>G</t>
  </si>
  <si>
    <t>H</t>
  </si>
  <si>
    <t>Eoh</t>
  </si>
  <si>
    <t>Goh</t>
  </si>
  <si>
    <t>---</t>
  </si>
  <si>
    <t xml:space="preserve">INTERPOLACION </t>
  </si>
  <si>
    <t>Valor (Inclinacion en grados)</t>
  </si>
  <si>
    <t>Velociddad viento (Km/h)</t>
  </si>
  <si>
    <t xml:space="preserve">CATEGORIA DE EXPOSICION </t>
  </si>
  <si>
    <t>ANGULO DE INCLINACION DE LA CUBIERTA (Grados)</t>
  </si>
  <si>
    <t>ALTURA DE LA EDIFICACION (m)</t>
  </si>
  <si>
    <t>KZT</t>
  </si>
  <si>
    <t>PRESION HORIZONTAL MAXIMA (KN/m2)</t>
  </si>
  <si>
    <t>PRESION VERTICAL MAXIMA (KN/m2)</t>
  </si>
  <si>
    <t>PRESION MAXIMA ALEROS (KN/m2)</t>
  </si>
  <si>
    <t>Regiones no propensas a huracanes, y regiones con posibilidad de huracanes de V= 40-45 m/s</t>
  </si>
  <si>
    <t>velocidad Basica de viento m/s (Km/h)</t>
  </si>
  <si>
    <t>Ps10</t>
  </si>
  <si>
    <t>Ps</t>
  </si>
  <si>
    <t>Presiones Horizontales (KN/m2)</t>
  </si>
  <si>
    <t>Presiones verticales (KN/m2)</t>
  </si>
  <si>
    <t>EXPOSICION ʎ</t>
  </si>
  <si>
    <t xml:space="preserve"> 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</si>
</sst>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000000000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4" tint="0.59999389629810485"/>
      <name val="Arial Narrow"/>
      <family val="2"/>
    </font>
    <font>
      <b/>
      <sz val="12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vertAlign val="superscript"/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Arial Narrow"/>
      <family val="2"/>
    </font>
    <font>
      <b/>
      <sz val="1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4"/>
      <color theme="4"/>
      <name val="Arial Narrow"/>
      <family val="2"/>
    </font>
    <font>
      <sz val="8"/>
      <color theme="1"/>
      <name val="Arial Narrow"/>
      <family val="2"/>
    </font>
    <font>
      <sz val="14"/>
      <color theme="1"/>
      <name val="Arial Narrow"/>
      <family val="2"/>
    </font>
    <font>
      <b/>
      <sz val="11"/>
      <color theme="4"/>
      <name val="Arial Narrow"/>
      <family val="2"/>
    </font>
    <font>
      <b/>
      <vertAlign val="superscript"/>
      <sz val="11"/>
      <color theme="1"/>
      <name val="Arial Narrow"/>
      <family val="2"/>
    </font>
    <font>
      <sz val="11"/>
      <color rgb="FFFF0000"/>
      <name val="Calibri"/>
      <family val="2"/>
      <scheme val="minor"/>
    </font>
    <font>
      <sz val="11"/>
      <color rgb="FFFF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FF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1">
    <xf numFmtId="0" fontId="0" fillId="0" borderId="0" xfId="0"/>
    <xf numFmtId="0" fontId="0" fillId="0" borderId="0" xfId="0" applyBorder="1"/>
    <xf numFmtId="0" fontId="0" fillId="0" borderId="0" xfId="0" applyAlignment="1"/>
    <xf numFmtId="0" fontId="1" fillId="0" borderId="0" xfId="0" applyFont="1"/>
    <xf numFmtId="0" fontId="6" fillId="0" borderId="4" xfId="0" applyFont="1" applyBorder="1" applyAlignment="1">
      <alignment horizontal="center"/>
    </xf>
    <xf numFmtId="0" fontId="6" fillId="0" borderId="0" xfId="0" applyFont="1"/>
    <xf numFmtId="0" fontId="5" fillId="5" borderId="13" xfId="0" applyFont="1" applyFill="1" applyBorder="1" applyAlignment="1">
      <alignment horizontal="center"/>
    </xf>
    <xf numFmtId="0" fontId="6" fillId="0" borderId="4" xfId="0" applyFont="1" applyBorder="1"/>
    <xf numFmtId="0" fontId="5" fillId="5" borderId="13" xfId="0" applyFont="1" applyFill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9" xfId="0" applyFont="1" applyBorder="1"/>
    <xf numFmtId="1" fontId="6" fillId="0" borderId="5" xfId="0" applyNumberFormat="1" applyFont="1" applyBorder="1" applyAlignment="1">
      <alignment horizontal="center"/>
    </xf>
    <xf numFmtId="0" fontId="6" fillId="0" borderId="0" xfId="0" applyFont="1" applyBorder="1"/>
    <xf numFmtId="0" fontId="0" fillId="0" borderId="0" xfId="0" applyFill="1" applyBorder="1"/>
    <xf numFmtId="0" fontId="6" fillId="0" borderId="1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6" fillId="6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Alignment="1">
      <alignment horizontal="right"/>
    </xf>
    <xf numFmtId="2" fontId="6" fillId="0" borderId="1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 applyFill="1"/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165" fontId="6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Fill="1" applyAlignment="1"/>
    <xf numFmtId="0" fontId="6" fillId="6" borderId="0" xfId="0" applyFont="1" applyFill="1" applyAlignment="1"/>
    <xf numFmtId="165" fontId="6" fillId="6" borderId="5" xfId="0" applyNumberFormat="1" applyFont="1" applyFill="1" applyBorder="1" applyAlignment="1"/>
    <xf numFmtId="0" fontId="5" fillId="0" borderId="0" xfId="0" applyFont="1" applyFill="1" applyAlignment="1">
      <alignment horizontal="right"/>
    </xf>
    <xf numFmtId="0" fontId="6" fillId="0" borderId="1" xfId="0" applyFont="1" applyFill="1" applyBorder="1"/>
    <xf numFmtId="0" fontId="5" fillId="0" borderId="3" xfId="0" applyFont="1" applyFill="1" applyBorder="1" applyAlignment="1">
      <alignment vertical="center"/>
    </xf>
    <xf numFmtId="164" fontId="6" fillId="0" borderId="1" xfId="0" applyNumberFormat="1" applyFont="1" applyFill="1" applyBorder="1"/>
    <xf numFmtId="165" fontId="6" fillId="0" borderId="1" xfId="0" applyNumberFormat="1" applyFont="1" applyBorder="1" applyAlignment="1">
      <alignment horizontal="center"/>
    </xf>
    <xf numFmtId="165" fontId="6" fillId="6" borderId="0" xfId="0" applyNumberFormat="1" applyFont="1" applyFill="1"/>
    <xf numFmtId="2" fontId="6" fillId="6" borderId="0" xfId="0" applyNumberFormat="1" applyFont="1" applyFill="1" applyAlignment="1"/>
    <xf numFmtId="2" fontId="6" fillId="0" borderId="0" xfId="0" applyNumberFormat="1" applyFont="1" applyFill="1" applyAlignment="1"/>
    <xf numFmtId="0" fontId="6" fillId="0" borderId="0" xfId="0" applyFont="1" applyAlignment="1"/>
    <xf numFmtId="165" fontId="6" fillId="6" borderId="0" xfId="0" applyNumberFormat="1" applyFont="1" applyFill="1" applyAlignment="1"/>
    <xf numFmtId="0" fontId="6" fillId="6" borderId="0" xfId="0" applyFont="1" applyFill="1" applyAlignment="1">
      <alignment horizontal="right"/>
    </xf>
    <xf numFmtId="0" fontId="6" fillId="6" borderId="0" xfId="0" applyFont="1" applyFill="1" applyAlignment="1">
      <alignment horizontal="left"/>
    </xf>
    <xf numFmtId="0" fontId="1" fillId="0" borderId="0" xfId="0" applyFont="1" applyFill="1" applyBorder="1" applyAlignment="1"/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1" fillId="0" borderId="0" xfId="0" applyFont="1" applyBorder="1" applyAlignment="1">
      <alignment horizontal="center"/>
    </xf>
    <xf numFmtId="0" fontId="0" fillId="6" borderId="0" xfId="0" applyFill="1" applyAlignment="1">
      <alignment horizontal="center"/>
    </xf>
    <xf numFmtId="2" fontId="0" fillId="0" borderId="0" xfId="0" applyNumberFormat="1"/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0" borderId="0" xfId="0" applyFont="1" applyFill="1" applyBorder="1" applyAlignment="1"/>
    <xf numFmtId="0" fontId="1" fillId="0" borderId="0" xfId="0" applyFont="1" applyBorder="1"/>
    <xf numFmtId="0" fontId="1" fillId="6" borderId="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Fill="1" applyBorder="1" applyAlignment="1"/>
    <xf numFmtId="0" fontId="4" fillId="6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2" fontId="6" fillId="6" borderId="13" xfId="0" applyNumberFormat="1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0" fontId="5" fillId="4" borderId="0" xfId="0" applyFont="1" applyFill="1" applyBorder="1"/>
    <xf numFmtId="0" fontId="6" fillId="4" borderId="13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0" borderId="1" xfId="0" applyFont="1" applyBorder="1"/>
    <xf numFmtId="0" fontId="5" fillId="6" borderId="0" xfId="0" applyFont="1" applyFill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2" fontId="6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5" fillId="6" borderId="0" xfId="0" applyFont="1" applyFill="1" applyAlignment="1">
      <alignment horizontal="left"/>
    </xf>
    <xf numFmtId="4" fontId="6" fillId="0" borderId="1" xfId="0" applyNumberFormat="1" applyFont="1" applyBorder="1" applyAlignment="1">
      <alignment horizontal="center"/>
    </xf>
    <xf numFmtId="0" fontId="5" fillId="6" borderId="0" xfId="0" applyFont="1" applyFill="1" applyAlignment="1">
      <alignment vertical="center"/>
    </xf>
    <xf numFmtId="164" fontId="6" fillId="6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 vertical="center" wrapText="1"/>
    </xf>
    <xf numFmtId="1" fontId="6" fillId="0" borderId="1" xfId="0" applyNumberFormat="1" applyFont="1" applyFill="1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/>
    <xf numFmtId="0" fontId="6" fillId="4" borderId="0" xfId="0" applyFont="1" applyFill="1"/>
    <xf numFmtId="0" fontId="6" fillId="6" borderId="15" xfId="0" applyFont="1" applyFill="1" applyBorder="1" applyAlignment="1"/>
    <xf numFmtId="0" fontId="5" fillId="0" borderId="0" xfId="0" applyFont="1" applyFill="1" applyBorder="1" applyAlignment="1"/>
    <xf numFmtId="0" fontId="5" fillId="6" borderId="0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2" fontId="1" fillId="6" borderId="7" xfId="0" applyNumberFormat="1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164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/>
    <xf numFmtId="2" fontId="6" fillId="6" borderId="0" xfId="0" applyNumberFormat="1" applyFont="1" applyFill="1" applyBorder="1" applyAlignment="1">
      <alignment horizontal="center"/>
    </xf>
    <xf numFmtId="167" fontId="6" fillId="6" borderId="0" xfId="0" applyNumberFormat="1" applyFont="1" applyFill="1" applyBorder="1" applyAlignment="1">
      <alignment horizontal="center" vertical="center"/>
    </xf>
    <xf numFmtId="2" fontId="6" fillId="6" borderId="2" xfId="0" applyNumberFormat="1" applyFont="1" applyFill="1" applyBorder="1" applyAlignment="1">
      <alignment horizontal="center"/>
    </xf>
    <xf numFmtId="0" fontId="6" fillId="6" borderId="4" xfId="0" applyFont="1" applyFill="1" applyBorder="1" applyAlignment="1">
      <alignment vertical="center"/>
    </xf>
    <xf numFmtId="2" fontId="6" fillId="6" borderId="5" xfId="0" applyNumberFormat="1" applyFont="1" applyFill="1" applyBorder="1" applyAlignment="1">
      <alignment horizontal="center"/>
    </xf>
    <xf numFmtId="0" fontId="6" fillId="6" borderId="6" xfId="0" applyFont="1" applyFill="1" applyBorder="1" applyAlignment="1">
      <alignment vertical="center"/>
    </xf>
    <xf numFmtId="2" fontId="6" fillId="6" borderId="7" xfId="0" applyNumberFormat="1" applyFont="1" applyFill="1" applyBorder="1" applyAlignment="1">
      <alignment horizontal="center"/>
    </xf>
    <xf numFmtId="0" fontId="6" fillId="6" borderId="9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6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5" fontId="6" fillId="6" borderId="0" xfId="0" applyNumberFormat="1" applyFont="1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65" fontId="0" fillId="6" borderId="0" xfId="0" applyNumberFormat="1" applyFill="1" applyBorder="1" applyAlignment="1">
      <alignment horizontal="center"/>
    </xf>
    <xf numFmtId="2" fontId="1" fillId="0" borderId="0" xfId="0" applyNumberFormat="1" applyFont="1"/>
    <xf numFmtId="165" fontId="8" fillId="6" borderId="0" xfId="0" applyNumberFormat="1" applyFont="1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6" xfId="0" applyFont="1" applyBorder="1"/>
    <xf numFmtId="0" fontId="1" fillId="0" borderId="17" xfId="0" applyFont="1" applyBorder="1"/>
    <xf numFmtId="0" fontId="0" fillId="0" borderId="18" xfId="0" applyBorder="1"/>
    <xf numFmtId="0" fontId="1" fillId="0" borderId="19" xfId="0" applyFont="1" applyBorder="1"/>
    <xf numFmtId="0" fontId="4" fillId="0" borderId="24" xfId="0" applyFont="1" applyBorder="1" applyAlignment="1">
      <alignment horizontal="center" vertical="center"/>
    </xf>
    <xf numFmtId="0" fontId="4" fillId="8" borderId="25" xfId="0" applyFont="1" applyFill="1" applyBorder="1" applyAlignment="1">
      <alignment horizontal="center"/>
    </xf>
    <xf numFmtId="0" fontId="4" fillId="8" borderId="26" xfId="0" applyFont="1" applyFill="1" applyBorder="1" applyAlignment="1">
      <alignment horizontal="center"/>
    </xf>
    <xf numFmtId="0" fontId="4" fillId="0" borderId="0" xfId="0" applyFont="1"/>
    <xf numFmtId="0" fontId="4" fillId="11" borderId="1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0" fontId="1" fillId="0" borderId="21" xfId="0" applyFont="1" applyBorder="1"/>
    <xf numFmtId="0" fontId="1" fillId="0" borderId="22" xfId="0" applyFont="1" applyBorder="1"/>
    <xf numFmtId="0" fontId="4" fillId="0" borderId="16" xfId="0" applyFont="1" applyBorder="1" applyAlignment="1">
      <alignment horizontal="right"/>
    </xf>
    <xf numFmtId="0" fontId="1" fillId="12" borderId="18" xfId="0" applyFont="1" applyFill="1" applyBorder="1" applyAlignment="1">
      <alignment horizontal="center"/>
    </xf>
    <xf numFmtId="0" fontId="4" fillId="0" borderId="27" xfId="0" applyFont="1" applyBorder="1" applyAlignment="1">
      <alignment horizontal="right"/>
    </xf>
    <xf numFmtId="0" fontId="1" fillId="12" borderId="28" xfId="0" applyFont="1" applyFill="1" applyBorder="1" applyAlignment="1">
      <alignment horizontal="center"/>
    </xf>
    <xf numFmtId="0" fontId="1" fillId="0" borderId="17" xfId="0" applyFont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1" fillId="9" borderId="0" xfId="0" applyFont="1" applyFill="1" applyAlignment="1">
      <alignment horizontal="center"/>
    </xf>
    <xf numFmtId="0" fontId="1" fillId="9" borderId="20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right"/>
    </xf>
    <xf numFmtId="0" fontId="1" fillId="9" borderId="23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0" xfId="0" applyFont="1" applyBorder="1"/>
    <xf numFmtId="0" fontId="1" fillId="0" borderId="23" xfId="0" applyFont="1" applyBorder="1"/>
    <xf numFmtId="0" fontId="1" fillId="0" borderId="16" xfId="0" applyFont="1" applyBorder="1" applyAlignment="1">
      <alignment horizontal="right"/>
    </xf>
    <xf numFmtId="0" fontId="4" fillId="6" borderId="1" xfId="0" applyFont="1" applyFill="1" applyBorder="1" applyAlignment="1">
      <alignment horizontal="center"/>
    </xf>
    <xf numFmtId="0" fontId="1" fillId="0" borderId="19" xfId="0" applyFont="1" applyBorder="1" applyAlignment="1">
      <alignment horizontal="right"/>
    </xf>
    <xf numFmtId="0" fontId="1" fillId="12" borderId="0" xfId="0" applyFont="1" applyFill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9" borderId="22" xfId="0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0" fillId="0" borderId="16" xfId="0" applyBorder="1"/>
    <xf numFmtId="0" fontId="0" fillId="0" borderId="17" xfId="0" applyBorder="1"/>
    <xf numFmtId="0" fontId="4" fillId="0" borderId="0" xfId="0" applyFont="1" applyBorder="1"/>
    <xf numFmtId="2" fontId="1" fillId="5" borderId="0" xfId="0" applyNumberFormat="1" applyFont="1" applyFill="1" applyBorder="1" applyAlignment="1">
      <alignment horizontal="center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/>
    <xf numFmtId="2" fontId="1" fillId="5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/>
    <xf numFmtId="2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6" borderId="0" xfId="0" applyFont="1" applyFill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2" fontId="1" fillId="0" borderId="1" xfId="0" applyNumberFormat="1" applyFont="1" applyBorder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6" xfId="0" applyBorder="1"/>
    <xf numFmtId="0" fontId="0" fillId="0" borderId="37" xfId="0" applyBorder="1" applyAlignment="1">
      <alignment vertical="center" wrapText="1"/>
    </xf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36" xfId="0" applyBorder="1" applyAlignment="1">
      <alignment horizontal="center" vertical="center"/>
    </xf>
    <xf numFmtId="0" fontId="20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0" fillId="0" borderId="0" xfId="0" applyFont="1" applyBorder="1"/>
    <xf numFmtId="0" fontId="0" fillId="0" borderId="3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37" xfId="0" applyBorder="1" applyAlignment="1">
      <alignment horizontal="center"/>
    </xf>
    <xf numFmtId="0" fontId="0" fillId="0" borderId="45" xfId="0" applyBorder="1"/>
    <xf numFmtId="0" fontId="0" fillId="0" borderId="46" xfId="0" applyBorder="1"/>
    <xf numFmtId="0" fontId="0" fillId="0" borderId="48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6" xfId="0" quotePrefix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3" xfId="0" quotePrefix="1" applyBorder="1" applyAlignment="1">
      <alignment horizontal="center"/>
    </xf>
    <xf numFmtId="0" fontId="0" fillId="0" borderId="15" xfId="0" quotePrefix="1" applyBorder="1" applyAlignment="1">
      <alignment horizontal="center"/>
    </xf>
    <xf numFmtId="0" fontId="0" fillId="0" borderId="37" xfId="0" quotePrefix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8" fillId="5" borderId="40" xfId="0" applyFont="1" applyFill="1" applyBorder="1" applyAlignment="1">
      <alignment horizontal="center"/>
    </xf>
    <xf numFmtId="0" fontId="20" fillId="0" borderId="54" xfId="0" applyFont="1" applyBorder="1" applyAlignment="1">
      <alignment horizontal="center"/>
    </xf>
    <xf numFmtId="0" fontId="20" fillId="0" borderId="55" xfId="0" applyFont="1" applyBorder="1" applyAlignment="1">
      <alignment horizontal="center"/>
    </xf>
    <xf numFmtId="0" fontId="0" fillId="0" borderId="45" xfId="0" applyBorder="1" applyAlignment="1">
      <alignment horizontal="left"/>
    </xf>
    <xf numFmtId="0" fontId="20" fillId="0" borderId="1" xfId="0" applyFont="1" applyBorder="1" applyAlignment="1">
      <alignment horizontal="center"/>
    </xf>
    <xf numFmtId="0" fontId="20" fillId="0" borderId="39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8" fillId="5" borderId="25" xfId="0" applyFont="1" applyFill="1" applyBorder="1" applyAlignment="1">
      <alignment horizontal="center"/>
    </xf>
    <xf numFmtId="0" fontId="8" fillId="5" borderId="53" xfId="0" applyFont="1" applyFill="1" applyBorder="1" applyAlignment="1">
      <alignment horizontal="center"/>
    </xf>
    <xf numFmtId="0" fontId="8" fillId="5" borderId="26" xfId="0" applyFont="1" applyFill="1" applyBorder="1"/>
    <xf numFmtId="0" fontId="0" fillId="0" borderId="57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33" xfId="0" applyBorder="1" applyAlignment="1">
      <alignment horizontal="center"/>
    </xf>
    <xf numFmtId="164" fontId="20" fillId="0" borderId="4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5" xfId="0" applyFill="1" applyBorder="1"/>
    <xf numFmtId="0" fontId="4" fillId="5" borderId="1" xfId="0" applyFont="1" applyFill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center"/>
    </xf>
    <xf numFmtId="0" fontId="12" fillId="6" borderId="0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3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0" xfId="0" applyFont="1" applyFill="1" applyAlignment="1">
      <alignment horizontal="center" vertical="top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/>
    </xf>
    <xf numFmtId="0" fontId="14" fillId="8" borderId="14" xfId="0" applyFont="1" applyFill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2" fontId="5" fillId="6" borderId="0" xfId="0" applyNumberFormat="1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2" fontId="6" fillId="6" borderId="3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4" fillId="10" borderId="1" xfId="0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17" fillId="12" borderId="27" xfId="0" applyFont="1" applyFill="1" applyBorder="1" applyAlignment="1">
      <alignment horizontal="center"/>
    </xf>
    <xf numFmtId="0" fontId="17" fillId="12" borderId="28" xfId="0" applyFont="1" applyFill="1" applyBorder="1" applyAlignment="1">
      <alignment horizontal="center"/>
    </xf>
    <xf numFmtId="0" fontId="17" fillId="8" borderId="19" xfId="0" applyFont="1" applyFill="1" applyBorder="1" applyAlignment="1">
      <alignment horizontal="center"/>
    </xf>
    <xf numFmtId="0" fontId="17" fillId="8" borderId="0" xfId="0" applyFont="1" applyFill="1" applyBorder="1" applyAlignment="1">
      <alignment horizontal="center"/>
    </xf>
    <xf numFmtId="0" fontId="17" fillId="8" borderId="20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4" fillId="13" borderId="0" xfId="0" applyFont="1" applyFill="1" applyBorder="1" applyAlignment="1">
      <alignment horizontal="center"/>
    </xf>
    <xf numFmtId="0" fontId="8" fillId="6" borderId="0" xfId="0" applyFont="1" applyFill="1" applyBorder="1" applyAlignment="1">
      <alignment horizontal="center"/>
    </xf>
    <xf numFmtId="0" fontId="13" fillId="6" borderId="0" xfId="0" applyFont="1" applyFill="1" applyBorder="1" applyAlignment="1">
      <alignment horizontal="center"/>
    </xf>
    <xf numFmtId="0" fontId="14" fillId="6" borderId="0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2" fontId="21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 wrapText="1"/>
    </xf>
    <xf numFmtId="0" fontId="8" fillId="5" borderId="38" xfId="0" applyFont="1" applyFill="1" applyBorder="1" applyAlignment="1">
      <alignment horizontal="center" wrapText="1"/>
    </xf>
    <xf numFmtId="0" fontId="8" fillId="5" borderId="25" xfId="0" applyFont="1" applyFill="1" applyBorder="1" applyAlignment="1">
      <alignment horizontal="center"/>
    </xf>
    <xf numFmtId="0" fontId="8" fillId="5" borderId="52" xfId="0" applyFont="1" applyFill="1" applyBorder="1" applyAlignment="1">
      <alignment horizontal="center"/>
    </xf>
    <xf numFmtId="0" fontId="8" fillId="5" borderId="33" xfId="0" applyFont="1" applyFill="1" applyBorder="1" applyAlignment="1">
      <alignment horizontal="center"/>
    </xf>
    <xf numFmtId="0" fontId="8" fillId="5" borderId="34" xfId="0" applyFont="1" applyFill="1" applyBorder="1" applyAlignment="1">
      <alignment horizontal="center"/>
    </xf>
    <xf numFmtId="0" fontId="8" fillId="5" borderId="35" xfId="0" applyFont="1" applyFill="1" applyBorder="1" applyAlignment="1">
      <alignment horizontal="center"/>
    </xf>
    <xf numFmtId="0" fontId="8" fillId="5" borderId="48" xfId="0" applyFon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8" fillId="0" borderId="38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5" borderId="56" xfId="0" applyFont="1" applyFill="1" applyBorder="1" applyAlignment="1">
      <alignment horizontal="center"/>
    </xf>
    <xf numFmtId="0" fontId="8" fillId="5" borderId="28" xfId="0" applyFont="1" applyFill="1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1" xfId="0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8" fillId="5" borderId="41" xfId="0" applyFont="1" applyFill="1" applyBorder="1" applyAlignment="1">
      <alignment horizontal="center" vertical="center" wrapText="1"/>
    </xf>
    <xf numFmtId="0" fontId="8" fillId="5" borderId="36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 wrapText="1"/>
    </xf>
    <xf numFmtId="0" fontId="8" fillId="5" borderId="32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 wrapText="1"/>
    </xf>
    <xf numFmtId="0" fontId="8" fillId="5" borderId="39" xfId="0" applyFont="1" applyFill="1" applyBorder="1" applyAlignment="1">
      <alignment horizontal="center" wrapText="1"/>
    </xf>
    <xf numFmtId="0" fontId="8" fillId="5" borderId="3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39" xfId="0" applyFont="1" applyFill="1" applyBorder="1" applyAlignment="1">
      <alignment horizontal="center" vertical="center" wrapText="1"/>
    </xf>
    <xf numFmtId="0" fontId="8" fillId="5" borderId="32" xfId="0" applyFont="1" applyFill="1" applyBorder="1" applyAlignment="1">
      <alignment horizontal="center"/>
    </xf>
    <xf numFmtId="0" fontId="8" fillId="5" borderId="42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8" fillId="5" borderId="4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419" b="1">
                <a:latin typeface="Arial Narrow" panose="020B0606020202030204" pitchFamily="34" charset="0"/>
              </a:rPr>
              <a:t>ESPECTRO</a:t>
            </a:r>
            <a:r>
              <a:rPr lang="es-419" b="1" baseline="0">
                <a:latin typeface="Arial Narrow" panose="020B0606020202030204" pitchFamily="34" charset="0"/>
              </a:rPr>
              <a:t> DE RESPUESTA </a:t>
            </a:r>
          </a:p>
          <a:p>
            <a:pPr>
              <a:defRPr b="1">
                <a:latin typeface="Arial Narrow" panose="020B0606020202030204" pitchFamily="34" charset="0"/>
              </a:defRPr>
            </a:pPr>
            <a:r>
              <a:rPr lang="es-419" b="1" baseline="0">
                <a:latin typeface="Arial Narrow" panose="020B0606020202030204" pitchFamily="34" charset="0"/>
              </a:rPr>
              <a:t>SOLEDADD-ATLANTICO </a:t>
            </a:r>
            <a:endParaRPr lang="es-419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419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[1]ESPECTRO!$H$23:$H$45</c:f>
              <c:numCache>
                <c:formatCode>General</c:formatCode>
                <c:ptCount val="23"/>
                <c:pt idx="0">
                  <c:v>0</c:v>
                </c:pt>
                <c:pt idx="1">
                  <c:v>0.1</c:v>
                </c:pt>
                <c:pt idx="2">
                  <c:v>0.14999999999999997</c:v>
                </c:pt>
                <c:pt idx="3">
                  <c:v>0.2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0.6</c:v>
                </c:pt>
                <c:pt idx="8">
                  <c:v>0.7</c:v>
                </c:pt>
                <c:pt idx="9">
                  <c:v>0.71999999999999975</c:v>
                </c:pt>
                <c:pt idx="10">
                  <c:v>0.8</c:v>
                </c:pt>
                <c:pt idx="11">
                  <c:v>0.9</c:v>
                </c:pt>
                <c:pt idx="12">
                  <c:v>1</c:v>
                </c:pt>
                <c:pt idx="13">
                  <c:v>1.5</c:v>
                </c:pt>
                <c:pt idx="14">
                  <c:v>2</c:v>
                </c:pt>
                <c:pt idx="15">
                  <c:v>2.5</c:v>
                </c:pt>
                <c:pt idx="16">
                  <c:v>3</c:v>
                </c:pt>
                <c:pt idx="17">
                  <c:v>3.5</c:v>
                </c:pt>
                <c:pt idx="18">
                  <c:v>4</c:v>
                </c:pt>
                <c:pt idx="19">
                  <c:v>4.5</c:v>
                </c:pt>
                <c:pt idx="20">
                  <c:v>5</c:v>
                </c:pt>
                <c:pt idx="21">
                  <c:v>5.5</c:v>
                </c:pt>
                <c:pt idx="22">
                  <c:v>5.76</c:v>
                </c:pt>
              </c:numCache>
            </c:numRef>
          </c:xVal>
          <c:yVal>
            <c:numRef>
              <c:f>[1]ESPECTRO!$I$23:$I$45</c:f>
              <c:numCache>
                <c:formatCode>General</c:formatCode>
                <c:ptCount val="23"/>
                <c:pt idx="0">
                  <c:v>0.44000000000000006</c:v>
                </c:pt>
                <c:pt idx="1">
                  <c:v>0.44000000000000006</c:v>
                </c:pt>
                <c:pt idx="2">
                  <c:v>0.44000000000000006</c:v>
                </c:pt>
                <c:pt idx="3">
                  <c:v>0.44000000000000006</c:v>
                </c:pt>
                <c:pt idx="4">
                  <c:v>0.44000000000000006</c:v>
                </c:pt>
                <c:pt idx="5">
                  <c:v>0.44000000000000006</c:v>
                </c:pt>
                <c:pt idx="6">
                  <c:v>0.44000000000000006</c:v>
                </c:pt>
                <c:pt idx="7">
                  <c:v>0.44000000000000006</c:v>
                </c:pt>
                <c:pt idx="8">
                  <c:v>0.44000000000000006</c:v>
                </c:pt>
                <c:pt idx="9">
                  <c:v>0.44000000000000006</c:v>
                </c:pt>
                <c:pt idx="10">
                  <c:v>0.39600000000000002</c:v>
                </c:pt>
                <c:pt idx="11">
                  <c:v>0.35200000000000004</c:v>
                </c:pt>
                <c:pt idx="12">
                  <c:v>0.31680000000000003</c:v>
                </c:pt>
                <c:pt idx="13">
                  <c:v>0.21120000000000003</c:v>
                </c:pt>
                <c:pt idx="14">
                  <c:v>0.15840000000000001</c:v>
                </c:pt>
                <c:pt idx="15">
                  <c:v>0.12672</c:v>
                </c:pt>
                <c:pt idx="16">
                  <c:v>0.10560000000000001</c:v>
                </c:pt>
                <c:pt idx="17">
                  <c:v>9.0514285714285728E-2</c:v>
                </c:pt>
                <c:pt idx="18">
                  <c:v>7.9200000000000007E-2</c:v>
                </c:pt>
                <c:pt idx="19">
                  <c:v>7.0400000000000004E-2</c:v>
                </c:pt>
                <c:pt idx="20">
                  <c:v>6.336E-2</c:v>
                </c:pt>
                <c:pt idx="21">
                  <c:v>5.7600000000000005E-2</c:v>
                </c:pt>
                <c:pt idx="22">
                  <c:v>5.5000000000000007E-2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49B-483A-8850-62FEE9D43703}"/>
            </c:ext>
          </c:extLst>
        </c:ser>
        <c:ser>
          <c:idx val="1"/>
          <c:order val="1"/>
          <c:tx>
            <c:v>To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[1]ESPECTRO!$H$47:$H$48</c:f>
              <c:numCache>
                <c:formatCode>General</c:formatCode>
                <c:ptCount val="2"/>
                <c:pt idx="0">
                  <c:v>0.14999999999999997</c:v>
                </c:pt>
                <c:pt idx="1">
                  <c:v>0.14999999999999997</c:v>
                </c:pt>
              </c:numCache>
            </c:numRef>
          </c:xVal>
          <c:yVal>
            <c:numRef>
              <c:f>[1]ESPECTRO!$I$47:$I$48</c:f>
              <c:numCache>
                <c:formatCode>General</c:formatCode>
                <c:ptCount val="2"/>
                <c:pt idx="0">
                  <c:v>0</c:v>
                </c:pt>
                <c:pt idx="1">
                  <c:v>0.44000000000000006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49B-483A-8850-62FEE9D43703}"/>
            </c:ext>
          </c:extLst>
        </c:ser>
        <c:ser>
          <c:idx val="2"/>
          <c:order val="2"/>
          <c:tx>
            <c:v>Tc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[1]ESPECTRO!$H$50:$H$51</c:f>
              <c:numCache>
                <c:formatCode>General</c:formatCode>
                <c:ptCount val="2"/>
                <c:pt idx="0">
                  <c:v>0.71999999999999975</c:v>
                </c:pt>
                <c:pt idx="1">
                  <c:v>0.71999999999999975</c:v>
                </c:pt>
              </c:numCache>
            </c:numRef>
          </c:xVal>
          <c:yVal>
            <c:numRef>
              <c:f>[1]ESPECTRO!$I$50:$I$51</c:f>
              <c:numCache>
                <c:formatCode>General</c:formatCode>
                <c:ptCount val="2"/>
                <c:pt idx="0">
                  <c:v>0</c:v>
                </c:pt>
                <c:pt idx="1">
                  <c:v>0.44000000000000006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49B-483A-8850-62FEE9D43703}"/>
            </c:ext>
          </c:extLst>
        </c:ser>
        <c:ser>
          <c:idx val="3"/>
          <c:order val="3"/>
          <c:tx>
            <c:v>TL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[1]ESPECTRO!$H$53:$H$54</c:f>
              <c:numCache>
                <c:formatCode>General</c:formatCode>
                <c:ptCount val="2"/>
                <c:pt idx="0">
                  <c:v>5.76</c:v>
                </c:pt>
                <c:pt idx="1">
                  <c:v>5.76</c:v>
                </c:pt>
              </c:numCache>
            </c:numRef>
          </c:xVal>
          <c:yVal>
            <c:numRef>
              <c:f>[1]ESPECTRO!$I$53:$I$54</c:f>
              <c:numCache>
                <c:formatCode>General</c:formatCode>
                <c:ptCount val="2"/>
                <c:pt idx="0">
                  <c:v>0</c:v>
                </c:pt>
                <c:pt idx="1">
                  <c:v>5.5000000000000007E-2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49B-483A-8850-62FEE9D43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7988000"/>
        <c:axId val="487988656"/>
      </c:scatterChart>
      <c:valAx>
        <c:axId val="4879880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/>
                  <a:t>PERIODO</a:t>
                </a:r>
                <a:r>
                  <a:rPr lang="es-419" baseline="0"/>
                  <a:t> Ts</a:t>
                </a:r>
                <a:endParaRPr lang="es-419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87988656"/>
        <c:crosses val="autoZero"/>
        <c:crossBetween val="midCat"/>
      </c:valAx>
      <c:valAx>
        <c:axId val="48798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/>
                  <a:t>ESPECTRO</a:t>
                </a:r>
                <a:r>
                  <a:rPr lang="es-419" baseline="0"/>
                  <a:t> DE ACELERACION Sa</a:t>
                </a:r>
                <a:endParaRPr lang="es-419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87988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6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7.png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image" Target="../media/image2.jpeg"/><Relationship Id="rId4" Type="http://schemas.microsoft.com/office/2007/relationships/hdphoto" Target="../media/hdphoto1.wdp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13" Type="http://schemas.openxmlformats.org/officeDocument/2006/relationships/image" Target="../media/image2.jpe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12" Type="http://schemas.microsoft.com/office/2007/relationships/hdphoto" Target="../media/hdphoto1.wdp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.png"/><Relationship Id="rId5" Type="http://schemas.openxmlformats.org/officeDocument/2006/relationships/image" Target="../media/image12.png"/><Relationship Id="rId10" Type="http://schemas.openxmlformats.org/officeDocument/2006/relationships/image" Target="../media/image17.png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2.jpeg"/><Relationship Id="rId7" Type="http://schemas.openxmlformats.org/officeDocument/2006/relationships/image" Target="../media/image20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173477</xdr:colOff>
      <xdr:row>2</xdr:row>
      <xdr:rowOff>32913</xdr:rowOff>
    </xdr:from>
    <xdr:to>
      <xdr:col>5</xdr:col>
      <xdr:colOff>169333</xdr:colOff>
      <xdr:row>5</xdr:row>
      <xdr:rowOff>4323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722ADB-2B75-45CB-9E02-CBA4BAE95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12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427727" y="435080"/>
          <a:ext cx="1403439" cy="532326"/>
        </a:xfrm>
        <a:prstGeom prst="rect">
          <a:avLst/>
        </a:prstGeom>
        <a:blipFill dpi="0" rotWithShape="1">
          <a:blip xmlns:r="http://schemas.openxmlformats.org/officeDocument/2006/relationships" r:embed="rId3">
            <a:alphaModFix amt="1000"/>
          </a:blip>
          <a:srcRect/>
          <a:tile tx="0" ty="0" sx="100000" sy="100000" flip="none" algn="tl"/>
        </a:blipFill>
        <a:effectLst>
          <a:outerShdw blurRad="50800" dist="50800" dir="5400000" sx="1000" sy="1000" algn="ctr" rotWithShape="0">
            <a:srgbClr val="000000">
              <a:alpha val="0"/>
            </a:srgbClr>
          </a:outerShdw>
        </a:effectLst>
      </xdr:spPr>
    </xdr:pic>
    <xdr:clientData/>
  </xdr:twoCellAnchor>
  <xdr:twoCellAnchor editAs="oneCell">
    <xdr:from>
      <xdr:col>0</xdr:col>
      <xdr:colOff>180447</xdr:colOff>
      <xdr:row>0</xdr:row>
      <xdr:rowOff>129384</xdr:rowOff>
    </xdr:from>
    <xdr:to>
      <xdr:col>0</xdr:col>
      <xdr:colOff>942447</xdr:colOff>
      <xdr:row>4</xdr:row>
      <xdr:rowOff>65883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3A85695-CC80-40E1-9126-DCC3D11C6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0447" y="129384"/>
          <a:ext cx="762000" cy="688974"/>
        </a:xfrm>
        <a:prstGeom prst="rect">
          <a:avLst/>
        </a:prstGeom>
      </xdr:spPr>
    </xdr:pic>
    <xdr:clientData/>
  </xdr:twoCellAnchor>
  <xdr:twoCellAnchor editAs="oneCell">
    <xdr:from>
      <xdr:col>7</xdr:col>
      <xdr:colOff>55035</xdr:colOff>
      <xdr:row>0</xdr:row>
      <xdr:rowOff>122772</xdr:rowOff>
    </xdr:from>
    <xdr:to>
      <xdr:col>7</xdr:col>
      <xdr:colOff>774700</xdr:colOff>
      <xdr:row>4</xdr:row>
      <xdr:rowOff>112185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5DCBAB0-81C0-4479-B3FD-06C19AA27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84285" y="122772"/>
          <a:ext cx="719665" cy="741888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317500</xdr:colOff>
      <xdr:row>30</xdr:row>
      <xdr:rowOff>31751</xdr:rowOff>
    </xdr:from>
    <xdr:to>
      <xdr:col>5</xdr:col>
      <xdr:colOff>539750</xdr:colOff>
      <xdr:row>34</xdr:row>
      <xdr:rowOff>136110</xdr:rowOff>
    </xdr:to>
    <xdr:pic>
      <xdr:nvPicPr>
        <xdr:cNvPr id="5" name="Imagen 4" descr="Resultado de imagen para placa aligerada sin cas">
          <a:extLst>
            <a:ext uri="{FF2B5EF4-FFF2-40B4-BE49-F238E27FC236}">
              <a16:creationId xmlns:a16="http://schemas.microsoft.com/office/drawing/2014/main" id="{90997EB8-CC76-4549-9A3C-668CC8551C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06"/>
        <a:stretch/>
      </xdr:blipFill>
      <xdr:spPr bwMode="auto">
        <a:xfrm>
          <a:off x="1947333" y="5101168"/>
          <a:ext cx="2190750" cy="913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254000</xdr:colOff>
      <xdr:row>38</xdr:row>
      <xdr:rowOff>118532</xdr:rowOff>
    </xdr:from>
    <xdr:to>
      <xdr:col>6</xdr:col>
      <xdr:colOff>158749</xdr:colOff>
      <xdr:row>41</xdr:row>
      <xdr:rowOff>126999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D7CC1D5F-36B7-4D5A-AA98-4B9F648EF4C0}"/>
            </a:ext>
          </a:extLst>
        </xdr:cNvPr>
        <xdr:cNvSpPr txBox="1"/>
      </xdr:nvSpPr>
      <xdr:spPr>
        <a:xfrm>
          <a:off x="1418167" y="6479115"/>
          <a:ext cx="3354915" cy="6540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200">
              <a:latin typeface="Arial Narrow" panose="020B0606020202030204" pitchFamily="34" charset="0"/>
              <a:cs typeface="Arial" panose="020B0604020202020204" pitchFamily="34" charset="0"/>
            </a:rPr>
            <a:t>1. Para</a:t>
          </a:r>
          <a:r>
            <a:rPr lang="es-CO" sz="1200" baseline="0">
              <a:latin typeface="Arial Narrow" panose="020B0606020202030204" pitchFamily="34" charset="0"/>
              <a:cs typeface="Arial" panose="020B0604020202020204" pitchFamily="34" charset="0"/>
            </a:rPr>
            <a:t> el cálculo de la dimension de la losa se debe tener en cuenta siempre la luz mas larga entre columnas.</a:t>
          </a:r>
          <a:endParaRPr lang="es-CO" sz="1200">
            <a:latin typeface="Arial Narrow" panose="020B0606020202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455082</xdr:colOff>
      <xdr:row>41</xdr:row>
      <xdr:rowOff>232832</xdr:rowOff>
    </xdr:from>
    <xdr:to>
      <xdr:col>5</xdr:col>
      <xdr:colOff>423333</xdr:colOff>
      <xdr:row>45</xdr:row>
      <xdr:rowOff>116416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5C9EEB77-0F46-4C7F-930A-94EDA96F1F45}"/>
            </a:ext>
          </a:extLst>
        </xdr:cNvPr>
        <xdr:cNvSpPr txBox="1"/>
      </xdr:nvSpPr>
      <xdr:spPr>
        <a:xfrm>
          <a:off x="1619249" y="7080249"/>
          <a:ext cx="2751667" cy="8784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200">
              <a:latin typeface="Arial Narrow" panose="020B0606020202030204" pitchFamily="34" charset="0"/>
            </a:rPr>
            <a:t>° Para</a:t>
          </a:r>
          <a:r>
            <a:rPr lang="es-CO" sz="1200" baseline="0">
              <a:latin typeface="Arial Narrow" panose="020B0606020202030204" pitchFamily="34" charset="0"/>
            </a:rPr>
            <a:t>  el cálculo del espesor de la losa se utiliza la tabla propuesta C.R.9.5(a) de la  NSR-10 </a:t>
          </a:r>
          <a:endParaRPr lang="es-CO" sz="12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296334</xdr:colOff>
      <xdr:row>91</xdr:row>
      <xdr:rowOff>116416</xdr:rowOff>
    </xdr:from>
    <xdr:to>
      <xdr:col>5</xdr:col>
      <xdr:colOff>127000</xdr:colOff>
      <xdr:row>93</xdr:row>
      <xdr:rowOff>95250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D37F771B-F768-4CD1-A178-ACBA5B230064}"/>
                </a:ext>
              </a:extLst>
            </xdr:cNvPr>
            <xdr:cNvSpPr txBox="1"/>
          </xdr:nvSpPr>
          <xdr:spPr>
            <a:xfrm>
              <a:off x="1989667" y="16890999"/>
              <a:ext cx="1820333" cy="359834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s-CO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Dviguetas=</a:t>
              </a:r>
              <a14:m>
                <m:oMath xmlns:m="http://schemas.openxmlformats.org/officeDocument/2006/math">
                  <m:f>
                    <m:fPr>
                      <m:ctrlPr>
                        <a:rPr lang="es-CO" sz="12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m:rPr>
                          <m:sty m:val="p"/>
                        </m:rPr>
                        <a:rPr lang="el-GR" sz="120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γ</m:t>
                      </m:r>
                      <m:r>
                        <a:rPr lang="es-CO" sz="12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∗</m:t>
                      </m:r>
                      <m:r>
                        <m:rPr>
                          <m:sty m:val="p"/>
                        </m:rPr>
                        <a:rPr lang="es-CO" sz="12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Avertical</m:t>
                      </m:r>
                    </m:num>
                    <m:den>
                      <m:r>
                        <m:rPr>
                          <m:sty m:val="p"/>
                        </m:rPr>
                        <a:rPr lang="es-CO" sz="12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Laferente</m:t>
                      </m:r>
                      <m:r>
                        <a:rPr lang="es-CO" sz="12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</m:den>
                  </m:f>
                </m:oMath>
              </a14:m>
              <a:endParaRPr lang="es-CO" sz="1200"/>
            </a:p>
          </xdr:txBody>
        </xdr:sp>
      </mc:Choice>
      <mc:Fallback xmlns="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D37F771B-F768-4CD1-A178-ACBA5B230064}"/>
                </a:ext>
              </a:extLst>
            </xdr:cNvPr>
            <xdr:cNvSpPr txBox="1"/>
          </xdr:nvSpPr>
          <xdr:spPr>
            <a:xfrm>
              <a:off x="1989667" y="16890999"/>
              <a:ext cx="1820333" cy="359834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s-CO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Dviguetas=</a:t>
              </a:r>
              <a:r>
                <a:rPr lang="es-CO" sz="12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l-GR" sz="12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γ</a:t>
              </a:r>
              <a:r>
                <a:rPr lang="es-CO" sz="12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∗Avertical)/(Laferente )</a:t>
              </a:r>
              <a:endParaRPr lang="es-CO" sz="1200"/>
            </a:p>
          </xdr:txBody>
        </xdr:sp>
      </mc:Fallback>
    </mc:AlternateContent>
    <xdr:clientData/>
  </xdr:twoCellAnchor>
  <xdr:twoCellAnchor>
    <xdr:from>
      <xdr:col>0</xdr:col>
      <xdr:colOff>74083</xdr:colOff>
      <xdr:row>97</xdr:row>
      <xdr:rowOff>127000</xdr:rowOff>
    </xdr:from>
    <xdr:to>
      <xdr:col>4</xdr:col>
      <xdr:colOff>52918</xdr:colOff>
      <xdr:row>101</xdr:row>
      <xdr:rowOff>74084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9A618F1-D9FA-4EF5-8A21-76E64D115C62}"/>
            </a:ext>
          </a:extLst>
        </xdr:cNvPr>
        <xdr:cNvSpPr txBox="1"/>
      </xdr:nvSpPr>
      <xdr:spPr>
        <a:xfrm>
          <a:off x="74083" y="17219083"/>
          <a:ext cx="2846918" cy="7090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° Baldosa</a:t>
          </a:r>
          <a:r>
            <a:rPr lang="es-CO" sz="1100" baseline="0"/>
            <a:t> ceramica (20mm) sobre (25mm de mortero), la carga muerta utilizada es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aseline="0"/>
            <a:t> </a:t>
          </a:r>
          <a:r>
            <a:rPr lang="es-C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1.10KN/m^2 extraído</a:t>
          </a:r>
          <a:r>
            <a:rPr lang="es-CO" sz="1100" baseline="0"/>
            <a:t> NSR-10 tabla B.3.4.1-3.</a:t>
          </a:r>
          <a:endParaRPr lang="es-CO" sz="1100"/>
        </a:p>
      </xdr:txBody>
    </xdr:sp>
    <xdr:clientData/>
  </xdr:twoCellAnchor>
  <xdr:twoCellAnchor>
    <xdr:from>
      <xdr:col>4</xdr:col>
      <xdr:colOff>264583</xdr:colOff>
      <xdr:row>97</xdr:row>
      <xdr:rowOff>52916</xdr:rowOff>
    </xdr:from>
    <xdr:to>
      <xdr:col>7</xdr:col>
      <xdr:colOff>730250</xdr:colOff>
      <xdr:row>102</xdr:row>
      <xdr:rowOff>31750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42A944A6-811E-4AE6-BB4F-F818D9D1F661}"/>
            </a:ext>
          </a:extLst>
        </xdr:cNvPr>
        <xdr:cNvSpPr txBox="1"/>
      </xdr:nvSpPr>
      <xdr:spPr>
        <a:xfrm>
          <a:off x="3132666" y="17144999"/>
          <a:ext cx="2762251" cy="9313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° Según la norma tecnica colombiana</a:t>
          </a:r>
          <a:r>
            <a:rPr lang="es-CO" sz="1100" baseline="0"/>
            <a:t> NTC 919 para baldosas ceramicas el espesor debe ser 8mm y para la carga se utiliza tabla B.3.4.2-3 de la NSR-10  lo cual correponde a 0.015(por mm de espesor).</a:t>
          </a:r>
          <a:endParaRPr lang="es-CO" sz="1100"/>
        </a:p>
      </xdr:txBody>
    </xdr:sp>
    <xdr:clientData/>
  </xdr:twoCellAnchor>
  <xdr:twoCellAnchor editAs="oneCell">
    <xdr:from>
      <xdr:col>5</xdr:col>
      <xdr:colOff>52917</xdr:colOff>
      <xdr:row>142</xdr:row>
      <xdr:rowOff>148166</xdr:rowOff>
    </xdr:from>
    <xdr:to>
      <xdr:col>6</xdr:col>
      <xdr:colOff>730250</xdr:colOff>
      <xdr:row>149</xdr:row>
      <xdr:rowOff>54706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55BC54E-423E-493C-B641-C68DD3303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35917" y="23611416"/>
          <a:ext cx="1344083" cy="1307510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161</xdr:row>
      <xdr:rowOff>10584</xdr:rowOff>
    </xdr:from>
    <xdr:to>
      <xdr:col>6</xdr:col>
      <xdr:colOff>740833</xdr:colOff>
      <xdr:row>167</xdr:row>
      <xdr:rowOff>119531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CED8FE7-5395-4C80-9793-9D8E384BE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46500" y="26574751"/>
          <a:ext cx="1344083" cy="1307510"/>
        </a:xfrm>
        <a:prstGeom prst="rect">
          <a:avLst/>
        </a:prstGeom>
      </xdr:spPr>
    </xdr:pic>
    <xdr:clientData/>
  </xdr:twoCellAnchor>
  <xdr:twoCellAnchor editAs="oneCell">
    <xdr:from>
      <xdr:col>1</xdr:col>
      <xdr:colOff>507999</xdr:colOff>
      <xdr:row>173</xdr:row>
      <xdr:rowOff>74084</xdr:rowOff>
    </xdr:from>
    <xdr:to>
      <xdr:col>6</xdr:col>
      <xdr:colOff>349250</xdr:colOff>
      <xdr:row>177</xdr:row>
      <xdr:rowOff>134796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263484A-F874-4A9C-A435-4474B53A0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72166" y="34459334"/>
          <a:ext cx="3291417" cy="858431"/>
        </a:xfrm>
        <a:prstGeom prst="rect">
          <a:avLst/>
        </a:prstGeom>
      </xdr:spPr>
    </xdr:pic>
    <xdr:clientData/>
  </xdr:twoCellAnchor>
  <xdr:twoCellAnchor>
    <xdr:from>
      <xdr:col>0</xdr:col>
      <xdr:colOff>116416</xdr:colOff>
      <xdr:row>106</xdr:row>
      <xdr:rowOff>95250</xdr:rowOff>
    </xdr:from>
    <xdr:to>
      <xdr:col>2</xdr:col>
      <xdr:colOff>539750</xdr:colOff>
      <xdr:row>110</xdr:row>
      <xdr:rowOff>105833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C32E9ECC-CACA-4C44-BC0D-243436BF25C2}"/>
            </a:ext>
          </a:extLst>
        </xdr:cNvPr>
        <xdr:cNvSpPr txBox="1"/>
      </xdr:nvSpPr>
      <xdr:spPr>
        <a:xfrm>
          <a:off x="116416" y="19928417"/>
          <a:ext cx="2116667" cy="7725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°Entramado</a:t>
          </a:r>
          <a:r>
            <a:rPr lang="es-CO" sz="1100" baseline="0"/>
            <a:t> metalico suspendido afinado en yeso extraído de la NSR-10 tabla B.3.4.1-1 con un  valor de carg de 0.50KN/m^2.</a:t>
          </a:r>
          <a:endParaRPr lang="es-CO" sz="1100"/>
        </a:p>
      </xdr:txBody>
    </xdr:sp>
    <xdr:clientData/>
  </xdr:twoCellAnchor>
  <xdr:twoCellAnchor>
    <xdr:from>
      <xdr:col>4</xdr:col>
      <xdr:colOff>243417</xdr:colOff>
      <xdr:row>106</xdr:row>
      <xdr:rowOff>52918</xdr:rowOff>
    </xdr:from>
    <xdr:to>
      <xdr:col>7</xdr:col>
      <xdr:colOff>633147</xdr:colOff>
      <xdr:row>109</xdr:row>
      <xdr:rowOff>84666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215AF15-8550-4BE2-96E4-5ED1E23A9AF3}"/>
            </a:ext>
          </a:extLst>
        </xdr:cNvPr>
        <xdr:cNvSpPr txBox="1"/>
      </xdr:nvSpPr>
      <xdr:spPr>
        <a:xfrm>
          <a:off x="3111500" y="19886085"/>
          <a:ext cx="2665147" cy="6032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aseline="0"/>
            <a:t>°Se utilizo la tabla B.3.4.2-4 NSR-10 para conocer la carga. Larillo H10 pañetado en ambas caras</a:t>
          </a:r>
          <a:endParaRPr lang="es-CO" sz="1100"/>
        </a:p>
      </xdr:txBody>
    </xdr:sp>
    <xdr:clientData/>
  </xdr:twoCellAnchor>
  <xdr:twoCellAnchor>
    <xdr:from>
      <xdr:col>4</xdr:col>
      <xdr:colOff>645583</xdr:colOff>
      <xdr:row>109</xdr:row>
      <xdr:rowOff>148167</xdr:rowOff>
    </xdr:from>
    <xdr:to>
      <xdr:col>7</xdr:col>
      <xdr:colOff>73024</xdr:colOff>
      <xdr:row>112</xdr:row>
      <xdr:rowOff>176742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CuadroTexto 17">
              <a:extLst>
                <a:ext uri="{FF2B5EF4-FFF2-40B4-BE49-F238E27FC236}">
                  <a16:creationId xmlns:a16="http://schemas.microsoft.com/office/drawing/2014/main" id="{031ADD67-446B-42CA-9BB3-38486B455277}"/>
                </a:ext>
              </a:extLst>
            </xdr:cNvPr>
            <xdr:cNvSpPr txBox="1"/>
          </xdr:nvSpPr>
          <xdr:spPr>
            <a:xfrm>
              <a:off x="3513666" y="20552834"/>
              <a:ext cx="1724025" cy="600075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s-CO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Dmamposteria=</a:t>
              </a:r>
              <a14:m>
                <m:oMath xmlns:m="http://schemas.openxmlformats.org/officeDocument/2006/math">
                  <m:f>
                    <m:fPr>
                      <m:ctrlPr>
                        <a:rPr lang="es-CO" sz="14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l-GR" sz="14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𝛾</m:t>
                      </m:r>
                      <m:r>
                        <a:rPr lang="el-GR" sz="14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∗</m:t>
                      </m:r>
                      <m:r>
                        <a:rPr lang="es-CO" sz="14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𝑒</m:t>
                      </m:r>
                      <m:r>
                        <a:rPr lang="es-CO" sz="14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∗</m:t>
                      </m:r>
                      <m:r>
                        <a:rPr lang="es-CO" sz="14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h</m:t>
                      </m:r>
                      <m:r>
                        <a:rPr lang="es-CO" sz="14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∗</m:t>
                      </m:r>
                      <m:r>
                        <a:rPr lang="es-CO" sz="14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𝑙</m:t>
                      </m:r>
                    </m:num>
                    <m:den>
                      <m:r>
                        <a:rPr lang="es-CO" sz="14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𝐴𝑡𝑜𝑡𝑎𝑙</m:t>
                      </m:r>
                    </m:den>
                  </m:f>
                </m:oMath>
              </a14:m>
              <a:endParaRPr lang="es-CO" sz="1400"/>
            </a:p>
          </xdr:txBody>
        </xdr:sp>
      </mc:Choice>
      <mc:Fallback xmlns="">
        <xdr:sp macro="" textlink="">
          <xdr:nvSpPr>
            <xdr:cNvPr id="18" name="CuadroTexto 17">
              <a:extLst>
                <a:ext uri="{FF2B5EF4-FFF2-40B4-BE49-F238E27FC236}">
                  <a16:creationId xmlns:a16="http://schemas.microsoft.com/office/drawing/2014/main" id="{031ADD67-446B-42CA-9BB3-38486B455277}"/>
                </a:ext>
              </a:extLst>
            </xdr:cNvPr>
            <xdr:cNvSpPr txBox="1"/>
          </xdr:nvSpPr>
          <xdr:spPr>
            <a:xfrm>
              <a:off x="3513666" y="20552834"/>
              <a:ext cx="1724025" cy="600075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s-CO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Dmamposteria=</a:t>
              </a:r>
              <a:r>
                <a:rPr lang="es-CO" sz="14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l-GR" sz="14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𝛾∗</a:t>
              </a:r>
              <a:r>
                <a:rPr lang="es-CO" sz="14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𝑒</a:t>
              </a:r>
              <a:r>
                <a:rPr lang="es-CO" sz="14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∗ℎ∗𝑙)/𝐴𝑡𝑜𝑡𝑎𝑙</a:t>
              </a:r>
              <a:endParaRPr lang="es-CO" sz="1400"/>
            </a:p>
          </xdr:txBody>
        </xdr:sp>
      </mc:Fallback>
    </mc:AlternateContent>
    <xdr:clientData/>
  </xdr:twoCellAnchor>
  <xdr:twoCellAnchor>
    <xdr:from>
      <xdr:col>0</xdr:col>
      <xdr:colOff>42333</xdr:colOff>
      <xdr:row>114</xdr:row>
      <xdr:rowOff>63500</xdr:rowOff>
    </xdr:from>
    <xdr:to>
      <xdr:col>2</xdr:col>
      <xdr:colOff>433917</xdr:colOff>
      <xdr:row>118</xdr:row>
      <xdr:rowOff>101601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829E3416-8E8E-442D-A73F-645AE28FC5E9}"/>
            </a:ext>
          </a:extLst>
        </xdr:cNvPr>
        <xdr:cNvSpPr txBox="1"/>
      </xdr:nvSpPr>
      <xdr:spPr>
        <a:xfrm>
          <a:off x="42333" y="21463000"/>
          <a:ext cx="2084917" cy="8001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°Fachada</a:t>
          </a:r>
          <a:r>
            <a:rPr lang="es-CO" sz="1100" baseline="0"/>
            <a:t> </a:t>
          </a:r>
          <a:r>
            <a:rPr lang="es-CO" sz="1100"/>
            <a:t>es de vidrio  de seguridad. Se utilizo los</a:t>
          </a:r>
          <a:r>
            <a:rPr lang="es-CO" sz="1100" baseline="0"/>
            <a:t> valores </a:t>
          </a:r>
          <a:r>
            <a:rPr lang="es-CO" sz="1100"/>
            <a:t> de la empresa Vitelsa</a:t>
          </a:r>
          <a:r>
            <a:rPr lang="es-CO" sz="1100" baseline="0"/>
            <a:t> para saber el espesor d</a:t>
          </a:r>
          <a:r>
            <a:rPr lang="es-CO" sz="1100"/>
            <a:t>el</a:t>
          </a:r>
          <a:r>
            <a:rPr lang="es-CO" sz="1100" baseline="0"/>
            <a:t> vidrio</a:t>
          </a:r>
          <a:r>
            <a:rPr lang="es-CO" sz="1100"/>
            <a:t>(10mm).</a:t>
          </a:r>
        </a:p>
      </xdr:txBody>
    </xdr:sp>
    <xdr:clientData/>
  </xdr:twoCellAnchor>
  <xdr:twoCellAnchor>
    <xdr:from>
      <xdr:col>2</xdr:col>
      <xdr:colOff>338667</xdr:colOff>
      <xdr:row>186</xdr:row>
      <xdr:rowOff>158750</xdr:rowOff>
    </xdr:from>
    <xdr:to>
      <xdr:col>5</xdr:col>
      <xdr:colOff>169333</xdr:colOff>
      <xdr:row>188</xdr:row>
      <xdr:rowOff>137584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CuadroTexto 19">
              <a:extLst>
                <a:ext uri="{FF2B5EF4-FFF2-40B4-BE49-F238E27FC236}">
                  <a16:creationId xmlns:a16="http://schemas.microsoft.com/office/drawing/2014/main" id="{4F95F2FB-6B11-48CD-A053-51A30EA0C350}"/>
                </a:ext>
              </a:extLst>
            </xdr:cNvPr>
            <xdr:cNvSpPr txBox="1"/>
          </xdr:nvSpPr>
          <xdr:spPr>
            <a:xfrm>
              <a:off x="2317750" y="35845750"/>
              <a:ext cx="1799166" cy="359834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s-CO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Dviguetas=</a:t>
              </a:r>
              <a14:m>
                <m:oMath xmlns:m="http://schemas.openxmlformats.org/officeDocument/2006/math">
                  <m:f>
                    <m:fPr>
                      <m:ctrlPr>
                        <a:rPr lang="es-CO" sz="12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m:rPr>
                          <m:sty m:val="p"/>
                        </m:rPr>
                        <a:rPr lang="el-GR" sz="120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γ</m:t>
                      </m:r>
                      <m:r>
                        <a:rPr lang="es-CO" sz="12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∗</m:t>
                      </m:r>
                      <m:r>
                        <m:rPr>
                          <m:sty m:val="p"/>
                        </m:rPr>
                        <a:rPr lang="es-CO" sz="12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Avertical</m:t>
                      </m:r>
                    </m:num>
                    <m:den>
                      <m:r>
                        <m:rPr>
                          <m:sty m:val="p"/>
                        </m:rPr>
                        <a:rPr lang="es-CO" sz="12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Laferente</m:t>
                      </m:r>
                      <m:r>
                        <a:rPr lang="es-CO" sz="12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</m:den>
                  </m:f>
                </m:oMath>
              </a14:m>
              <a:endParaRPr lang="es-CO" sz="1200"/>
            </a:p>
          </xdr:txBody>
        </xdr:sp>
      </mc:Choice>
      <mc:Fallback xmlns="">
        <xdr:sp macro="" textlink="">
          <xdr:nvSpPr>
            <xdr:cNvPr id="20" name="CuadroTexto 19">
              <a:extLst>
                <a:ext uri="{FF2B5EF4-FFF2-40B4-BE49-F238E27FC236}">
                  <a16:creationId xmlns:a16="http://schemas.microsoft.com/office/drawing/2014/main" id="{4F95F2FB-6B11-48CD-A053-51A30EA0C350}"/>
                </a:ext>
              </a:extLst>
            </xdr:cNvPr>
            <xdr:cNvSpPr txBox="1"/>
          </xdr:nvSpPr>
          <xdr:spPr>
            <a:xfrm>
              <a:off x="2317750" y="35845750"/>
              <a:ext cx="1799166" cy="359834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s-CO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Dviguetas=</a:t>
              </a:r>
              <a:r>
                <a:rPr lang="es-CO" sz="12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l-GR" sz="12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γ</a:t>
              </a:r>
              <a:r>
                <a:rPr lang="es-CO" sz="12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∗Avertical)/(Laferente )</a:t>
              </a:r>
              <a:endParaRPr lang="es-CO" sz="1200"/>
            </a:p>
          </xdr:txBody>
        </xdr:sp>
      </mc:Fallback>
    </mc:AlternateContent>
    <xdr:clientData/>
  </xdr:twoCellAnchor>
  <xdr:twoCellAnchor>
    <xdr:from>
      <xdr:col>0</xdr:col>
      <xdr:colOff>116416</xdr:colOff>
      <xdr:row>196</xdr:row>
      <xdr:rowOff>95250</xdr:rowOff>
    </xdr:from>
    <xdr:to>
      <xdr:col>2</xdr:col>
      <xdr:colOff>539750</xdr:colOff>
      <xdr:row>200</xdr:row>
      <xdr:rowOff>105833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8FAE2A00-20B3-4EA6-8CE1-4EAEF9C26448}"/>
            </a:ext>
          </a:extLst>
        </xdr:cNvPr>
        <xdr:cNvSpPr txBox="1"/>
      </xdr:nvSpPr>
      <xdr:spPr>
        <a:xfrm>
          <a:off x="116416" y="19928417"/>
          <a:ext cx="2402417" cy="7725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°Entramado</a:t>
          </a:r>
          <a:r>
            <a:rPr lang="es-CO" sz="1100" baseline="0"/>
            <a:t> metalico suspendido afinado en yeso extraído de la NSR-10 tabla B.3.4.1-1 con un  valor de carg de 0.50KN/m^2.</a:t>
          </a:r>
          <a:endParaRPr lang="es-CO" sz="1100"/>
        </a:p>
      </xdr:txBody>
    </xdr:sp>
    <xdr:clientData/>
  </xdr:twoCellAnchor>
  <xdr:twoCellAnchor>
    <xdr:from>
      <xdr:col>4</xdr:col>
      <xdr:colOff>74084</xdr:colOff>
      <xdr:row>196</xdr:row>
      <xdr:rowOff>127000</xdr:rowOff>
    </xdr:from>
    <xdr:to>
      <xdr:col>7</xdr:col>
      <xdr:colOff>730251</xdr:colOff>
      <xdr:row>200</xdr:row>
      <xdr:rowOff>74084</xdr:rowOff>
    </xdr:to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BDBC0D6F-9A4C-4BCE-931C-6686ED3E4672}"/>
            </a:ext>
          </a:extLst>
        </xdr:cNvPr>
        <xdr:cNvSpPr txBox="1"/>
      </xdr:nvSpPr>
      <xdr:spPr>
        <a:xfrm>
          <a:off x="3227917" y="39391167"/>
          <a:ext cx="2931584" cy="7090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° Baldosa</a:t>
          </a:r>
          <a:r>
            <a:rPr lang="es-CO" sz="1100" baseline="0"/>
            <a:t> ceramica (20mm) sobre (25mm de mortero), la carga muerta utilizada es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aseline="0"/>
            <a:t> </a:t>
          </a:r>
          <a:r>
            <a:rPr lang="es-C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1.10KN/m^2 extraído</a:t>
          </a:r>
          <a:r>
            <a:rPr lang="es-CO" sz="1100" baseline="0"/>
            <a:t> NSR-10 tabla B.3.4.1-3.</a:t>
          </a:r>
          <a:endParaRPr lang="es-CO" sz="1100"/>
        </a:p>
      </xdr:txBody>
    </xdr:sp>
    <xdr:clientData/>
  </xdr:twoCellAnchor>
  <xdr:twoCellAnchor>
    <xdr:from>
      <xdr:col>0</xdr:col>
      <xdr:colOff>264583</xdr:colOff>
      <xdr:row>204</xdr:row>
      <xdr:rowOff>52916</xdr:rowOff>
    </xdr:from>
    <xdr:to>
      <xdr:col>3</xdr:col>
      <xdr:colOff>254000</xdr:colOff>
      <xdr:row>209</xdr:row>
      <xdr:rowOff>31750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61CE4652-C0AB-4EBC-BBF5-CE5D0FA8BD2B}"/>
            </a:ext>
          </a:extLst>
        </xdr:cNvPr>
        <xdr:cNvSpPr txBox="1"/>
      </xdr:nvSpPr>
      <xdr:spPr>
        <a:xfrm>
          <a:off x="264583" y="40841083"/>
          <a:ext cx="2529417" cy="9313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° Según la norma tecnica colombiana</a:t>
          </a:r>
          <a:r>
            <a:rPr lang="es-CO" sz="1100" baseline="0"/>
            <a:t> NTC 919 para baldosas ceramicas el espesor debe ser 8mm y para la carga se utiliza tabla B.3.4.2-3 de la NSR-10  lo cual correponde a 0.015(por mm de espesor).</a:t>
          </a:r>
          <a:endParaRPr lang="es-CO" sz="1100"/>
        </a:p>
      </xdr:txBody>
    </xdr:sp>
    <xdr:clientData/>
  </xdr:twoCellAnchor>
  <xdr:twoCellAnchor>
    <xdr:from>
      <xdr:col>4</xdr:col>
      <xdr:colOff>243417</xdr:colOff>
      <xdr:row>204</xdr:row>
      <xdr:rowOff>52918</xdr:rowOff>
    </xdr:from>
    <xdr:to>
      <xdr:col>7</xdr:col>
      <xdr:colOff>633147</xdr:colOff>
      <xdr:row>207</xdr:row>
      <xdr:rowOff>84666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2F5EEFF2-C294-43C0-BA7B-BAA51C0144F0}"/>
            </a:ext>
          </a:extLst>
        </xdr:cNvPr>
        <xdr:cNvSpPr txBox="1"/>
      </xdr:nvSpPr>
      <xdr:spPr>
        <a:xfrm>
          <a:off x="3398573" y="19936356"/>
          <a:ext cx="2663824" cy="6032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aseline="0"/>
            <a:t>°Se utilizo la tabla B.3.4.2-4 NSR-10 para conocer la carga. Larillo H10 pañetado en ambas caras</a:t>
          </a:r>
          <a:endParaRPr lang="es-CO" sz="1100"/>
        </a:p>
      </xdr:txBody>
    </xdr:sp>
    <xdr:clientData/>
  </xdr:twoCellAnchor>
  <xdr:twoCellAnchor>
    <xdr:from>
      <xdr:col>4</xdr:col>
      <xdr:colOff>645583</xdr:colOff>
      <xdr:row>207</xdr:row>
      <xdr:rowOff>148167</xdr:rowOff>
    </xdr:from>
    <xdr:to>
      <xdr:col>7</xdr:col>
      <xdr:colOff>73024</xdr:colOff>
      <xdr:row>210</xdr:row>
      <xdr:rowOff>176742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CuadroTexto 24">
              <a:extLst>
                <a:ext uri="{FF2B5EF4-FFF2-40B4-BE49-F238E27FC236}">
                  <a16:creationId xmlns:a16="http://schemas.microsoft.com/office/drawing/2014/main" id="{6292D7E7-C9DA-4311-A6FE-5C262A3F8190}"/>
                </a:ext>
              </a:extLst>
            </xdr:cNvPr>
            <xdr:cNvSpPr txBox="1"/>
          </xdr:nvSpPr>
          <xdr:spPr>
            <a:xfrm>
              <a:off x="3800739" y="20603105"/>
              <a:ext cx="1701535" cy="635793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s-CO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Dmamposteria=</a:t>
              </a:r>
              <a14:m>
                <m:oMath xmlns:m="http://schemas.openxmlformats.org/officeDocument/2006/math">
                  <m:f>
                    <m:fPr>
                      <m:ctrlPr>
                        <a:rPr lang="es-CO" sz="14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l-GR" sz="14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𝛾</m:t>
                      </m:r>
                      <m:r>
                        <a:rPr lang="el-GR" sz="14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∗</m:t>
                      </m:r>
                      <m:r>
                        <a:rPr lang="es-CO" sz="14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𝑒</m:t>
                      </m:r>
                      <m:r>
                        <a:rPr lang="es-CO" sz="14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∗</m:t>
                      </m:r>
                      <m:r>
                        <a:rPr lang="es-CO" sz="14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h</m:t>
                      </m:r>
                      <m:r>
                        <a:rPr lang="es-CO" sz="14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∗</m:t>
                      </m:r>
                      <m:r>
                        <a:rPr lang="es-CO" sz="14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𝑙</m:t>
                      </m:r>
                    </m:num>
                    <m:den>
                      <m:r>
                        <a:rPr lang="es-CO" sz="14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𝐴𝑡𝑜𝑡𝑎𝑙</m:t>
                      </m:r>
                    </m:den>
                  </m:f>
                </m:oMath>
              </a14:m>
              <a:endParaRPr lang="es-CO" sz="1400"/>
            </a:p>
          </xdr:txBody>
        </xdr:sp>
      </mc:Choice>
      <mc:Fallback xmlns="">
        <xdr:sp macro="" textlink="">
          <xdr:nvSpPr>
            <xdr:cNvPr id="25" name="CuadroTexto 24">
              <a:extLst>
                <a:ext uri="{FF2B5EF4-FFF2-40B4-BE49-F238E27FC236}">
                  <a16:creationId xmlns:a16="http://schemas.microsoft.com/office/drawing/2014/main" id="{6292D7E7-C9DA-4311-A6FE-5C262A3F8190}"/>
                </a:ext>
              </a:extLst>
            </xdr:cNvPr>
            <xdr:cNvSpPr txBox="1"/>
          </xdr:nvSpPr>
          <xdr:spPr>
            <a:xfrm>
              <a:off x="3800739" y="20603105"/>
              <a:ext cx="1701535" cy="635793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s-CO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Dmamposteria=</a:t>
              </a:r>
              <a:r>
                <a:rPr lang="es-CO" sz="14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l-GR" sz="14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𝛾∗</a:t>
              </a:r>
              <a:r>
                <a:rPr lang="es-CO" sz="14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𝑒</a:t>
              </a:r>
              <a:r>
                <a:rPr lang="es-CO" sz="14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∗ℎ∗𝑙)/𝐴𝑡𝑜𝑡𝑎𝑙</a:t>
              </a:r>
              <a:endParaRPr lang="es-CO" sz="1400"/>
            </a:p>
          </xdr:txBody>
        </xdr:sp>
      </mc:Fallback>
    </mc:AlternateContent>
    <xdr:clientData/>
  </xdr:twoCellAnchor>
  <xdr:twoCellAnchor>
    <xdr:from>
      <xdr:col>0</xdr:col>
      <xdr:colOff>42333</xdr:colOff>
      <xdr:row>213</xdr:row>
      <xdr:rowOff>63500</xdr:rowOff>
    </xdr:from>
    <xdr:to>
      <xdr:col>2</xdr:col>
      <xdr:colOff>433917</xdr:colOff>
      <xdr:row>217</xdr:row>
      <xdr:rowOff>101601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AC82E2CC-DAA1-4469-93E4-9822EE73C34B}"/>
            </a:ext>
          </a:extLst>
        </xdr:cNvPr>
        <xdr:cNvSpPr txBox="1"/>
      </xdr:nvSpPr>
      <xdr:spPr>
        <a:xfrm>
          <a:off x="42333" y="21506656"/>
          <a:ext cx="2379928" cy="8001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°Fachada</a:t>
          </a:r>
          <a:r>
            <a:rPr lang="es-CO" sz="1100" baseline="0"/>
            <a:t> </a:t>
          </a:r>
          <a:r>
            <a:rPr lang="es-CO" sz="1100"/>
            <a:t>es de vidrio  de seguridad. Se utilizo los</a:t>
          </a:r>
          <a:r>
            <a:rPr lang="es-CO" sz="1100" baseline="0"/>
            <a:t> valores </a:t>
          </a:r>
          <a:r>
            <a:rPr lang="es-CO" sz="1100"/>
            <a:t> de la empresa Vitelsa</a:t>
          </a:r>
          <a:r>
            <a:rPr lang="es-CO" sz="1100" baseline="0"/>
            <a:t> para saber el espesor d</a:t>
          </a:r>
          <a:r>
            <a:rPr lang="es-CO" sz="1100"/>
            <a:t>el</a:t>
          </a:r>
          <a:r>
            <a:rPr lang="es-CO" sz="1100" baseline="0"/>
            <a:t> vidrio</a:t>
          </a:r>
          <a:r>
            <a:rPr lang="es-CO" sz="1100"/>
            <a:t>(10mm).</a:t>
          </a:r>
        </a:p>
      </xdr:txBody>
    </xdr:sp>
    <xdr:clientData/>
  </xdr:twoCellAnchor>
  <xdr:twoCellAnchor>
    <xdr:from>
      <xdr:col>0</xdr:col>
      <xdr:colOff>769938</xdr:colOff>
      <xdr:row>233</xdr:row>
      <xdr:rowOff>66146</xdr:rowOff>
    </xdr:from>
    <xdr:to>
      <xdr:col>6</xdr:col>
      <xdr:colOff>115094</xdr:colOff>
      <xdr:row>235</xdr:row>
      <xdr:rowOff>148167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2F33F3A9-6B81-420B-8ED5-645FF2EEB8BB}"/>
            </a:ext>
          </a:extLst>
        </xdr:cNvPr>
        <xdr:cNvSpPr txBox="1"/>
      </xdr:nvSpPr>
      <xdr:spPr>
        <a:xfrm>
          <a:off x="769938" y="46865646"/>
          <a:ext cx="3959489" cy="4841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° Al tratarse de locales</a:t>
          </a:r>
          <a:r>
            <a:rPr lang="es-CO" sz="1100" baseline="0"/>
            <a:t> comerciales</a:t>
          </a:r>
          <a:r>
            <a:rPr lang="es-CO" sz="1100"/>
            <a:t> se</a:t>
          </a:r>
          <a:r>
            <a:rPr lang="es-CO" sz="1100" baseline="0"/>
            <a:t> tendra en cuenta la ocupacion y uso de comercio para mayoristas. Tabla B4.2.1-1 NSR-10</a:t>
          </a:r>
          <a:endParaRPr lang="es-CO" sz="1100"/>
        </a:p>
      </xdr:txBody>
    </xdr:sp>
    <xdr:clientData/>
  </xdr:twoCellAnchor>
  <xdr:twoCellAnchor>
    <xdr:from>
      <xdr:col>0</xdr:col>
      <xdr:colOff>783432</xdr:colOff>
      <xdr:row>239</xdr:row>
      <xdr:rowOff>104774</xdr:rowOff>
    </xdr:from>
    <xdr:to>
      <xdr:col>6</xdr:col>
      <xdr:colOff>128588</xdr:colOff>
      <xdr:row>242</xdr:row>
      <xdr:rowOff>169334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8F75F0D3-9E9B-4575-A958-B8F5DF99823D}"/>
            </a:ext>
          </a:extLst>
        </xdr:cNvPr>
        <xdr:cNvSpPr txBox="1"/>
      </xdr:nvSpPr>
      <xdr:spPr>
        <a:xfrm>
          <a:off x="783432" y="48534107"/>
          <a:ext cx="3959489" cy="6678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°Cubierta inclinadas</a:t>
          </a:r>
          <a:r>
            <a:rPr lang="es-CO" sz="1100" baseline="0"/>
            <a:t> con peniente de 15° o menos en estructura metalica o de madera con imposibilida  fisica de verse sometidas a cargas superiores a la aqui estipulada.</a:t>
          </a:r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173477</xdr:colOff>
      <xdr:row>2</xdr:row>
      <xdr:rowOff>32913</xdr:rowOff>
    </xdr:from>
    <xdr:to>
      <xdr:col>5</xdr:col>
      <xdr:colOff>45508</xdr:colOff>
      <xdr:row>4</xdr:row>
      <xdr:rowOff>185298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B3B99F-C0F6-4F57-ABCE-62F021528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12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716652" y="432963"/>
          <a:ext cx="1396031" cy="533385"/>
        </a:xfrm>
        <a:prstGeom prst="rect">
          <a:avLst/>
        </a:prstGeom>
        <a:blipFill dpi="0" rotWithShape="1">
          <a:blip xmlns:r="http://schemas.openxmlformats.org/officeDocument/2006/relationships" r:embed="rId3">
            <a:alphaModFix amt="1000"/>
          </a:blip>
          <a:srcRect/>
          <a:tile tx="0" ty="0" sx="100000" sy="100000" flip="none" algn="tl"/>
        </a:blipFill>
        <a:effectLst>
          <a:outerShdw blurRad="50800" dist="50800" dir="5400000" sx="1000" sy="1000" algn="ctr" rotWithShape="0">
            <a:srgbClr val="000000">
              <a:alpha val="0"/>
            </a:srgbClr>
          </a:outerShdw>
        </a:effectLst>
      </xdr:spPr>
    </xdr:pic>
    <xdr:clientData/>
  </xdr:twoCellAnchor>
  <xdr:twoCellAnchor editAs="oneCell">
    <xdr:from>
      <xdr:col>0</xdr:col>
      <xdr:colOff>94722</xdr:colOff>
      <xdr:row>0</xdr:row>
      <xdr:rowOff>129384</xdr:rowOff>
    </xdr:from>
    <xdr:to>
      <xdr:col>0</xdr:col>
      <xdr:colOff>856722</xdr:colOff>
      <xdr:row>4</xdr:row>
      <xdr:rowOff>56358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1F6E19-784D-4631-913A-84AB32C0C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4722" y="129384"/>
          <a:ext cx="762000" cy="727074"/>
        </a:xfrm>
        <a:prstGeom prst="rect">
          <a:avLst/>
        </a:prstGeom>
      </xdr:spPr>
    </xdr:pic>
    <xdr:clientData/>
  </xdr:twoCellAnchor>
  <xdr:twoCellAnchor editAs="oneCell">
    <xdr:from>
      <xdr:col>7</xdr:col>
      <xdr:colOff>112185</xdr:colOff>
      <xdr:row>0</xdr:row>
      <xdr:rowOff>37047</xdr:rowOff>
    </xdr:from>
    <xdr:to>
      <xdr:col>7</xdr:col>
      <xdr:colOff>831850</xdr:colOff>
      <xdr:row>4</xdr:row>
      <xdr:rowOff>16935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80E7963-0893-4C67-BB76-72D8108D2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60560" y="37047"/>
          <a:ext cx="719665" cy="7799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543486</xdr:colOff>
      <xdr:row>30</xdr:row>
      <xdr:rowOff>158002</xdr:rowOff>
    </xdr:from>
    <xdr:to>
      <xdr:col>18</xdr:col>
      <xdr:colOff>274545</xdr:colOff>
      <xdr:row>43</xdr:row>
      <xdr:rowOff>43702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9C6C56-D1DE-4DBE-AEAD-67BCD1F12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631029</xdr:colOff>
      <xdr:row>13</xdr:row>
      <xdr:rowOff>119060</xdr:rowOff>
    </xdr:from>
    <xdr:to>
      <xdr:col>12</xdr:col>
      <xdr:colOff>451758</xdr:colOff>
      <xdr:row>27</xdr:row>
      <xdr:rowOff>147298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135B8FF-8368-4ABF-88BA-020285B82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79029" y="700085"/>
          <a:ext cx="5430954" cy="2695238"/>
        </a:xfrm>
        <a:prstGeom prst="rect">
          <a:avLst/>
        </a:prstGeom>
      </xdr:spPr>
    </xdr:pic>
    <xdr:clientData/>
  </xdr:twoCellAnchor>
  <xdr:twoCellAnchor editAs="oneCell">
    <xdr:from>
      <xdr:col>7</xdr:col>
      <xdr:colOff>173477</xdr:colOff>
      <xdr:row>2</xdr:row>
      <xdr:rowOff>32913</xdr:rowOff>
    </xdr:from>
    <xdr:to>
      <xdr:col>9</xdr:col>
      <xdr:colOff>45508</xdr:colOff>
      <xdr:row>4</xdr:row>
      <xdr:rowOff>185298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F15417E-FA99-428D-8407-B4F8DD4AD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12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716652" y="432963"/>
          <a:ext cx="1396031" cy="533385"/>
        </a:xfrm>
        <a:prstGeom prst="rect">
          <a:avLst/>
        </a:prstGeom>
        <a:blipFill dpi="0" rotWithShape="1">
          <a:blip xmlns:r="http://schemas.openxmlformats.org/officeDocument/2006/relationships" r:embed="rId5">
            <a:alphaModFix amt="1000"/>
          </a:blip>
          <a:srcRect/>
          <a:tile tx="0" ty="0" sx="100000" sy="100000" flip="none" algn="tl"/>
        </a:blipFill>
        <a:effectLst>
          <a:outerShdw blurRad="50800" dist="50800" dir="5400000" sx="1000" sy="1000" algn="ctr" rotWithShape="0">
            <a:srgbClr val="000000">
              <a:alpha val="0"/>
            </a:srgbClr>
          </a:outerShdw>
        </a:effectLst>
      </xdr:spPr>
    </xdr:pic>
    <xdr:clientData/>
  </xdr:twoCellAnchor>
  <xdr:twoCellAnchor editAs="oneCell">
    <xdr:from>
      <xdr:col>4</xdr:col>
      <xdr:colOff>94722</xdr:colOff>
      <xdr:row>0</xdr:row>
      <xdr:rowOff>119859</xdr:rowOff>
    </xdr:from>
    <xdr:to>
      <xdr:col>4</xdr:col>
      <xdr:colOff>856722</xdr:colOff>
      <xdr:row>4</xdr:row>
      <xdr:rowOff>46833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8A6479C-0FF9-42EC-B5A5-13596AE03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42722" y="119859"/>
          <a:ext cx="762000" cy="708024"/>
        </a:xfrm>
        <a:prstGeom prst="rect">
          <a:avLst/>
        </a:prstGeom>
      </xdr:spPr>
    </xdr:pic>
    <xdr:clientData/>
  </xdr:twoCellAnchor>
  <xdr:twoCellAnchor editAs="oneCell">
    <xdr:from>
      <xdr:col>11</xdr:col>
      <xdr:colOff>216960</xdr:colOff>
      <xdr:row>0</xdr:row>
      <xdr:rowOff>56097</xdr:rowOff>
    </xdr:from>
    <xdr:to>
      <xdr:col>11</xdr:col>
      <xdr:colOff>936625</xdr:colOff>
      <xdr:row>4</xdr:row>
      <xdr:rowOff>35985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95F06C1-4BA5-4240-96E9-8D45F6C0E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22785" y="56097"/>
          <a:ext cx="719665" cy="7609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436561</xdr:colOff>
      <xdr:row>13</xdr:row>
      <xdr:rowOff>33098</xdr:rowOff>
    </xdr:from>
    <xdr:to>
      <xdr:col>5</xdr:col>
      <xdr:colOff>117474</xdr:colOff>
      <xdr:row>18</xdr:row>
      <xdr:rowOff>127001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E8EB5E-768B-4B61-89F6-03B9F9EAB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8561" y="699848"/>
          <a:ext cx="2947988" cy="1046403"/>
        </a:xfrm>
        <a:prstGeom prst="rect">
          <a:avLst/>
        </a:prstGeom>
      </xdr:spPr>
    </xdr:pic>
    <xdr:clientData/>
  </xdr:twoCellAnchor>
  <xdr:twoCellAnchor editAs="oneCell">
    <xdr:from>
      <xdr:col>1</xdr:col>
      <xdr:colOff>448468</xdr:colOff>
      <xdr:row>19</xdr:row>
      <xdr:rowOff>41035</xdr:rowOff>
    </xdr:from>
    <xdr:to>
      <xdr:col>5</xdr:col>
      <xdr:colOff>73818</xdr:colOff>
      <xdr:row>25</xdr:row>
      <xdr:rowOff>111125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9FD5F8-E6BA-4B3A-9EBC-2ACAD5351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0468" y="1974610"/>
          <a:ext cx="2892425" cy="1213090"/>
        </a:xfrm>
        <a:prstGeom prst="rect">
          <a:avLst/>
        </a:prstGeom>
      </xdr:spPr>
    </xdr:pic>
    <xdr:clientData/>
  </xdr:twoCellAnchor>
  <xdr:twoCellAnchor editAs="oneCell">
    <xdr:from>
      <xdr:col>1</xdr:col>
      <xdr:colOff>444502</xdr:colOff>
      <xdr:row>26</xdr:row>
      <xdr:rowOff>43657</xdr:rowOff>
    </xdr:from>
    <xdr:to>
      <xdr:col>5</xdr:col>
      <xdr:colOff>141288</xdr:colOff>
      <xdr:row>32</xdr:row>
      <xdr:rowOff>89530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8DD083-CDB0-4A21-94ED-E0E50FF78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6502" y="3453607"/>
          <a:ext cx="2963861" cy="1188873"/>
        </a:xfrm>
        <a:prstGeom prst="rect">
          <a:avLst/>
        </a:prstGeom>
      </xdr:spPr>
    </xdr:pic>
    <xdr:clientData/>
  </xdr:twoCellAnchor>
  <xdr:twoCellAnchor editAs="oneCell">
    <xdr:from>
      <xdr:col>2</xdr:col>
      <xdr:colOff>405002</xdr:colOff>
      <xdr:row>40</xdr:row>
      <xdr:rowOff>127968</xdr:rowOff>
    </xdr:from>
    <xdr:to>
      <xdr:col>4</xdr:col>
      <xdr:colOff>538352</xdr:colOff>
      <xdr:row>46</xdr:row>
      <xdr:rowOff>49929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BFD4756-4408-498A-A282-6F2ADC48C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29002" y="6490668"/>
          <a:ext cx="1876425" cy="1064961"/>
        </a:xfrm>
        <a:prstGeom prst="rect">
          <a:avLst/>
        </a:prstGeom>
      </xdr:spPr>
    </xdr:pic>
    <xdr:clientData/>
  </xdr:twoCellAnchor>
  <xdr:twoCellAnchor editAs="oneCell">
    <xdr:from>
      <xdr:col>2</xdr:col>
      <xdr:colOff>422012</xdr:colOff>
      <xdr:row>33</xdr:row>
      <xdr:rowOff>180051</xdr:rowOff>
    </xdr:from>
    <xdr:to>
      <xdr:col>4</xdr:col>
      <xdr:colOff>309299</xdr:colOff>
      <xdr:row>39</xdr:row>
      <xdr:rowOff>89958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30A0EC8-23E5-4CA6-97A4-CD8000F0C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46012" y="5066376"/>
          <a:ext cx="1630362" cy="1052907"/>
        </a:xfrm>
        <a:prstGeom prst="rect">
          <a:avLst/>
        </a:prstGeom>
      </xdr:spPr>
    </xdr:pic>
    <xdr:clientData/>
  </xdr:twoCellAnchor>
  <xdr:twoCellAnchor editAs="oneCell">
    <xdr:from>
      <xdr:col>8</xdr:col>
      <xdr:colOff>338666</xdr:colOff>
      <xdr:row>13</xdr:row>
      <xdr:rowOff>52916</xdr:rowOff>
    </xdr:from>
    <xdr:to>
      <xdr:col>12</xdr:col>
      <xdr:colOff>306765</xdr:colOff>
      <xdr:row>18</xdr:row>
      <xdr:rowOff>131933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0E69FC8-E729-4420-B7B0-E64CD30DD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10841" y="719666"/>
          <a:ext cx="3358999" cy="1031517"/>
        </a:xfrm>
        <a:prstGeom prst="rect">
          <a:avLst/>
        </a:prstGeom>
      </xdr:spPr>
    </xdr:pic>
    <xdr:clientData/>
  </xdr:twoCellAnchor>
  <xdr:twoCellAnchor editAs="oneCell">
    <xdr:from>
      <xdr:col>8</xdr:col>
      <xdr:colOff>137582</xdr:colOff>
      <xdr:row>19</xdr:row>
      <xdr:rowOff>95250</xdr:rowOff>
    </xdr:from>
    <xdr:to>
      <xdr:col>12</xdr:col>
      <xdr:colOff>359682</xdr:colOff>
      <xdr:row>25</xdr:row>
      <xdr:rowOff>98250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54562CD-5A51-438F-AE8A-01E98D5E7E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r="6052"/>
        <a:stretch/>
      </xdr:blipFill>
      <xdr:spPr>
        <a:xfrm>
          <a:off x="6109757" y="2028825"/>
          <a:ext cx="3613000" cy="1146000"/>
        </a:xfrm>
        <a:prstGeom prst="rect">
          <a:avLst/>
        </a:prstGeom>
      </xdr:spPr>
    </xdr:pic>
    <xdr:clientData/>
  </xdr:twoCellAnchor>
  <xdr:twoCellAnchor editAs="oneCell">
    <xdr:from>
      <xdr:col>8</xdr:col>
      <xdr:colOff>328082</xdr:colOff>
      <xdr:row>26</xdr:row>
      <xdr:rowOff>179917</xdr:rowOff>
    </xdr:from>
    <xdr:to>
      <xdr:col>12</xdr:col>
      <xdr:colOff>402015</xdr:colOff>
      <xdr:row>32</xdr:row>
      <xdr:rowOff>52917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2B417C3-5C97-49B4-989D-AD14ADACE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300257" y="3589867"/>
          <a:ext cx="3464833" cy="1016000"/>
        </a:xfrm>
        <a:prstGeom prst="rect">
          <a:avLst/>
        </a:prstGeom>
      </xdr:spPr>
    </xdr:pic>
    <xdr:clientData/>
  </xdr:twoCellAnchor>
  <xdr:twoCellAnchor editAs="oneCell">
    <xdr:from>
      <xdr:col>8</xdr:col>
      <xdr:colOff>158750</xdr:colOff>
      <xdr:row>33</xdr:row>
      <xdr:rowOff>70999</xdr:rowOff>
    </xdr:from>
    <xdr:to>
      <xdr:col>12</xdr:col>
      <xdr:colOff>359682</xdr:colOff>
      <xdr:row>39</xdr:row>
      <xdr:rowOff>68596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DB09B6A-4C2B-48DF-95DD-2032F129A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130925" y="4957324"/>
          <a:ext cx="3591832" cy="1140597"/>
        </a:xfrm>
        <a:prstGeom prst="rect">
          <a:avLst/>
        </a:prstGeom>
      </xdr:spPr>
    </xdr:pic>
    <xdr:clientData/>
  </xdr:twoCellAnchor>
  <xdr:twoCellAnchor editAs="oneCell">
    <xdr:from>
      <xdr:col>8</xdr:col>
      <xdr:colOff>296330</xdr:colOff>
      <xdr:row>40</xdr:row>
      <xdr:rowOff>126135</xdr:rowOff>
    </xdr:from>
    <xdr:to>
      <xdr:col>12</xdr:col>
      <xdr:colOff>359681</xdr:colOff>
      <xdr:row>46</xdr:row>
      <xdr:rowOff>21166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D9BD478-5D5C-4D0A-B2E5-87AE718E7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268505" y="6488835"/>
          <a:ext cx="3454251" cy="1038031"/>
        </a:xfrm>
        <a:prstGeom prst="rect">
          <a:avLst/>
        </a:prstGeom>
      </xdr:spPr>
    </xdr:pic>
    <xdr:clientData/>
  </xdr:twoCellAnchor>
  <xdr:twoCellAnchor editAs="oneCell">
    <xdr:from>
      <xdr:col>6</xdr:col>
      <xdr:colOff>173477</xdr:colOff>
      <xdr:row>2</xdr:row>
      <xdr:rowOff>32913</xdr:rowOff>
    </xdr:from>
    <xdr:to>
      <xdr:col>8</xdr:col>
      <xdr:colOff>45508</xdr:colOff>
      <xdr:row>4</xdr:row>
      <xdr:rowOff>147198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D0BE4A06-DE6E-4538-B8C1-2D7055ADC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rightnessContrast bright="12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716652" y="432963"/>
          <a:ext cx="1396031" cy="533385"/>
        </a:xfrm>
        <a:prstGeom prst="rect">
          <a:avLst/>
        </a:prstGeom>
        <a:blipFill dpi="0" rotWithShape="1">
          <a:blip xmlns:r="http://schemas.openxmlformats.org/officeDocument/2006/relationships" r:embed="rId13">
            <a:alphaModFix amt="1000"/>
          </a:blip>
          <a:srcRect/>
          <a:tile tx="0" ty="0" sx="100000" sy="100000" flip="none" algn="tl"/>
        </a:blipFill>
        <a:effectLst>
          <a:outerShdw blurRad="50800" dist="50800" dir="5400000" sx="1000" sy="1000" algn="ctr" rotWithShape="0">
            <a:srgbClr val="000000">
              <a:alpha val="0"/>
            </a:srgbClr>
          </a:outerShdw>
        </a:effectLst>
      </xdr:spPr>
    </xdr:pic>
    <xdr:clientData/>
  </xdr:twoCellAnchor>
  <xdr:twoCellAnchor editAs="oneCell">
    <xdr:from>
      <xdr:col>3</xdr:col>
      <xdr:colOff>123297</xdr:colOff>
      <xdr:row>0</xdr:row>
      <xdr:rowOff>129384</xdr:rowOff>
    </xdr:from>
    <xdr:to>
      <xdr:col>3</xdr:col>
      <xdr:colOff>885297</xdr:colOff>
      <xdr:row>3</xdr:row>
      <xdr:rowOff>208758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AE5182D-3D57-4B10-8DF4-5AF456FA8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409297" y="129384"/>
          <a:ext cx="762000" cy="708024"/>
        </a:xfrm>
        <a:prstGeom prst="rect">
          <a:avLst/>
        </a:prstGeom>
      </xdr:spPr>
    </xdr:pic>
    <xdr:clientData/>
  </xdr:twoCellAnchor>
  <xdr:twoCellAnchor editAs="oneCell">
    <xdr:from>
      <xdr:col>10</xdr:col>
      <xdr:colOff>55035</xdr:colOff>
      <xdr:row>0</xdr:row>
      <xdr:rowOff>122772</xdr:rowOff>
    </xdr:from>
    <xdr:to>
      <xdr:col>10</xdr:col>
      <xdr:colOff>774700</xdr:colOff>
      <xdr:row>4</xdr:row>
      <xdr:rowOff>45510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04FB39E-C421-4510-AAFB-83DA872E4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484285" y="122772"/>
          <a:ext cx="719665" cy="7418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173477</xdr:colOff>
      <xdr:row>2</xdr:row>
      <xdr:rowOff>32913</xdr:rowOff>
    </xdr:from>
    <xdr:to>
      <xdr:col>5</xdr:col>
      <xdr:colOff>45508</xdr:colOff>
      <xdr:row>4</xdr:row>
      <xdr:rowOff>185298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8CD56-9A39-4F89-A4AC-603C6DC4E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12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716652" y="432963"/>
          <a:ext cx="1396031" cy="533385"/>
        </a:xfrm>
        <a:prstGeom prst="rect">
          <a:avLst/>
        </a:prstGeom>
        <a:blipFill dpi="0" rotWithShape="1">
          <a:blip xmlns:r="http://schemas.openxmlformats.org/officeDocument/2006/relationships" r:embed="rId3">
            <a:alphaModFix amt="1000"/>
          </a:blip>
          <a:srcRect/>
          <a:tile tx="0" ty="0" sx="100000" sy="100000" flip="none" algn="tl"/>
        </a:blipFill>
        <a:effectLst>
          <a:outerShdw blurRad="50800" dist="50800" dir="5400000" sx="1000" sy="1000" algn="ctr" rotWithShape="0">
            <a:srgbClr val="000000">
              <a:alpha val="0"/>
            </a:srgbClr>
          </a:outerShdw>
        </a:effectLst>
      </xdr:spPr>
    </xdr:pic>
    <xdr:clientData/>
  </xdr:twoCellAnchor>
  <xdr:twoCellAnchor editAs="oneCell">
    <xdr:from>
      <xdr:col>0</xdr:col>
      <xdr:colOff>85725</xdr:colOff>
      <xdr:row>0</xdr:row>
      <xdr:rowOff>177009</xdr:rowOff>
    </xdr:from>
    <xdr:to>
      <xdr:col>0</xdr:col>
      <xdr:colOff>847725</xdr:colOff>
      <xdr:row>4</xdr:row>
      <xdr:rowOff>103983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9583E2C-A149-4091-BA8E-1938E76B7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25" y="177009"/>
          <a:ext cx="762000" cy="708024"/>
        </a:xfrm>
        <a:prstGeom prst="rect">
          <a:avLst/>
        </a:prstGeom>
      </xdr:spPr>
    </xdr:pic>
    <xdr:clientData/>
  </xdr:twoCellAnchor>
  <xdr:twoCellAnchor editAs="oneCell">
    <xdr:from>
      <xdr:col>7</xdr:col>
      <xdr:colOff>131235</xdr:colOff>
      <xdr:row>0</xdr:row>
      <xdr:rowOff>94197</xdr:rowOff>
    </xdr:from>
    <xdr:to>
      <xdr:col>7</xdr:col>
      <xdr:colOff>850900</xdr:colOff>
      <xdr:row>4</xdr:row>
      <xdr:rowOff>74085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BE0B510-16D6-477F-8421-80C64DE9D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74835" y="94197"/>
          <a:ext cx="719665" cy="760938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12</xdr:row>
      <xdr:rowOff>28576</xdr:rowOff>
    </xdr:from>
    <xdr:to>
      <xdr:col>5</xdr:col>
      <xdr:colOff>495300</xdr:colOff>
      <xdr:row>13</xdr:row>
      <xdr:rowOff>67721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98634B0-0611-45A4-BA42-067185EA06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3271" t="32067" r="51682" b="62693"/>
        <a:stretch/>
      </xdr:blipFill>
      <xdr:spPr>
        <a:xfrm>
          <a:off x="3162300" y="2390776"/>
          <a:ext cx="1143000" cy="248695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15</xdr:row>
      <xdr:rowOff>180975</xdr:rowOff>
    </xdr:from>
    <xdr:to>
      <xdr:col>6</xdr:col>
      <xdr:colOff>0</xdr:colOff>
      <xdr:row>17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F84D4A2-FB93-4BB0-BC92-195C4FE65C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0461" t="35415" r="53239" b="58979"/>
        <a:stretch/>
      </xdr:blipFill>
      <xdr:spPr>
        <a:xfrm>
          <a:off x="3171825" y="3171825"/>
          <a:ext cx="1400175" cy="400050"/>
        </a:xfrm>
        <a:prstGeom prst="rect">
          <a:avLst/>
        </a:prstGeom>
      </xdr:spPr>
    </xdr:pic>
    <xdr:clientData/>
  </xdr:twoCellAnchor>
  <xdr:twoCellAnchor editAs="oneCell">
    <xdr:from>
      <xdr:col>5</xdr:col>
      <xdr:colOff>119063</xdr:colOff>
      <xdr:row>31</xdr:row>
      <xdr:rowOff>178594</xdr:rowOff>
    </xdr:from>
    <xdr:to>
      <xdr:col>7</xdr:col>
      <xdr:colOff>16922</xdr:colOff>
      <xdr:row>33</xdr:row>
      <xdr:rowOff>11906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46F017E-435D-4929-9E7F-CB4A7198AE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8279" t="48509" r="53966" b="45631"/>
        <a:stretch/>
      </xdr:blipFill>
      <xdr:spPr>
        <a:xfrm>
          <a:off x="4345782" y="6465094"/>
          <a:ext cx="1421859" cy="23812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33</xdr:row>
      <xdr:rowOff>95250</xdr:rowOff>
    </xdr:from>
    <xdr:to>
      <xdr:col>7</xdr:col>
      <xdr:colOff>595312</xdr:colOff>
      <xdr:row>35</xdr:row>
      <xdr:rowOff>156484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DBF2440-EB41-4DC8-BF12-D8148D4C10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14351" t="67867" r="58133" b="24364"/>
        <a:stretch/>
      </xdr:blipFill>
      <xdr:spPr>
        <a:xfrm>
          <a:off x="3559969" y="6786563"/>
          <a:ext cx="2786062" cy="442234"/>
        </a:xfrm>
        <a:prstGeom prst="rect">
          <a:avLst/>
        </a:prstGeom>
      </xdr:spPr>
    </xdr:pic>
    <xdr:clientData/>
  </xdr:twoCellAnchor>
  <xdr:twoCellAnchor editAs="oneCell">
    <xdr:from>
      <xdr:col>8</xdr:col>
      <xdr:colOff>333375</xdr:colOff>
      <xdr:row>36</xdr:row>
      <xdr:rowOff>166687</xdr:rowOff>
    </xdr:from>
    <xdr:to>
      <xdr:col>10</xdr:col>
      <xdr:colOff>85047</xdr:colOff>
      <xdr:row>40</xdr:row>
      <xdr:rowOff>35721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F9068AA-4698-42B2-A2B9-32D2ACE359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26083" t="45579" r="53325" b="33911"/>
        <a:stretch/>
      </xdr:blipFill>
      <xdr:spPr>
        <a:xfrm>
          <a:off x="6846094" y="7429500"/>
          <a:ext cx="1275672" cy="71437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173477</xdr:colOff>
      <xdr:row>2</xdr:row>
      <xdr:rowOff>32913</xdr:rowOff>
    </xdr:from>
    <xdr:to>
      <xdr:col>5</xdr:col>
      <xdr:colOff>45508</xdr:colOff>
      <xdr:row>4</xdr:row>
      <xdr:rowOff>147198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C05E95F-E22D-43A2-93D4-CBECD4D1E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12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069077" y="432963"/>
          <a:ext cx="1396031" cy="533385"/>
        </a:xfrm>
        <a:prstGeom prst="rect">
          <a:avLst/>
        </a:prstGeom>
        <a:blipFill dpi="0" rotWithShape="1">
          <a:blip xmlns:r="http://schemas.openxmlformats.org/officeDocument/2006/relationships" r:embed="rId3">
            <a:alphaModFix amt="1000"/>
          </a:blip>
          <a:srcRect/>
          <a:tile tx="0" ty="0" sx="100000" sy="100000" flip="none" algn="tl"/>
        </a:blipFill>
        <a:effectLst>
          <a:outerShdw blurRad="50800" dist="50800" dir="5400000" sx="1000" sy="1000" algn="ctr" rotWithShape="0">
            <a:srgbClr val="000000">
              <a:alpha val="0"/>
            </a:srgbClr>
          </a:outerShdw>
        </a:effectLst>
      </xdr:spPr>
    </xdr:pic>
    <xdr:clientData/>
  </xdr:twoCellAnchor>
  <xdr:twoCellAnchor editAs="oneCell">
    <xdr:from>
      <xdr:col>0</xdr:col>
      <xdr:colOff>209550</xdr:colOff>
      <xdr:row>0</xdr:row>
      <xdr:rowOff>148434</xdr:rowOff>
    </xdr:from>
    <xdr:to>
      <xdr:col>0</xdr:col>
      <xdr:colOff>971550</xdr:colOff>
      <xdr:row>4</xdr:row>
      <xdr:rowOff>37308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1CCDB13-8AAA-4E14-91AC-1317B8D8D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9550" y="148434"/>
          <a:ext cx="762000" cy="727074"/>
        </a:xfrm>
        <a:prstGeom prst="rect">
          <a:avLst/>
        </a:prstGeom>
      </xdr:spPr>
    </xdr:pic>
    <xdr:clientData/>
  </xdr:twoCellAnchor>
  <xdr:twoCellAnchor editAs="oneCell">
    <xdr:from>
      <xdr:col>7</xdr:col>
      <xdr:colOff>131235</xdr:colOff>
      <xdr:row>0</xdr:row>
      <xdr:rowOff>94197</xdr:rowOff>
    </xdr:from>
    <xdr:to>
      <xdr:col>7</xdr:col>
      <xdr:colOff>850900</xdr:colOff>
      <xdr:row>4</xdr:row>
      <xdr:rowOff>35985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1887DA2-032E-4D31-B097-4894C8BEB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74835" y="94197"/>
          <a:ext cx="719665" cy="760938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27</xdr:row>
      <xdr:rowOff>47625</xdr:rowOff>
    </xdr:from>
    <xdr:to>
      <xdr:col>7</xdr:col>
      <xdr:colOff>694671</xdr:colOff>
      <xdr:row>29</xdr:row>
      <xdr:rowOff>38049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263A80A-E8BD-48C4-95E2-40BED1C33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0100" y="5324475"/>
          <a:ext cx="5228571" cy="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30</xdr:row>
      <xdr:rowOff>76200</xdr:rowOff>
    </xdr:from>
    <xdr:to>
      <xdr:col>8</xdr:col>
      <xdr:colOff>56361</xdr:colOff>
      <xdr:row>37</xdr:row>
      <xdr:rowOff>9350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7799B1B-CBCF-4F51-B213-2740D2379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47675" y="5924550"/>
          <a:ext cx="6314286" cy="140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.1.%20ESPECTRO%20E%20IRREGULAR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PECTRO"/>
      <sheetName val="IRREGULARIDADES"/>
    </sheetNames>
    <sheetDataSet>
      <sheetData sheetId="0">
        <row r="23">
          <cell r="H23">
            <v>0</v>
          </cell>
          <cell r="I23">
            <v>0.44000000000000006</v>
          </cell>
        </row>
        <row r="24">
          <cell r="H24">
            <v>0.1</v>
          </cell>
          <cell r="I24">
            <v>0.44000000000000006</v>
          </cell>
        </row>
        <row r="25">
          <cell r="H25">
            <v>0.14999999999999997</v>
          </cell>
          <cell r="I25">
            <v>0.44000000000000006</v>
          </cell>
        </row>
        <row r="26">
          <cell r="H26">
            <v>0.2</v>
          </cell>
          <cell r="I26">
            <v>0.44000000000000006</v>
          </cell>
        </row>
        <row r="27">
          <cell r="H27">
            <v>0.3</v>
          </cell>
          <cell r="I27">
            <v>0.44000000000000006</v>
          </cell>
        </row>
        <row r="28">
          <cell r="H28">
            <v>0.4</v>
          </cell>
          <cell r="I28">
            <v>0.44000000000000006</v>
          </cell>
        </row>
        <row r="29">
          <cell r="H29">
            <v>0.5</v>
          </cell>
          <cell r="I29">
            <v>0.44000000000000006</v>
          </cell>
        </row>
        <row r="30">
          <cell r="H30">
            <v>0.6</v>
          </cell>
          <cell r="I30">
            <v>0.44000000000000006</v>
          </cell>
        </row>
        <row r="31">
          <cell r="H31">
            <v>0.7</v>
          </cell>
          <cell r="I31">
            <v>0.44000000000000006</v>
          </cell>
        </row>
        <row r="32">
          <cell r="H32">
            <v>0.71999999999999975</v>
          </cell>
          <cell r="I32">
            <v>0.44000000000000006</v>
          </cell>
        </row>
        <row r="33">
          <cell r="H33">
            <v>0.8</v>
          </cell>
          <cell r="I33">
            <v>0.39600000000000002</v>
          </cell>
        </row>
        <row r="34">
          <cell r="H34">
            <v>0.9</v>
          </cell>
          <cell r="I34">
            <v>0.35200000000000004</v>
          </cell>
        </row>
        <row r="35">
          <cell r="H35">
            <v>1</v>
          </cell>
          <cell r="I35">
            <v>0.31680000000000003</v>
          </cell>
        </row>
        <row r="36">
          <cell r="H36">
            <v>1.5</v>
          </cell>
          <cell r="I36">
            <v>0.21120000000000003</v>
          </cell>
        </row>
        <row r="37">
          <cell r="H37">
            <v>2</v>
          </cell>
          <cell r="I37">
            <v>0.15840000000000001</v>
          </cell>
        </row>
        <row r="38">
          <cell r="H38">
            <v>2.5</v>
          </cell>
          <cell r="I38">
            <v>0.12672</v>
          </cell>
        </row>
        <row r="39">
          <cell r="H39">
            <v>3</v>
          </cell>
          <cell r="I39">
            <v>0.10560000000000001</v>
          </cell>
        </row>
        <row r="40">
          <cell r="H40">
            <v>3.5</v>
          </cell>
          <cell r="I40">
            <v>9.0514285714285728E-2</v>
          </cell>
        </row>
        <row r="41">
          <cell r="H41">
            <v>4</v>
          </cell>
          <cell r="I41">
            <v>7.9200000000000007E-2</v>
          </cell>
        </row>
        <row r="42">
          <cell r="H42">
            <v>4.5</v>
          </cell>
          <cell r="I42">
            <v>7.0400000000000004E-2</v>
          </cell>
        </row>
        <row r="43">
          <cell r="H43">
            <v>5</v>
          </cell>
          <cell r="I43">
            <v>6.336E-2</v>
          </cell>
        </row>
        <row r="44">
          <cell r="H44">
            <v>5.5</v>
          </cell>
          <cell r="I44">
            <v>5.7600000000000005E-2</v>
          </cell>
        </row>
        <row r="45">
          <cell r="H45">
            <v>5.76</v>
          </cell>
          <cell r="I45">
            <v>5.5000000000000007E-2</v>
          </cell>
        </row>
        <row r="47">
          <cell r="H47">
            <v>0.14999999999999997</v>
          </cell>
          <cell r="I47">
            <v>0</v>
          </cell>
        </row>
        <row r="48">
          <cell r="H48">
            <v>0.14999999999999997</v>
          </cell>
          <cell r="I48">
            <v>0.44000000000000006</v>
          </cell>
        </row>
        <row r="50">
          <cell r="H50">
            <v>0.71999999999999975</v>
          </cell>
          <cell r="I50">
            <v>0</v>
          </cell>
        </row>
        <row r="51">
          <cell r="H51">
            <v>0.71999999999999975</v>
          </cell>
          <cell r="I51">
            <v>0.44000000000000006</v>
          </cell>
        </row>
        <row r="53">
          <cell r="H53">
            <v>5.76</v>
          </cell>
          <cell r="I53">
            <v>0</v>
          </cell>
        </row>
        <row r="54">
          <cell r="H54">
            <v>5.76</v>
          </cell>
          <cell r="I54">
            <v>5.5000000000000007E-2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59253-FD2F-4859-A853-27386B27764C}">
  <dimension ref="A1:AB256"/>
  <sheetViews>
    <sheetView tabSelected="1" showWhiteSpace="0" view="pageLayout" topLeftCell="A139" zoomScaleNormal="100" workbookViewId="0">
      <selection activeCell="M144" sqref="M144"/>
    </sheetView>
  </sheetViews>
  <sheetFormatPr baseColWidth="10" defaultRowHeight="15" x14ac:dyDescent="0.25"/>
  <cols>
    <col min="1" max="1" width="16.28515625" customWidth="1"/>
    <col min="3" max="3" width="7.85546875" customWidth="1"/>
    <col min="4" max="4" width="8.5703125" customWidth="1"/>
    <col min="5" max="5" width="11" customWidth="1"/>
    <col min="6" max="6" width="9.28515625" customWidth="1"/>
  </cols>
  <sheetData>
    <row r="1" spans="1:28" ht="15.75" x14ac:dyDescent="0.25">
      <c r="A1" s="270"/>
      <c r="B1" s="306" t="s">
        <v>0</v>
      </c>
      <c r="C1" s="307"/>
      <c r="D1" s="307"/>
      <c r="E1" s="307"/>
      <c r="F1" s="307"/>
      <c r="G1" s="308"/>
      <c r="H1" s="286"/>
      <c r="I1" s="283"/>
      <c r="J1" s="283"/>
      <c r="K1" s="283"/>
      <c r="L1" s="283"/>
      <c r="M1" s="283"/>
      <c r="N1" s="283"/>
      <c r="O1" s="283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x14ac:dyDescent="0.25">
      <c r="A2" s="271"/>
      <c r="B2" s="309" t="s">
        <v>1</v>
      </c>
      <c r="C2" s="310"/>
      <c r="D2" s="310"/>
      <c r="E2" s="310"/>
      <c r="F2" s="310"/>
      <c r="G2" s="311"/>
      <c r="H2" s="287"/>
      <c r="I2" s="18"/>
      <c r="J2" s="18"/>
      <c r="K2" s="18"/>
      <c r="L2" s="18"/>
      <c r="M2" s="18"/>
      <c r="N2" s="18"/>
      <c r="O2" s="18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 x14ac:dyDescent="0.25">
      <c r="A3" s="271"/>
      <c r="B3" s="287"/>
      <c r="C3" s="290"/>
      <c r="D3" s="290"/>
      <c r="E3" s="290"/>
      <c r="F3" s="290"/>
      <c r="G3" s="303"/>
      <c r="H3" s="287"/>
      <c r="I3" s="284"/>
      <c r="J3" s="284"/>
      <c r="K3" s="284"/>
      <c r="L3" s="284"/>
      <c r="M3" s="284"/>
      <c r="N3" s="284"/>
      <c r="O3" s="284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2" customHeight="1" x14ac:dyDescent="0.25">
      <c r="A4" s="271"/>
      <c r="B4" s="287"/>
      <c r="C4" s="290"/>
      <c r="D4" s="290"/>
      <c r="E4" s="290"/>
      <c r="F4" s="290"/>
      <c r="G4" s="303"/>
      <c r="H4" s="287"/>
      <c r="I4" s="18"/>
      <c r="J4" s="18"/>
      <c r="K4" s="18"/>
      <c r="L4" s="18"/>
      <c r="M4" s="18"/>
      <c r="N4" s="18"/>
      <c r="O4" s="18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6.5" customHeight="1" x14ac:dyDescent="0.25">
      <c r="A5" s="272"/>
      <c r="B5" s="288"/>
      <c r="C5" s="304"/>
      <c r="D5" s="304"/>
      <c r="E5" s="304"/>
      <c r="F5" s="304"/>
      <c r="G5" s="305"/>
      <c r="H5" s="288"/>
      <c r="I5" s="18"/>
      <c r="J5" s="18"/>
      <c r="K5" s="18"/>
      <c r="L5" s="18"/>
      <c r="M5" s="18"/>
      <c r="N5" s="18"/>
      <c r="O5" s="18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 x14ac:dyDescent="0.25">
      <c r="A6" s="324" t="s">
        <v>15</v>
      </c>
      <c r="B6" s="324"/>
      <c r="C6" s="324"/>
      <c r="D6" s="324"/>
      <c r="E6" s="324"/>
      <c r="F6" s="324"/>
      <c r="G6" s="324"/>
      <c r="H6" s="324"/>
      <c r="I6" s="18"/>
      <c r="J6" s="18"/>
      <c r="K6" s="18"/>
      <c r="L6" s="18"/>
      <c r="M6" s="18"/>
      <c r="N6" s="18"/>
      <c r="O6" s="18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 x14ac:dyDescent="0.25">
      <c r="A7" s="297" t="s">
        <v>2</v>
      </c>
      <c r="B7" s="297"/>
      <c r="C7" s="297"/>
      <c r="D7" s="286" t="s">
        <v>3</v>
      </c>
      <c r="E7" s="301"/>
      <c r="F7" s="301"/>
      <c r="G7" s="301"/>
      <c r="H7" s="302"/>
      <c r="I7" s="18"/>
      <c r="J7" s="18"/>
      <c r="K7" s="18"/>
      <c r="L7" s="18"/>
      <c r="M7" s="18"/>
      <c r="N7" s="18"/>
      <c r="O7" s="18"/>
    </row>
    <row r="8" spans="1:28" ht="15.75" x14ac:dyDescent="0.25">
      <c r="A8" s="297" t="s">
        <v>4</v>
      </c>
      <c r="B8" s="297"/>
      <c r="C8" s="297"/>
      <c r="D8" s="287">
        <v>3142506648</v>
      </c>
      <c r="E8" s="290"/>
      <c r="F8" s="290"/>
      <c r="G8" s="290"/>
      <c r="H8" s="303"/>
      <c r="I8" s="18"/>
      <c r="J8" s="18"/>
      <c r="K8" s="18"/>
      <c r="L8" s="18"/>
      <c r="M8" s="18"/>
      <c r="N8" s="18"/>
      <c r="O8" s="18"/>
    </row>
    <row r="9" spans="1:28" ht="15.75" x14ac:dyDescent="0.25">
      <c r="A9" s="297" t="s">
        <v>5</v>
      </c>
      <c r="B9" s="297"/>
      <c r="C9" s="297"/>
      <c r="D9" s="288" t="s">
        <v>6</v>
      </c>
      <c r="E9" s="304"/>
      <c r="F9" s="304"/>
      <c r="G9" s="304"/>
      <c r="H9" s="305"/>
      <c r="I9" s="18"/>
      <c r="J9" s="284"/>
      <c r="K9" s="284"/>
      <c r="L9" s="17"/>
      <c r="M9" s="17"/>
      <c r="N9" s="18"/>
      <c r="O9" s="18"/>
    </row>
    <row r="10" spans="1:28" ht="6" customHeight="1" x14ac:dyDescent="0.25">
      <c r="A10" s="5"/>
      <c r="B10" s="5"/>
      <c r="C10" s="5"/>
      <c r="D10" s="5"/>
      <c r="E10" s="5"/>
      <c r="F10" s="5"/>
      <c r="G10" s="5"/>
      <c r="H10" s="5"/>
      <c r="I10" s="18"/>
      <c r="J10" s="18"/>
      <c r="K10" s="18"/>
      <c r="L10" s="18"/>
      <c r="M10" s="18"/>
      <c r="N10" s="18"/>
      <c r="O10" s="18"/>
    </row>
    <row r="11" spans="1:28" ht="17.25" customHeight="1" x14ac:dyDescent="0.25">
      <c r="A11" s="300" t="s">
        <v>7</v>
      </c>
      <c r="B11" s="300"/>
      <c r="C11" s="300"/>
      <c r="D11" s="300"/>
      <c r="E11" s="300"/>
      <c r="F11" s="300"/>
      <c r="G11" s="300"/>
      <c r="H11" s="300"/>
      <c r="I11" s="18"/>
      <c r="J11" s="18"/>
      <c r="K11" s="18"/>
      <c r="L11" s="18"/>
      <c r="M11" s="18"/>
      <c r="N11" s="18"/>
      <c r="O11" s="18"/>
    </row>
    <row r="12" spans="1:28" ht="3" customHeight="1" x14ac:dyDescent="0.25">
      <c r="A12" s="5"/>
      <c r="B12" s="5"/>
      <c r="C12" s="5"/>
      <c r="D12" s="5"/>
      <c r="E12" s="5"/>
      <c r="F12" s="5"/>
      <c r="G12" s="5"/>
      <c r="H12" s="5"/>
      <c r="I12" s="18"/>
      <c r="J12" s="18"/>
      <c r="K12" s="18"/>
      <c r="L12" s="18"/>
      <c r="M12" s="18"/>
      <c r="N12" s="18"/>
      <c r="O12" s="18"/>
    </row>
    <row r="13" spans="1:28" ht="15.75" x14ac:dyDescent="0.25">
      <c r="A13" s="299" t="s">
        <v>8</v>
      </c>
      <c r="B13" s="299"/>
      <c r="C13" s="299"/>
      <c r="D13" s="299"/>
      <c r="E13" s="299"/>
      <c r="F13" s="299"/>
      <c r="G13" s="299"/>
      <c r="H13" s="299"/>
      <c r="I13" s="284"/>
      <c r="J13" s="284"/>
      <c r="K13" s="284"/>
      <c r="L13" s="284"/>
      <c r="M13" s="284"/>
      <c r="N13" s="284"/>
      <c r="O13" s="284"/>
    </row>
    <row r="14" spans="1:28" ht="13.5" customHeight="1" x14ac:dyDescent="0.25">
      <c r="A14" s="273" t="s">
        <v>25</v>
      </c>
      <c r="B14" s="273"/>
      <c r="C14" s="273"/>
      <c r="D14" s="273"/>
      <c r="E14" s="273"/>
      <c r="F14" s="273"/>
      <c r="G14" s="273"/>
      <c r="H14" s="298"/>
      <c r="I14" s="18"/>
      <c r="J14" s="18"/>
      <c r="K14" s="18"/>
      <c r="L14" s="18"/>
      <c r="M14" s="18"/>
      <c r="N14" s="18"/>
      <c r="O14" s="18"/>
    </row>
    <row r="15" spans="1:28" ht="4.5" customHeight="1" x14ac:dyDescent="0.25">
      <c r="A15" s="5"/>
      <c r="B15" s="5"/>
      <c r="C15" s="5"/>
      <c r="D15" s="5"/>
      <c r="E15" s="5"/>
      <c r="F15" s="5"/>
      <c r="G15" s="5"/>
      <c r="H15" s="5"/>
      <c r="I15" s="18"/>
      <c r="J15" s="18"/>
      <c r="K15" s="18"/>
      <c r="L15" s="18"/>
      <c r="M15" s="18"/>
      <c r="N15" s="18"/>
      <c r="O15" s="18"/>
    </row>
    <row r="16" spans="1:28" ht="15.75" x14ac:dyDescent="0.25">
      <c r="A16" s="274" t="s">
        <v>23</v>
      </c>
      <c r="B16" s="274"/>
      <c r="C16" s="274"/>
      <c r="D16" s="274"/>
      <c r="E16" s="274"/>
      <c r="F16" s="274"/>
      <c r="G16" s="274"/>
      <c r="H16" s="274"/>
      <c r="I16" s="18"/>
      <c r="J16" s="18"/>
      <c r="K16" s="18"/>
      <c r="L16" s="18"/>
      <c r="M16" s="18"/>
      <c r="N16" s="18"/>
      <c r="O16" s="18"/>
    </row>
    <row r="17" spans="1:15" ht="3.75" customHeight="1" x14ac:dyDescent="0.25">
      <c r="A17" s="5"/>
      <c r="B17" s="5"/>
      <c r="C17" s="5"/>
      <c r="D17" s="5"/>
      <c r="E17" s="5"/>
      <c r="F17" s="5"/>
      <c r="G17" s="5"/>
      <c r="H17" s="5"/>
      <c r="I17" s="18"/>
      <c r="J17" s="18"/>
      <c r="K17" s="18"/>
      <c r="L17" s="18"/>
      <c r="M17" s="18"/>
      <c r="N17" s="18"/>
      <c r="O17" s="18"/>
    </row>
    <row r="18" spans="1:15" ht="15.75" x14ac:dyDescent="0.25">
      <c r="A18" s="6" t="s">
        <v>11</v>
      </c>
      <c r="B18" s="9">
        <v>21</v>
      </c>
      <c r="C18" s="4" t="s">
        <v>13</v>
      </c>
      <c r="D18" s="5"/>
      <c r="E18" s="325" t="s">
        <v>17</v>
      </c>
      <c r="F18" s="326"/>
      <c r="G18" s="326"/>
      <c r="H18" s="326"/>
      <c r="I18" s="18"/>
      <c r="J18" s="18"/>
      <c r="K18" s="18"/>
      <c r="L18" s="18"/>
      <c r="M18" s="18"/>
      <c r="N18" s="18"/>
      <c r="O18" s="18"/>
    </row>
    <row r="19" spans="1:15" ht="15.75" x14ac:dyDescent="0.25">
      <c r="A19" s="6" t="s">
        <v>9</v>
      </c>
      <c r="B19" s="11">
        <f>3900*SQRT(B18)/1000</f>
        <v>17.872045210327776</v>
      </c>
      <c r="C19" s="48" t="s">
        <v>14</v>
      </c>
      <c r="D19" s="5"/>
      <c r="E19" s="327" t="s">
        <v>18</v>
      </c>
      <c r="F19" s="328"/>
      <c r="G19" s="328"/>
      <c r="H19" s="328"/>
      <c r="I19" s="18"/>
      <c r="J19" s="18"/>
      <c r="K19" s="18"/>
      <c r="L19" s="18"/>
      <c r="M19" s="18"/>
      <c r="N19" s="18"/>
      <c r="O19" s="18"/>
    </row>
    <row r="20" spans="1:15" ht="18.75" x14ac:dyDescent="0.25">
      <c r="A20" s="6" t="s">
        <v>10</v>
      </c>
      <c r="B20" s="49">
        <v>2400</v>
      </c>
      <c r="C20" s="50" t="s">
        <v>16</v>
      </c>
      <c r="D20" s="5"/>
      <c r="E20" s="329" t="s">
        <v>19</v>
      </c>
      <c r="F20" s="330"/>
      <c r="G20" s="330"/>
      <c r="H20" s="330"/>
      <c r="I20" s="18"/>
      <c r="J20" s="284"/>
      <c r="K20" s="284"/>
      <c r="L20" s="17"/>
      <c r="M20" s="17"/>
      <c r="N20" s="18"/>
      <c r="O20" s="18"/>
    </row>
    <row r="21" spans="1:15" ht="5.25" customHeight="1" x14ac:dyDescent="0.25">
      <c r="A21" s="5"/>
      <c r="B21" s="5"/>
      <c r="C21" s="5"/>
      <c r="D21" s="5"/>
      <c r="E21" s="5"/>
      <c r="F21" s="5"/>
      <c r="G21" s="5"/>
      <c r="H21" s="18"/>
      <c r="I21" s="18"/>
      <c r="J21" s="18"/>
      <c r="K21" s="18"/>
      <c r="L21" s="18"/>
      <c r="M21" s="18"/>
      <c r="N21" s="18"/>
      <c r="O21" s="18"/>
    </row>
    <row r="22" spans="1:15" ht="15.75" x14ac:dyDescent="0.25">
      <c r="A22" s="274" t="s">
        <v>20</v>
      </c>
      <c r="B22" s="274"/>
      <c r="C22" s="274"/>
      <c r="D22" s="274"/>
      <c r="E22" s="274"/>
      <c r="F22" s="274"/>
      <c r="G22" s="274"/>
      <c r="H22" s="274"/>
      <c r="I22" s="18"/>
      <c r="J22" s="18"/>
      <c r="K22" s="18"/>
      <c r="L22" s="18"/>
      <c r="M22" s="18"/>
      <c r="N22" s="18"/>
      <c r="O22" s="18"/>
    </row>
    <row r="23" spans="1:15" ht="2.25" customHeight="1" x14ac:dyDescent="0.25">
      <c r="A23" s="5"/>
      <c r="B23" s="5"/>
      <c r="C23" s="5"/>
      <c r="D23" s="5"/>
      <c r="E23" s="5"/>
      <c r="F23" s="5"/>
      <c r="G23" s="5"/>
      <c r="H23" s="18"/>
      <c r="I23" s="18"/>
      <c r="J23" s="18"/>
      <c r="K23" s="18"/>
      <c r="L23" s="18"/>
      <c r="M23" s="18"/>
      <c r="N23" s="18"/>
      <c r="O23" s="18"/>
    </row>
    <row r="24" spans="1:15" ht="15.75" x14ac:dyDescent="0.25">
      <c r="A24" s="8" t="s">
        <v>9</v>
      </c>
      <c r="B24" s="9">
        <v>200</v>
      </c>
      <c r="C24" s="7" t="s">
        <v>12</v>
      </c>
      <c r="D24" s="5"/>
      <c r="E24" s="325" t="s">
        <v>22</v>
      </c>
      <c r="F24" s="326"/>
      <c r="G24" s="326"/>
      <c r="H24" s="326"/>
      <c r="I24" s="283"/>
      <c r="J24" s="283"/>
      <c r="K24" s="283"/>
      <c r="L24" s="283"/>
      <c r="M24" s="283"/>
      <c r="N24" s="283"/>
      <c r="O24" s="283"/>
    </row>
    <row r="25" spans="1:15" ht="18.75" x14ac:dyDescent="0.25">
      <c r="A25" s="8" t="s">
        <v>21</v>
      </c>
      <c r="B25" s="49">
        <v>7860</v>
      </c>
      <c r="C25" s="10" t="s">
        <v>16</v>
      </c>
      <c r="D25" s="5"/>
      <c r="E25" s="329" t="s">
        <v>19</v>
      </c>
      <c r="F25" s="330"/>
      <c r="G25" s="330"/>
      <c r="H25" s="330"/>
      <c r="I25" s="18"/>
      <c r="J25" s="18"/>
      <c r="K25" s="18"/>
      <c r="L25" s="18"/>
      <c r="M25" s="18"/>
      <c r="N25" s="18"/>
      <c r="O25" s="18"/>
    </row>
    <row r="26" spans="1:15" ht="3" customHeight="1" x14ac:dyDescent="0.25">
      <c r="A26" s="5"/>
      <c r="B26" s="5"/>
      <c r="C26" s="5"/>
      <c r="D26" s="5"/>
      <c r="E26" s="5"/>
      <c r="F26" s="5"/>
      <c r="G26" s="5"/>
      <c r="H26" s="12"/>
      <c r="I26" s="18"/>
      <c r="J26" s="18"/>
      <c r="K26" s="18"/>
      <c r="L26" s="18"/>
      <c r="M26" s="18"/>
      <c r="N26" s="18"/>
      <c r="O26" s="18"/>
    </row>
    <row r="27" spans="1:15" ht="15.75" x14ac:dyDescent="0.25">
      <c r="A27" s="273" t="s">
        <v>24</v>
      </c>
      <c r="B27" s="273"/>
      <c r="C27" s="273"/>
      <c r="D27" s="273"/>
      <c r="E27" s="273"/>
      <c r="F27" s="273"/>
      <c r="G27" s="273"/>
      <c r="H27" s="298"/>
      <c r="I27" s="284"/>
      <c r="J27" s="284"/>
      <c r="K27" s="284"/>
      <c r="L27" s="284"/>
      <c r="M27" s="284"/>
      <c r="N27" s="284"/>
      <c r="O27" s="284"/>
    </row>
    <row r="28" spans="1:15" ht="4.5" customHeight="1" x14ac:dyDescent="0.25">
      <c r="A28" s="5"/>
      <c r="B28" s="5"/>
      <c r="C28" s="5"/>
      <c r="D28" s="5"/>
      <c r="E28" s="5"/>
      <c r="F28" s="5"/>
      <c r="G28" s="5"/>
      <c r="H28" s="5"/>
      <c r="I28" s="18"/>
      <c r="J28" s="18"/>
      <c r="K28" s="18"/>
      <c r="L28" s="18"/>
      <c r="M28" s="18"/>
      <c r="N28" s="18"/>
      <c r="O28" s="18"/>
    </row>
    <row r="29" spans="1:15" ht="15.75" customHeight="1" x14ac:dyDescent="0.3">
      <c r="A29" s="314" t="s">
        <v>26</v>
      </c>
      <c r="B29" s="314"/>
      <c r="C29" s="314"/>
      <c r="D29" s="314"/>
      <c r="E29" s="314"/>
      <c r="F29" s="314"/>
      <c r="G29" s="314"/>
      <c r="H29" s="314"/>
      <c r="I29" s="18"/>
      <c r="J29" s="285"/>
      <c r="K29" s="285"/>
      <c r="L29" s="67"/>
      <c r="M29" s="71"/>
      <c r="N29" s="60"/>
      <c r="O29" s="18"/>
    </row>
    <row r="30" spans="1:15" ht="15.75" customHeight="1" x14ac:dyDescent="0.3">
      <c r="A30" s="5"/>
      <c r="B30" s="5"/>
      <c r="C30" s="5"/>
      <c r="D30" s="5"/>
      <c r="E30" s="5"/>
      <c r="F30" s="5"/>
      <c r="G30" s="5"/>
      <c r="H30" s="5"/>
      <c r="I30" s="18"/>
      <c r="J30" s="285"/>
      <c r="K30" s="285"/>
      <c r="L30" s="67"/>
      <c r="M30" s="71"/>
      <c r="N30" s="60"/>
      <c r="O30" s="18"/>
    </row>
    <row r="31" spans="1:15" ht="15.75" x14ac:dyDescent="0.25">
      <c r="A31" s="5"/>
      <c r="B31" s="5"/>
      <c r="C31" s="286"/>
      <c r="D31" s="301"/>
      <c r="E31" s="301"/>
      <c r="F31" s="302"/>
      <c r="G31" s="5"/>
      <c r="H31" s="5"/>
      <c r="I31" s="18"/>
      <c r="J31" s="18"/>
      <c r="K31" s="282"/>
      <c r="L31" s="282"/>
      <c r="M31" s="59"/>
      <c r="N31" s="60"/>
      <c r="O31" s="18"/>
    </row>
    <row r="32" spans="1:15" ht="15.75" x14ac:dyDescent="0.25">
      <c r="A32" s="5"/>
      <c r="B32" s="5"/>
      <c r="C32" s="287"/>
      <c r="D32" s="290"/>
      <c r="E32" s="290"/>
      <c r="F32" s="303"/>
      <c r="G32" s="5"/>
      <c r="H32" s="5"/>
      <c r="I32" s="5"/>
      <c r="J32" s="5"/>
      <c r="K32" s="5"/>
      <c r="L32" s="5"/>
      <c r="M32" s="5"/>
      <c r="N32" s="5"/>
      <c r="O32" s="5"/>
    </row>
    <row r="33" spans="1:15" ht="15.75" x14ac:dyDescent="0.25">
      <c r="A33" s="5"/>
      <c r="B33" s="5"/>
      <c r="C33" s="287"/>
      <c r="D33" s="290"/>
      <c r="E33" s="290"/>
      <c r="F33" s="303"/>
      <c r="G33" s="5"/>
      <c r="H33" s="5"/>
      <c r="I33" s="5"/>
      <c r="J33" s="5"/>
      <c r="K33" s="5"/>
      <c r="L33" s="5"/>
      <c r="M33" s="5"/>
      <c r="N33" s="5"/>
      <c r="O33" s="5"/>
    </row>
    <row r="34" spans="1:15" ht="15.75" x14ac:dyDescent="0.25">
      <c r="A34" s="5"/>
      <c r="B34" s="5"/>
      <c r="C34" s="287"/>
      <c r="D34" s="290"/>
      <c r="E34" s="290"/>
      <c r="F34" s="303"/>
      <c r="G34" s="5"/>
      <c r="H34" s="5"/>
      <c r="I34" s="5"/>
      <c r="J34" s="5"/>
      <c r="K34" s="5"/>
      <c r="L34" s="5"/>
      <c r="M34" s="5"/>
      <c r="N34" s="5"/>
      <c r="O34" s="5"/>
    </row>
    <row r="35" spans="1:15" ht="15.75" x14ac:dyDescent="0.25">
      <c r="A35" s="5"/>
      <c r="B35" s="5"/>
      <c r="C35" s="288"/>
      <c r="D35" s="304"/>
      <c r="E35" s="304"/>
      <c r="F35" s="305"/>
      <c r="G35" s="5"/>
      <c r="H35" s="5"/>
      <c r="I35" s="5"/>
      <c r="J35" s="5"/>
      <c r="K35" s="5"/>
      <c r="L35" s="5"/>
      <c r="M35" s="5"/>
      <c r="N35" s="5"/>
      <c r="O35" s="5"/>
    </row>
    <row r="36" spans="1:15" ht="15.75" x14ac:dyDescent="0.25">
      <c r="A36" s="5"/>
      <c r="B36" s="5"/>
      <c r="C36" s="321" t="s">
        <v>28</v>
      </c>
      <c r="D36" s="322"/>
      <c r="E36" s="322"/>
      <c r="F36" s="323"/>
      <c r="G36" s="5"/>
      <c r="H36" s="5"/>
      <c r="I36" s="5"/>
      <c r="J36" s="5"/>
      <c r="K36" s="5"/>
      <c r="L36" s="5"/>
      <c r="M36" s="5"/>
      <c r="N36" s="5"/>
      <c r="O36" s="5"/>
    </row>
    <row r="37" spans="1:15" ht="6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ht="15.75" x14ac:dyDescent="0.25">
      <c r="A38" s="277" t="s">
        <v>27</v>
      </c>
      <c r="B38" s="277"/>
      <c r="C38" s="277"/>
      <c r="D38" s="277"/>
      <c r="E38" s="277"/>
      <c r="F38" s="277"/>
      <c r="G38" s="277"/>
      <c r="H38" s="277"/>
      <c r="I38" s="5"/>
      <c r="J38" s="5"/>
      <c r="K38" s="5"/>
      <c r="L38" s="5"/>
      <c r="M38" s="5"/>
      <c r="N38" s="5"/>
      <c r="O38" s="5"/>
    </row>
    <row r="39" spans="1:15" ht="18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ht="30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ht="15.75" x14ac:dyDescent="0.25">
      <c r="A47" s="5"/>
      <c r="B47" s="315" t="s">
        <v>35</v>
      </c>
      <c r="C47" s="316"/>
      <c r="D47" s="5"/>
      <c r="E47" s="15" t="s">
        <v>29</v>
      </c>
      <c r="F47" s="14">
        <v>8.59</v>
      </c>
      <c r="G47" s="287" t="s">
        <v>31</v>
      </c>
      <c r="H47" s="291"/>
      <c r="I47" s="5"/>
      <c r="J47" s="5"/>
      <c r="K47" s="5"/>
      <c r="L47" s="5"/>
      <c r="M47" s="5"/>
      <c r="N47" s="5"/>
      <c r="O47" s="5"/>
    </row>
    <row r="48" spans="1:15" ht="15.75" x14ac:dyDescent="0.25">
      <c r="A48" s="5"/>
      <c r="B48" s="317"/>
      <c r="C48" s="318"/>
      <c r="D48" s="5"/>
      <c r="E48" s="15" t="s">
        <v>34</v>
      </c>
      <c r="F48" s="37">
        <f>F47/14</f>
        <v>0.61357142857142855</v>
      </c>
      <c r="G48" s="38">
        <f>F48</f>
        <v>0.61357142857142855</v>
      </c>
      <c r="H48" s="16" t="s">
        <v>30</v>
      </c>
      <c r="I48" s="5"/>
      <c r="J48" s="5"/>
      <c r="K48" s="5"/>
      <c r="L48" s="5"/>
      <c r="M48" s="5"/>
      <c r="N48" s="5"/>
      <c r="O48" s="5"/>
    </row>
    <row r="49" spans="1:15" ht="15.75" x14ac:dyDescent="0.25">
      <c r="A49" s="22"/>
      <c r="B49" s="23"/>
      <c r="C49" s="23"/>
      <c r="D49" s="22"/>
      <c r="E49" s="24"/>
      <c r="F49" s="25"/>
      <c r="G49" s="22"/>
      <c r="H49" s="22"/>
      <c r="I49" s="5"/>
      <c r="J49" s="5"/>
      <c r="K49" s="5"/>
      <c r="L49" s="5"/>
      <c r="M49" s="5"/>
      <c r="N49" s="5"/>
      <c r="O49" s="5"/>
    </row>
    <row r="50" spans="1:15" ht="44.25" customHeight="1" x14ac:dyDescent="0.25">
      <c r="A50" s="22"/>
      <c r="B50" s="332" t="s">
        <v>42</v>
      </c>
      <c r="C50" s="333"/>
      <c r="D50" s="22"/>
      <c r="E50" s="29" t="s">
        <v>43</v>
      </c>
      <c r="F50" s="28">
        <f>2.5*G48</f>
        <v>1.5339285714285713</v>
      </c>
      <c r="G50" s="331" t="s">
        <v>44</v>
      </c>
      <c r="H50" s="331"/>
      <c r="I50" s="5"/>
      <c r="J50" s="5"/>
      <c r="K50" s="5"/>
      <c r="L50" s="5"/>
      <c r="M50" s="5"/>
      <c r="N50" s="5"/>
      <c r="O50" s="5"/>
    </row>
    <row r="51" spans="1:15" ht="15.75" x14ac:dyDescent="0.25">
      <c r="A51" s="22"/>
      <c r="B51" s="334"/>
      <c r="C51" s="335"/>
      <c r="D51" s="22"/>
      <c r="E51" s="24" t="s">
        <v>43</v>
      </c>
      <c r="F51" s="27">
        <v>1</v>
      </c>
      <c r="G51" s="32">
        <f>F51</f>
        <v>1</v>
      </c>
      <c r="H51" s="31" t="s">
        <v>30</v>
      </c>
      <c r="I51" s="5"/>
      <c r="J51" s="5"/>
      <c r="K51" s="5"/>
      <c r="L51" s="5"/>
      <c r="M51" s="5"/>
      <c r="N51" s="5"/>
      <c r="O51" s="5"/>
    </row>
    <row r="52" spans="1:15" ht="15.75" x14ac:dyDescent="0.25">
      <c r="A52" s="22"/>
      <c r="B52" s="22"/>
      <c r="C52" s="22"/>
      <c r="D52" s="22"/>
      <c r="E52" s="22"/>
      <c r="F52" s="22"/>
      <c r="G52" s="22"/>
      <c r="H52" s="22"/>
      <c r="I52" s="5"/>
      <c r="J52" s="5"/>
      <c r="K52" s="5"/>
      <c r="L52" s="5"/>
      <c r="M52" s="5"/>
      <c r="N52" s="5"/>
      <c r="O52" s="5"/>
    </row>
    <row r="53" spans="1:15" ht="15.75" x14ac:dyDescent="0.25">
      <c r="A53" s="22"/>
      <c r="B53" s="336" t="s">
        <v>45</v>
      </c>
      <c r="C53" s="337"/>
      <c r="D53" s="22"/>
      <c r="E53" s="22"/>
      <c r="F53" s="18"/>
      <c r="G53" s="290" t="s">
        <v>31</v>
      </c>
      <c r="H53" s="291"/>
      <c r="I53" s="5"/>
      <c r="J53" s="5"/>
      <c r="K53" s="5"/>
      <c r="L53" s="5"/>
      <c r="M53" s="5"/>
      <c r="N53" s="5"/>
      <c r="O53" s="5"/>
    </row>
    <row r="54" spans="1:15" ht="15.75" x14ac:dyDescent="0.25">
      <c r="A54" s="22"/>
      <c r="B54" s="338"/>
      <c r="C54" s="339"/>
      <c r="D54" s="22"/>
      <c r="E54" s="33" t="s">
        <v>46</v>
      </c>
      <c r="F54" s="34">
        <f>0.2*G48</f>
        <v>0.12271428571428572</v>
      </c>
      <c r="G54" s="16">
        <v>0.15</v>
      </c>
      <c r="H54" s="16" t="s">
        <v>30</v>
      </c>
      <c r="I54" s="5"/>
      <c r="J54" s="5"/>
      <c r="K54" s="5"/>
      <c r="L54" s="5"/>
      <c r="M54" s="5"/>
      <c r="N54" s="5"/>
      <c r="O54" s="5"/>
    </row>
    <row r="55" spans="1:15" ht="15.75" x14ac:dyDescent="0.25">
      <c r="A55" s="22"/>
      <c r="B55" s="340"/>
      <c r="C55" s="341"/>
      <c r="D55" s="22"/>
      <c r="E55" s="22"/>
      <c r="F55" s="22"/>
      <c r="G55" s="22"/>
      <c r="H55" s="22"/>
      <c r="I55" s="5"/>
      <c r="J55" s="5"/>
      <c r="K55" s="5"/>
      <c r="L55" s="5"/>
      <c r="M55" s="5"/>
      <c r="N55" s="5"/>
      <c r="O55" s="5"/>
    </row>
    <row r="56" spans="1:15" ht="15.75" x14ac:dyDescent="0.25">
      <c r="A56" s="22"/>
      <c r="B56" s="35"/>
      <c r="C56" s="35"/>
      <c r="D56" s="22"/>
      <c r="E56" s="22"/>
      <c r="F56" s="22"/>
      <c r="G56" s="22"/>
      <c r="H56" s="22"/>
      <c r="I56" s="5"/>
      <c r="J56" s="5"/>
      <c r="K56" s="5"/>
      <c r="L56" s="5"/>
      <c r="M56" s="5"/>
      <c r="N56" s="5"/>
      <c r="O56" s="5"/>
    </row>
    <row r="57" spans="1:15" ht="15.75" x14ac:dyDescent="0.25">
      <c r="A57" s="22"/>
      <c r="B57" s="292" t="s">
        <v>47</v>
      </c>
      <c r="C57" s="292"/>
      <c r="D57" s="22"/>
      <c r="E57" s="22"/>
      <c r="F57" s="18"/>
      <c r="G57" s="290" t="s">
        <v>31</v>
      </c>
      <c r="H57" s="291"/>
      <c r="I57" s="5"/>
      <c r="J57" s="5"/>
      <c r="K57" s="5"/>
      <c r="L57" s="5"/>
      <c r="M57" s="5"/>
      <c r="N57" s="5"/>
      <c r="O57" s="5"/>
    </row>
    <row r="58" spans="1:15" ht="15.75" x14ac:dyDescent="0.25">
      <c r="A58" s="22"/>
      <c r="B58" s="292"/>
      <c r="C58" s="292"/>
      <c r="D58" s="22"/>
      <c r="E58" s="33" t="s">
        <v>48</v>
      </c>
      <c r="F58" s="36">
        <f>(G51-G54)/12</f>
        <v>7.0833333333333331E-2</v>
      </c>
      <c r="G58" s="16">
        <v>7.4999999999999997E-2</v>
      </c>
      <c r="H58" s="16" t="s">
        <v>30</v>
      </c>
      <c r="I58" s="5"/>
      <c r="J58" s="5"/>
      <c r="K58" s="5"/>
      <c r="L58" s="5"/>
      <c r="M58" s="5"/>
      <c r="N58" s="5"/>
      <c r="O58" s="5"/>
    </row>
    <row r="59" spans="1:15" ht="15.75" x14ac:dyDescent="0.25">
      <c r="A59" s="22"/>
      <c r="B59" s="22"/>
      <c r="C59" s="22"/>
      <c r="D59" s="22"/>
      <c r="E59" s="22"/>
      <c r="F59" s="22"/>
      <c r="G59" s="22"/>
      <c r="H59" s="22"/>
      <c r="I59" s="5"/>
      <c r="J59" s="5"/>
      <c r="K59" s="5"/>
      <c r="L59" s="5"/>
      <c r="M59" s="5"/>
      <c r="N59" s="5"/>
      <c r="O59" s="5"/>
    </row>
    <row r="60" spans="1:15" ht="15.75" x14ac:dyDescent="0.25">
      <c r="A60" s="277" t="s">
        <v>32</v>
      </c>
      <c r="B60" s="277"/>
      <c r="C60" s="277"/>
      <c r="D60" s="277"/>
      <c r="E60" s="277"/>
      <c r="F60" s="277"/>
      <c r="G60" s="277"/>
      <c r="H60" s="277"/>
      <c r="I60" s="5"/>
      <c r="J60" s="5"/>
      <c r="K60" s="5"/>
      <c r="L60" s="5"/>
      <c r="M60" s="5"/>
      <c r="N60" s="5"/>
      <c r="O60" s="5"/>
    </row>
    <row r="61" spans="1:15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ht="15.75" x14ac:dyDescent="0.25">
      <c r="A62" s="5"/>
      <c r="B62" s="315" t="s">
        <v>33</v>
      </c>
      <c r="C62" s="316"/>
      <c r="D62" s="5"/>
      <c r="E62" s="15" t="s">
        <v>29</v>
      </c>
      <c r="F62" s="14">
        <v>8.59</v>
      </c>
      <c r="G62" s="290" t="s">
        <v>31</v>
      </c>
      <c r="H62" s="291"/>
      <c r="I62" s="5"/>
      <c r="J62" s="5"/>
      <c r="K62" s="5"/>
      <c r="L62" s="5"/>
      <c r="M62" s="5"/>
      <c r="N62" s="5"/>
      <c r="O62" s="5"/>
    </row>
    <row r="63" spans="1:15" ht="15.75" x14ac:dyDescent="0.25">
      <c r="A63" s="5"/>
      <c r="B63" s="319"/>
      <c r="C63" s="320"/>
      <c r="D63" s="5"/>
      <c r="E63" s="19" t="s">
        <v>34</v>
      </c>
      <c r="F63" s="37">
        <f>F62/14</f>
        <v>0.61357142857142855</v>
      </c>
      <c r="G63" s="38">
        <f>F63</f>
        <v>0.61357142857142855</v>
      </c>
      <c r="H63" s="16" t="s">
        <v>30</v>
      </c>
      <c r="I63" s="5"/>
      <c r="J63" s="5"/>
      <c r="K63" s="5"/>
      <c r="L63" s="5"/>
      <c r="M63" s="5"/>
      <c r="N63" s="5"/>
      <c r="O63" s="5"/>
    </row>
    <row r="64" spans="1:15" ht="15.75" x14ac:dyDescent="0.25">
      <c r="A64" s="5"/>
      <c r="B64" s="312" t="s">
        <v>38</v>
      </c>
      <c r="C64" s="313"/>
      <c r="D64" s="5"/>
      <c r="E64" s="19" t="s">
        <v>36</v>
      </c>
      <c r="F64" s="20">
        <f>0.4*(G63)</f>
        <v>0.24542857142857144</v>
      </c>
      <c r="G64" s="39">
        <f>F64</f>
        <v>0.24542857142857144</v>
      </c>
      <c r="H64" s="31" t="s">
        <v>30</v>
      </c>
      <c r="I64" s="5"/>
      <c r="J64" s="5"/>
      <c r="K64" s="5"/>
      <c r="L64" s="5"/>
      <c r="M64" s="5"/>
      <c r="N64" s="5"/>
      <c r="O64" s="5"/>
    </row>
    <row r="65" spans="1:15" ht="15.75" x14ac:dyDescent="0.25">
      <c r="A65" s="22"/>
      <c r="B65" s="17"/>
      <c r="C65" s="17"/>
      <c r="D65" s="22"/>
      <c r="E65" s="33"/>
      <c r="F65" s="26"/>
      <c r="G65" s="40"/>
      <c r="H65" s="30"/>
      <c r="I65" s="5"/>
      <c r="J65" s="5"/>
      <c r="K65" s="5"/>
      <c r="L65" s="5"/>
      <c r="M65" s="5"/>
      <c r="N65" s="5"/>
      <c r="O65" s="5"/>
    </row>
    <row r="66" spans="1:15" ht="15.75" x14ac:dyDescent="0.25">
      <c r="A66" s="277" t="s">
        <v>37</v>
      </c>
      <c r="B66" s="277"/>
      <c r="C66" s="277"/>
      <c r="D66" s="277"/>
      <c r="E66" s="277"/>
      <c r="F66" s="277"/>
      <c r="G66" s="277"/>
      <c r="H66" s="277"/>
      <c r="I66" s="5"/>
      <c r="J66" s="5"/>
      <c r="K66" s="5"/>
      <c r="L66" s="5"/>
      <c r="M66" s="5"/>
      <c r="N66" s="5"/>
      <c r="O66" s="5"/>
    </row>
    <row r="67" spans="1:15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ht="15" customHeight="1" x14ac:dyDescent="0.25">
      <c r="A68" s="5"/>
      <c r="B68" s="289" t="s">
        <v>57</v>
      </c>
      <c r="C68" s="289"/>
      <c r="D68" s="289"/>
      <c r="E68" s="289"/>
      <c r="F68" s="289"/>
      <c r="G68" s="289"/>
      <c r="H68" s="5"/>
      <c r="I68" s="5"/>
      <c r="J68" s="5"/>
      <c r="K68" s="5"/>
      <c r="L68" s="5"/>
      <c r="M68" s="5"/>
      <c r="N68" s="5"/>
      <c r="O68" s="5"/>
    </row>
    <row r="69" spans="1:15" ht="15" customHeight="1" x14ac:dyDescent="0.25">
      <c r="A69" s="5"/>
      <c r="B69" s="289"/>
      <c r="C69" s="289"/>
      <c r="D69" s="289"/>
      <c r="E69" s="289"/>
      <c r="F69" s="289"/>
      <c r="G69" s="289"/>
      <c r="H69" s="5"/>
      <c r="I69" s="5"/>
      <c r="J69" s="5"/>
      <c r="K69" s="5"/>
      <c r="L69" s="5"/>
      <c r="M69" s="5"/>
      <c r="N69" s="5"/>
      <c r="O69" s="5"/>
    </row>
    <row r="70" spans="1:15" ht="15" customHeight="1" x14ac:dyDescent="0.25">
      <c r="A70" s="5"/>
      <c r="B70" s="289"/>
      <c r="C70" s="289"/>
      <c r="D70" s="289"/>
      <c r="E70" s="289"/>
      <c r="F70" s="289"/>
      <c r="G70" s="289"/>
      <c r="H70" s="5"/>
      <c r="I70" s="5"/>
      <c r="J70" s="5"/>
      <c r="K70" s="5"/>
      <c r="L70" s="5"/>
      <c r="M70" s="5"/>
      <c r="N70" s="5"/>
      <c r="O70" s="5"/>
    </row>
    <row r="71" spans="1:15" ht="15.75" x14ac:dyDescent="0.25">
      <c r="A71" s="5"/>
      <c r="B71" s="289"/>
      <c r="C71" s="289"/>
      <c r="D71" s="289"/>
      <c r="E71" s="289"/>
      <c r="F71" s="289"/>
      <c r="G71" s="289"/>
      <c r="H71" s="5"/>
      <c r="I71" s="5"/>
      <c r="J71" s="5"/>
      <c r="K71" s="5"/>
      <c r="L71" s="5"/>
      <c r="M71" s="5"/>
      <c r="N71" s="5"/>
      <c r="O71" s="5"/>
    </row>
    <row r="72" spans="1:15" ht="6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5" ht="15.75" x14ac:dyDescent="0.25">
      <c r="A73" s="5"/>
      <c r="B73" s="5"/>
      <c r="C73" s="21"/>
      <c r="D73" s="19" t="s">
        <v>34</v>
      </c>
      <c r="E73" s="39">
        <f>G64</f>
        <v>0.24542857142857144</v>
      </c>
      <c r="F73" s="31" t="s">
        <v>30</v>
      </c>
      <c r="G73" s="5"/>
      <c r="H73" s="5"/>
      <c r="I73" s="5"/>
      <c r="J73" s="5"/>
      <c r="K73" s="5"/>
      <c r="L73" s="5"/>
      <c r="M73" s="5"/>
      <c r="N73" s="5"/>
      <c r="O73" s="5"/>
    </row>
    <row r="74" spans="1:15" ht="15.75" x14ac:dyDescent="0.25">
      <c r="A74" s="5"/>
      <c r="B74" s="5"/>
      <c r="C74" s="21"/>
      <c r="D74" s="19" t="s">
        <v>36</v>
      </c>
      <c r="E74" s="39">
        <f>G64</f>
        <v>0.24542857142857144</v>
      </c>
      <c r="F74" s="31" t="s">
        <v>30</v>
      </c>
      <c r="G74" s="5"/>
      <c r="H74" s="5"/>
      <c r="I74" s="5"/>
      <c r="J74" s="5"/>
      <c r="K74" s="5"/>
      <c r="L74" s="5"/>
      <c r="M74" s="5"/>
      <c r="N74" s="5"/>
      <c r="O74" s="5"/>
    </row>
    <row r="75" spans="1:15" ht="15.75" x14ac:dyDescent="0.25">
      <c r="A75" s="5"/>
      <c r="B75" s="5"/>
      <c r="C75" s="21"/>
      <c r="D75" s="33"/>
      <c r="E75" s="40"/>
      <c r="F75" s="30"/>
      <c r="G75" s="22"/>
      <c r="H75" s="5"/>
      <c r="I75" s="5"/>
      <c r="J75" s="5"/>
      <c r="K75" s="5"/>
      <c r="L75" s="5"/>
      <c r="M75" s="5"/>
      <c r="N75" s="5"/>
      <c r="O75" s="5"/>
    </row>
    <row r="76" spans="1:15" ht="15.75" x14ac:dyDescent="0.25">
      <c r="A76" s="277" t="s">
        <v>58</v>
      </c>
      <c r="B76" s="277"/>
      <c r="C76" s="277"/>
      <c r="D76" s="277"/>
      <c r="E76" s="277"/>
      <c r="F76" s="277"/>
      <c r="G76" s="277"/>
      <c r="H76" s="277"/>
      <c r="I76" s="5"/>
      <c r="J76" s="5"/>
      <c r="K76" s="5"/>
      <c r="L76" s="5"/>
      <c r="M76" s="5"/>
      <c r="N76" s="5"/>
      <c r="O76" s="5"/>
    </row>
    <row r="77" spans="1:15" ht="15.75" x14ac:dyDescent="0.25">
      <c r="A77" s="54"/>
      <c r="B77" s="54"/>
      <c r="C77" s="54"/>
      <c r="D77" s="54"/>
      <c r="E77" s="54"/>
      <c r="F77" s="54"/>
      <c r="G77" s="54"/>
      <c r="H77" s="54"/>
      <c r="I77" s="5"/>
      <c r="J77" s="5"/>
      <c r="K77" s="5"/>
      <c r="L77" s="5"/>
      <c r="M77" s="5"/>
      <c r="N77" s="5"/>
      <c r="O77" s="5"/>
    </row>
    <row r="78" spans="1:15" ht="15.75" x14ac:dyDescent="0.25">
      <c r="A78" s="264" t="s">
        <v>62</v>
      </c>
      <c r="B78" s="265"/>
      <c r="C78" s="54"/>
      <c r="D78" s="296" t="s">
        <v>63</v>
      </c>
      <c r="E78" s="296"/>
      <c r="F78" s="43">
        <v>4.0999999999999996</v>
      </c>
      <c r="G78" s="44" t="s">
        <v>30</v>
      </c>
      <c r="H78" s="54"/>
      <c r="I78" s="5"/>
      <c r="J78" s="5"/>
      <c r="K78" s="5"/>
      <c r="L78" s="5"/>
      <c r="M78" s="5"/>
      <c r="N78" s="5"/>
      <c r="O78" s="5"/>
    </row>
    <row r="79" spans="1:15" ht="15.75" customHeight="1" x14ac:dyDescent="0.25">
      <c r="A79" s="266"/>
      <c r="B79" s="267"/>
      <c r="C79" s="41"/>
      <c r="D79" s="295" t="s">
        <v>59</v>
      </c>
      <c r="E79" s="295"/>
      <c r="F79" s="31">
        <v>0.1</v>
      </c>
      <c r="G79" s="16" t="s">
        <v>30</v>
      </c>
      <c r="H79" s="5"/>
      <c r="I79" s="5"/>
      <c r="J79" s="5"/>
      <c r="K79" s="5"/>
      <c r="L79" s="5"/>
      <c r="M79" s="5"/>
      <c r="N79" s="5"/>
      <c r="O79" s="5"/>
    </row>
    <row r="80" spans="1:15" ht="15.75" x14ac:dyDescent="0.25">
      <c r="A80" s="266"/>
      <c r="B80" s="267"/>
      <c r="C80" s="41"/>
      <c r="D80" s="295" t="s">
        <v>60</v>
      </c>
      <c r="E80" s="295"/>
      <c r="F80" s="31">
        <v>1</v>
      </c>
      <c r="G80" s="16" t="s">
        <v>30</v>
      </c>
      <c r="H80" s="5"/>
      <c r="I80" s="5"/>
      <c r="J80" s="5"/>
      <c r="K80" s="5"/>
      <c r="L80" s="5"/>
      <c r="M80" s="5"/>
      <c r="N80" s="5"/>
      <c r="O80" s="5"/>
    </row>
    <row r="81" spans="1:15" ht="15.75" x14ac:dyDescent="0.25">
      <c r="A81" s="268"/>
      <c r="B81" s="269"/>
      <c r="C81" s="41"/>
      <c r="D81" s="295" t="s">
        <v>61</v>
      </c>
      <c r="E81" s="295"/>
      <c r="F81" s="42">
        <f>F78-G63</f>
        <v>3.4864285714285712</v>
      </c>
      <c r="G81" s="16" t="s">
        <v>30</v>
      </c>
      <c r="H81" s="5"/>
      <c r="I81" s="5"/>
      <c r="J81" s="5"/>
      <c r="K81" s="5"/>
      <c r="L81" s="5"/>
      <c r="M81" s="5"/>
      <c r="N81" s="5"/>
      <c r="O81" s="5"/>
    </row>
    <row r="82" spans="1:15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1:15" ht="15.75" x14ac:dyDescent="0.25">
      <c r="A83" s="273" t="s">
        <v>50</v>
      </c>
      <c r="B83" s="273"/>
      <c r="C83" s="273"/>
      <c r="D83" s="273"/>
      <c r="E83" s="273"/>
      <c r="F83" s="273"/>
      <c r="G83" s="273"/>
      <c r="H83" s="273"/>
      <c r="I83" s="5"/>
      <c r="J83" s="5"/>
      <c r="K83" s="5"/>
      <c r="L83" s="5"/>
      <c r="M83" s="5"/>
      <c r="N83" s="5"/>
      <c r="O83" s="5"/>
    </row>
    <row r="84" spans="1:15" ht="9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5" ht="9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1:15" ht="15.75" x14ac:dyDescent="0.25">
      <c r="A86" s="277" t="s">
        <v>54</v>
      </c>
      <c r="B86" s="277"/>
      <c r="C86" s="277"/>
      <c r="D86" s="277"/>
      <c r="E86" s="277"/>
      <c r="F86" s="277"/>
      <c r="G86" s="277"/>
      <c r="H86" s="277"/>
      <c r="I86" s="5"/>
      <c r="J86" s="5"/>
      <c r="K86" s="5"/>
      <c r="L86" s="5"/>
      <c r="M86" s="5"/>
      <c r="N86" s="5"/>
      <c r="O86" s="5"/>
    </row>
    <row r="87" spans="1:15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5" ht="15.75" x14ac:dyDescent="0.25">
      <c r="A88" s="72"/>
      <c r="B88" s="293" t="s">
        <v>49</v>
      </c>
      <c r="C88" s="293"/>
      <c r="D88" s="294"/>
      <c r="E88" s="9" t="s">
        <v>40</v>
      </c>
      <c r="F88" s="4" t="s">
        <v>41</v>
      </c>
      <c r="G88" s="5"/>
      <c r="H88" s="5"/>
      <c r="I88" s="5"/>
      <c r="J88" s="5"/>
      <c r="K88" s="5"/>
      <c r="L88" s="5"/>
      <c r="M88" s="5"/>
      <c r="N88" s="5"/>
      <c r="O88" s="5"/>
    </row>
    <row r="89" spans="1:15" ht="15.75" x14ac:dyDescent="0.25">
      <c r="A89" s="72"/>
      <c r="B89" s="293" t="s">
        <v>39</v>
      </c>
      <c r="C89" s="293"/>
      <c r="D89" s="294"/>
      <c r="E89" s="51">
        <f>24*G58</f>
        <v>1.7999999999999998</v>
      </c>
      <c r="F89" s="52" t="s">
        <v>41</v>
      </c>
      <c r="G89" s="5"/>
      <c r="H89" s="108"/>
      <c r="I89" s="5"/>
      <c r="J89" s="5"/>
      <c r="K89" s="5"/>
      <c r="L89" s="5"/>
      <c r="M89" s="5"/>
      <c r="N89" s="5"/>
      <c r="O89" s="5"/>
    </row>
    <row r="90" spans="1:15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1:15" ht="15.75" x14ac:dyDescent="0.25">
      <c r="A91" s="277" t="s">
        <v>55</v>
      </c>
      <c r="B91" s="277"/>
      <c r="C91" s="277"/>
      <c r="D91" s="277"/>
      <c r="E91" s="277"/>
      <c r="F91" s="277"/>
      <c r="G91" s="277"/>
      <c r="H91" s="277"/>
      <c r="I91" s="5"/>
      <c r="J91" s="5"/>
      <c r="K91" s="5"/>
      <c r="L91" s="5"/>
      <c r="M91" s="5"/>
      <c r="N91" s="5"/>
      <c r="O91" s="5"/>
    </row>
    <row r="92" spans="1:15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5" ht="15.75" x14ac:dyDescent="0.25">
      <c r="A93" s="5"/>
      <c r="B93" s="5"/>
      <c r="C93" s="5"/>
      <c r="D93" s="5"/>
      <c r="E93" s="5"/>
      <c r="F93" s="5"/>
      <c r="G93" s="5" t="s">
        <v>90</v>
      </c>
      <c r="H93" s="5"/>
      <c r="I93" s="5"/>
      <c r="J93" s="5"/>
      <c r="K93" s="5"/>
      <c r="L93" s="5"/>
      <c r="M93" s="5"/>
      <c r="N93" s="5"/>
      <c r="O93" s="5"/>
    </row>
    <row r="94" spans="1:15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1:15" ht="15.75" x14ac:dyDescent="0.25">
      <c r="A95" s="5"/>
      <c r="B95" s="278" t="s">
        <v>51</v>
      </c>
      <c r="C95" s="278"/>
      <c r="D95" s="278"/>
      <c r="E95" s="73">
        <f>(G54*(G48-G58)*(B20/100))/G51</f>
        <v>1.9388571428571426</v>
      </c>
      <c r="F95" s="74" t="s">
        <v>41</v>
      </c>
      <c r="G95" s="5"/>
      <c r="H95" s="5"/>
      <c r="I95" s="5"/>
      <c r="J95" s="5"/>
      <c r="K95" s="5"/>
      <c r="L95" s="5"/>
      <c r="M95" s="5"/>
      <c r="N95" s="5"/>
      <c r="O95" s="5"/>
    </row>
    <row r="96" spans="1:15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spans="1:15" ht="15.75" x14ac:dyDescent="0.25">
      <c r="A97" s="274" t="s">
        <v>56</v>
      </c>
      <c r="B97" s="274"/>
      <c r="C97" s="274"/>
      <c r="D97" s="274"/>
      <c r="E97" s="5"/>
      <c r="F97" s="274" t="s">
        <v>113</v>
      </c>
      <c r="G97" s="274"/>
      <c r="H97" s="274"/>
      <c r="I97" s="5"/>
      <c r="J97" s="5"/>
      <c r="K97" s="5"/>
      <c r="L97" s="5"/>
      <c r="M97" s="5"/>
      <c r="N97" s="5"/>
      <c r="O97" s="5"/>
    </row>
    <row r="98" spans="1:15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1:15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pans="1:15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1:15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1:15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spans="1:15" ht="15.75" x14ac:dyDescent="0.25">
      <c r="A104" s="75" t="s">
        <v>52</v>
      </c>
      <c r="B104" s="76">
        <v>1.1000000000000001</v>
      </c>
      <c r="C104" s="77" t="s">
        <v>41</v>
      </c>
      <c r="D104" s="53"/>
      <c r="E104" s="293" t="s">
        <v>53</v>
      </c>
      <c r="F104" s="294"/>
      <c r="G104" s="78">
        <f>0.015*8</f>
        <v>0.12</v>
      </c>
      <c r="H104" s="74" t="s">
        <v>41</v>
      </c>
      <c r="I104" s="5"/>
      <c r="J104" s="5"/>
      <c r="K104" s="5"/>
      <c r="L104" s="5"/>
      <c r="M104" s="5"/>
      <c r="N104" s="5"/>
      <c r="O104" s="5"/>
    </row>
    <row r="105" spans="1:15" ht="15.75" x14ac:dyDescent="0.25">
      <c r="A105" s="5"/>
      <c r="B105" s="5"/>
      <c r="C105" s="5"/>
      <c r="D105" s="5"/>
      <c r="E105" s="12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1:15" ht="15.75" x14ac:dyDescent="0.25">
      <c r="A106" s="274" t="s">
        <v>115</v>
      </c>
      <c r="B106" s="274"/>
      <c r="C106" s="274"/>
      <c r="D106" s="5"/>
      <c r="E106" s="274" t="s">
        <v>116</v>
      </c>
      <c r="F106" s="274"/>
      <c r="G106" s="274"/>
      <c r="H106" s="274"/>
      <c r="I106" s="5"/>
      <c r="J106" s="5"/>
      <c r="K106" s="5"/>
      <c r="L106" s="5"/>
      <c r="M106" s="5"/>
      <c r="N106" s="5"/>
      <c r="O106" s="5"/>
    </row>
    <row r="107" spans="1:15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spans="1:15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spans="1:15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spans="1:15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spans="1:15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 spans="1:15" ht="18" customHeight="1" x14ac:dyDescent="0.25">
      <c r="A112" s="75" t="s">
        <v>96</v>
      </c>
      <c r="B112" s="76">
        <v>0.5</v>
      </c>
      <c r="C112" s="77" t="s">
        <v>41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</row>
    <row r="113" spans="1:15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pans="1:15" ht="15.75" x14ac:dyDescent="0.25">
      <c r="A114" s="274" t="s">
        <v>117</v>
      </c>
      <c r="B114" s="281"/>
      <c r="C114" s="281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1:15" ht="15.75" x14ac:dyDescent="0.25">
      <c r="A115" s="5"/>
      <c r="B115" s="5"/>
      <c r="C115" s="5"/>
      <c r="D115" s="5"/>
      <c r="E115" s="278" t="s">
        <v>97</v>
      </c>
      <c r="F115" s="278"/>
      <c r="G115" s="14">
        <v>1.8</v>
      </c>
      <c r="H115" s="79" t="s">
        <v>95</v>
      </c>
      <c r="I115" s="5"/>
      <c r="J115" s="5"/>
      <c r="K115" s="5"/>
      <c r="L115" s="5"/>
      <c r="M115" s="5"/>
      <c r="N115" s="5"/>
      <c r="O115" s="5"/>
    </row>
    <row r="116" spans="1:15" ht="15.75" x14ac:dyDescent="0.25">
      <c r="A116" s="5"/>
      <c r="B116" s="5"/>
      <c r="C116" s="5"/>
      <c r="D116" s="5"/>
      <c r="E116" s="278" t="s">
        <v>98</v>
      </c>
      <c r="F116" s="278"/>
      <c r="G116" s="37">
        <f>F81</f>
        <v>3.4864285714285712</v>
      </c>
      <c r="H116" s="79" t="s">
        <v>30</v>
      </c>
      <c r="I116" s="5"/>
      <c r="J116" s="5"/>
      <c r="K116" s="5"/>
      <c r="L116" s="5"/>
      <c r="M116" s="5"/>
      <c r="N116" s="5"/>
      <c r="O116" s="5"/>
    </row>
    <row r="117" spans="1:15" ht="15.75" x14ac:dyDescent="0.25">
      <c r="A117" s="5"/>
      <c r="B117" s="5"/>
      <c r="C117" s="5"/>
      <c r="D117" s="5"/>
      <c r="E117" s="278" t="s">
        <v>99</v>
      </c>
      <c r="F117" s="278"/>
      <c r="G117" s="14">
        <v>164.06</v>
      </c>
      <c r="H117" s="79" t="s">
        <v>30</v>
      </c>
      <c r="I117" s="5"/>
      <c r="J117" s="5"/>
      <c r="K117" s="5"/>
      <c r="L117" s="5"/>
      <c r="M117" s="5"/>
      <c r="N117" s="5"/>
      <c r="O117" s="5"/>
    </row>
    <row r="118" spans="1:15" ht="15.75" x14ac:dyDescent="0.25">
      <c r="A118" s="5"/>
      <c r="B118" s="5"/>
      <c r="C118" s="5"/>
      <c r="D118" s="5"/>
      <c r="E118" s="278" t="s">
        <v>100</v>
      </c>
      <c r="F118" s="278"/>
      <c r="G118" s="79">
        <v>1027.6315999999999</v>
      </c>
      <c r="H118" s="79" t="s">
        <v>89</v>
      </c>
      <c r="I118" s="5"/>
      <c r="J118" s="5"/>
      <c r="K118" s="5"/>
      <c r="L118" s="5"/>
      <c r="M118" s="5"/>
      <c r="N118" s="5"/>
      <c r="O118" s="5"/>
    </row>
    <row r="119" spans="1:15" ht="15.75" x14ac:dyDescent="0.25">
      <c r="A119" s="5"/>
      <c r="B119" s="5"/>
      <c r="C119" s="5"/>
      <c r="D119" s="5"/>
      <c r="E119" s="55"/>
      <c r="F119" s="55"/>
      <c r="G119" s="5"/>
      <c r="H119" s="5"/>
      <c r="I119" s="5"/>
      <c r="J119" s="5"/>
      <c r="K119" s="5"/>
      <c r="L119" s="5"/>
      <c r="M119" s="5"/>
      <c r="N119" s="5"/>
      <c r="O119" s="5"/>
    </row>
    <row r="120" spans="1:15" ht="34.5" customHeight="1" x14ac:dyDescent="0.25">
      <c r="A120" s="80" t="s">
        <v>101</v>
      </c>
      <c r="B120" s="81">
        <v>25.283999999999999</v>
      </c>
      <c r="C120" s="82" t="s">
        <v>105</v>
      </c>
      <c r="D120" s="5"/>
      <c r="E120" s="263" t="s">
        <v>107</v>
      </c>
      <c r="F120" s="263"/>
      <c r="G120" s="83">
        <f>(G115*G116*G117)/G118</f>
        <v>1.0018865209783627</v>
      </c>
      <c r="H120" s="84" t="s">
        <v>95</v>
      </c>
      <c r="I120" s="5"/>
      <c r="J120" s="5"/>
      <c r="K120" s="5"/>
      <c r="L120" s="5"/>
      <c r="M120" s="5"/>
      <c r="N120" s="5"/>
      <c r="O120" s="5"/>
    </row>
    <row r="121" spans="1:15" ht="15.75" x14ac:dyDescent="0.25">
      <c r="A121" s="85" t="s">
        <v>102</v>
      </c>
      <c r="B121" s="14">
        <v>0.01</v>
      </c>
      <c r="C121" s="79" t="s">
        <v>30</v>
      </c>
      <c r="D121" s="5"/>
      <c r="E121" s="55"/>
      <c r="F121" s="55"/>
      <c r="G121" s="5"/>
      <c r="H121" s="5"/>
      <c r="I121" s="5"/>
      <c r="J121" s="5"/>
      <c r="K121" s="5"/>
      <c r="L121" s="5"/>
      <c r="M121" s="5"/>
      <c r="N121" s="5"/>
      <c r="O121" s="5"/>
    </row>
    <row r="122" spans="1:15" ht="15.75" x14ac:dyDescent="0.25">
      <c r="A122" s="85" t="s">
        <v>103</v>
      </c>
      <c r="B122" s="37">
        <f>G116</f>
        <v>3.4864285714285712</v>
      </c>
      <c r="C122" s="79" t="s">
        <v>30</v>
      </c>
      <c r="D122" s="5"/>
      <c r="E122" s="55"/>
      <c r="F122" s="55"/>
      <c r="G122" s="5"/>
      <c r="H122" s="5"/>
      <c r="I122" s="5"/>
      <c r="J122" s="5"/>
      <c r="K122" s="5"/>
      <c r="L122" s="5"/>
      <c r="M122" s="5"/>
      <c r="N122" s="5"/>
      <c r="O122" s="5"/>
    </row>
    <row r="123" spans="1:15" ht="32.25" customHeight="1" x14ac:dyDescent="0.25">
      <c r="A123" s="80" t="s">
        <v>104</v>
      </c>
      <c r="B123" s="14">
        <v>60.39</v>
      </c>
      <c r="C123" s="79" t="s">
        <v>30</v>
      </c>
      <c r="D123" s="5"/>
      <c r="E123" s="55"/>
      <c r="F123" s="55"/>
      <c r="G123" s="5"/>
      <c r="H123" s="5"/>
      <c r="I123" s="5"/>
      <c r="J123" s="5"/>
      <c r="K123" s="5"/>
      <c r="L123" s="5"/>
      <c r="M123" s="5"/>
      <c r="N123" s="5"/>
      <c r="O123" s="5"/>
    </row>
    <row r="124" spans="1:15" ht="15.75" x14ac:dyDescent="0.25">
      <c r="A124" s="85" t="s">
        <v>100</v>
      </c>
      <c r="B124" s="86">
        <v>1027.6315999999999</v>
      </c>
      <c r="C124" s="79" t="s">
        <v>89</v>
      </c>
      <c r="D124" s="5"/>
      <c r="E124" s="55"/>
      <c r="F124" s="55"/>
      <c r="G124" s="5"/>
      <c r="H124" s="5"/>
      <c r="I124" s="5"/>
      <c r="J124" s="5"/>
      <c r="K124" s="5"/>
      <c r="L124" s="5"/>
      <c r="M124" s="5"/>
      <c r="N124" s="5"/>
      <c r="O124" s="5"/>
    </row>
    <row r="125" spans="1:15" ht="15.75" x14ac:dyDescent="0.25">
      <c r="A125" s="5"/>
      <c r="B125" s="5"/>
      <c r="C125" s="5"/>
      <c r="D125" s="5"/>
      <c r="E125" s="55"/>
      <c r="F125" s="55"/>
      <c r="G125" s="5"/>
      <c r="H125" s="5"/>
      <c r="I125" s="5"/>
      <c r="J125" s="5"/>
      <c r="K125" s="5"/>
      <c r="L125" s="5"/>
      <c r="M125" s="5"/>
      <c r="N125" s="5"/>
      <c r="O125" s="5"/>
    </row>
    <row r="126" spans="1:15" ht="15.75" x14ac:dyDescent="0.25">
      <c r="A126" s="87" t="s">
        <v>106</v>
      </c>
      <c r="B126" s="88">
        <f>(B120*B121*B122*B123)/B124</f>
        <v>5.1802907144934046E-2</v>
      </c>
      <c r="C126" s="84" t="s">
        <v>95</v>
      </c>
      <c r="D126" s="89"/>
      <c r="E126" s="280"/>
      <c r="F126" s="280"/>
      <c r="G126" s="26"/>
      <c r="H126" s="18"/>
      <c r="I126" s="5"/>
      <c r="J126" s="5"/>
      <c r="K126" s="5"/>
      <c r="L126" s="5"/>
      <c r="M126" s="5"/>
      <c r="N126" s="5"/>
      <c r="O126" s="5"/>
    </row>
    <row r="127" spans="1:15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pans="1:15" ht="15.75" x14ac:dyDescent="0.25">
      <c r="A128" s="342" t="s">
        <v>64</v>
      </c>
      <c r="B128" s="342"/>
      <c r="C128" s="342"/>
      <c r="D128" s="342"/>
      <c r="E128" s="342"/>
      <c r="F128" s="342"/>
      <c r="G128" s="342"/>
      <c r="H128" s="342"/>
      <c r="I128" s="5"/>
      <c r="J128" s="5"/>
      <c r="K128" s="5"/>
      <c r="L128" s="5"/>
      <c r="M128" s="5"/>
      <c r="N128" s="5"/>
      <c r="O128" s="5"/>
    </row>
    <row r="129" spans="1:15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spans="1:15" ht="15.75" x14ac:dyDescent="0.25">
      <c r="A130" s="5"/>
      <c r="B130" s="343" t="s">
        <v>65</v>
      </c>
      <c r="C130" s="344"/>
      <c r="D130" s="344"/>
      <c r="E130" s="344"/>
      <c r="F130" s="345"/>
      <c r="G130" s="5"/>
      <c r="H130" s="5"/>
      <c r="I130" s="5"/>
      <c r="J130" s="5"/>
      <c r="K130" s="5"/>
      <c r="L130" s="5"/>
      <c r="M130" s="5"/>
      <c r="N130" s="5"/>
      <c r="O130" s="5"/>
    </row>
    <row r="131" spans="1:15" ht="15.75" x14ac:dyDescent="0.25">
      <c r="A131" s="5"/>
      <c r="B131" s="346"/>
      <c r="C131" s="347"/>
      <c r="D131" s="347"/>
      <c r="E131" s="347"/>
      <c r="F131" s="348"/>
      <c r="G131" s="5"/>
      <c r="H131" s="5"/>
      <c r="I131" s="5"/>
      <c r="J131" s="5"/>
      <c r="K131" s="5"/>
      <c r="L131" s="5"/>
      <c r="M131" s="5"/>
      <c r="N131" s="5"/>
      <c r="O131" s="5"/>
    </row>
    <row r="132" spans="1:15" ht="15.75" x14ac:dyDescent="0.25">
      <c r="A132" s="5"/>
      <c r="B132" s="349"/>
      <c r="C132" s="350"/>
      <c r="D132" s="350"/>
      <c r="E132" s="350"/>
      <c r="F132" s="351"/>
      <c r="G132" s="5"/>
      <c r="H132" s="5"/>
      <c r="I132" s="5"/>
      <c r="J132" s="5"/>
      <c r="K132" s="5"/>
      <c r="L132" s="5"/>
      <c r="M132" s="5"/>
      <c r="N132" s="5"/>
      <c r="O132" s="5"/>
    </row>
    <row r="133" spans="1:15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pans="1:15" ht="15.75" x14ac:dyDescent="0.25">
      <c r="A134" s="5"/>
      <c r="B134" s="352" t="s">
        <v>66</v>
      </c>
      <c r="C134" s="352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spans="1:15" ht="15" customHeight="1" x14ac:dyDescent="0.25">
      <c r="A135" s="90"/>
      <c r="B135" s="90"/>
      <c r="C135" s="90"/>
      <c r="D135" s="90"/>
      <c r="E135" s="91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spans="1:15" ht="15" customHeight="1" x14ac:dyDescent="0.25">
      <c r="A136" s="90"/>
      <c r="B136" s="353" t="s">
        <v>75</v>
      </c>
      <c r="C136" s="353"/>
      <c r="D136" s="92" t="s">
        <v>29</v>
      </c>
      <c r="E136" s="34">
        <f>F47</f>
        <v>8.59</v>
      </c>
      <c r="F136" s="34" t="s">
        <v>30</v>
      </c>
      <c r="G136" s="290" t="s">
        <v>31</v>
      </c>
      <c r="H136" s="291"/>
      <c r="I136" s="5"/>
      <c r="J136" s="5"/>
      <c r="K136" s="5"/>
      <c r="L136" s="5"/>
      <c r="M136" s="5"/>
      <c r="N136" s="5"/>
      <c r="O136" s="5"/>
    </row>
    <row r="137" spans="1:15" ht="15" customHeight="1" x14ac:dyDescent="0.25">
      <c r="A137" s="90"/>
      <c r="B137" s="353"/>
      <c r="C137" s="353"/>
      <c r="D137" s="92" t="s">
        <v>67</v>
      </c>
      <c r="E137" s="93">
        <f>(E136*1000)/14</f>
        <v>613.57142857142856</v>
      </c>
      <c r="F137" s="34" t="s">
        <v>68</v>
      </c>
      <c r="G137" s="16">
        <v>620</v>
      </c>
      <c r="H137" s="16" t="s">
        <v>30</v>
      </c>
      <c r="I137" s="5"/>
      <c r="J137" s="5"/>
      <c r="K137" s="5"/>
      <c r="L137" s="5"/>
      <c r="M137" s="5"/>
      <c r="N137" s="5"/>
      <c r="O137" s="5"/>
    </row>
    <row r="138" spans="1:15" ht="15" customHeight="1" x14ac:dyDescent="0.25">
      <c r="A138" s="90"/>
      <c r="B138" s="94"/>
      <c r="C138" s="94"/>
      <c r="D138" s="92"/>
      <c r="E138" s="18"/>
      <c r="F138" s="18"/>
      <c r="G138" s="355"/>
      <c r="H138" s="355"/>
      <c r="I138" s="5"/>
      <c r="J138" s="5"/>
      <c r="K138" s="5"/>
      <c r="L138" s="5"/>
      <c r="M138" s="5"/>
      <c r="N138" s="5"/>
      <c r="O138" s="5"/>
    </row>
    <row r="139" spans="1:15" ht="15.75" x14ac:dyDescent="0.25">
      <c r="A139" s="356" t="s">
        <v>82</v>
      </c>
      <c r="B139" s="356"/>
      <c r="C139" s="356"/>
      <c r="D139" s="356"/>
      <c r="E139" s="356"/>
      <c r="F139" s="356"/>
      <c r="G139" s="356"/>
      <c r="H139" s="356"/>
      <c r="I139" s="5"/>
      <c r="J139" s="5"/>
      <c r="K139" s="5"/>
      <c r="L139" s="5"/>
      <c r="M139" s="5"/>
      <c r="N139" s="5"/>
      <c r="O139" s="5"/>
    </row>
    <row r="140" spans="1:15" ht="15.75" x14ac:dyDescent="0.25">
      <c r="A140" s="5"/>
      <c r="B140" s="343" t="s">
        <v>76</v>
      </c>
      <c r="C140" s="344"/>
      <c r="D140" s="344" t="s">
        <v>69</v>
      </c>
      <c r="E140" s="345" t="s">
        <v>78</v>
      </c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1:15" ht="15.75" x14ac:dyDescent="0.25">
      <c r="A141" s="5"/>
      <c r="B141" s="349"/>
      <c r="C141" s="350"/>
      <c r="D141" s="350"/>
      <c r="E141" s="351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spans="1:15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15" ht="15.75" x14ac:dyDescent="0.25">
      <c r="A143" s="5"/>
      <c r="B143" s="354" t="s">
        <v>83</v>
      </c>
      <c r="C143" s="354"/>
      <c r="D143" s="354"/>
      <c r="E143" s="5"/>
      <c r="F143" s="95"/>
      <c r="G143" s="95"/>
      <c r="H143" s="5"/>
      <c r="I143" s="5"/>
      <c r="J143" s="5"/>
      <c r="K143" s="5"/>
      <c r="L143" s="5"/>
      <c r="M143" s="5"/>
      <c r="N143" s="5"/>
      <c r="O143" s="5"/>
    </row>
    <row r="144" spans="1:15" ht="15.75" x14ac:dyDescent="0.25">
      <c r="A144" s="5"/>
      <c r="B144" s="19" t="s">
        <v>34</v>
      </c>
      <c r="C144" s="96">
        <v>618</v>
      </c>
      <c r="D144" s="96" t="s">
        <v>68</v>
      </c>
      <c r="E144" s="5"/>
      <c r="F144" s="290"/>
      <c r="G144" s="290"/>
      <c r="H144" s="5"/>
      <c r="I144" s="5"/>
      <c r="J144" s="5"/>
      <c r="K144" s="5"/>
      <c r="L144" s="5"/>
      <c r="M144" s="5"/>
      <c r="N144" s="5"/>
      <c r="O144" s="5"/>
    </row>
    <row r="145" spans="1:15" ht="15.75" x14ac:dyDescent="0.25">
      <c r="A145" s="5"/>
      <c r="B145" s="19" t="s">
        <v>80</v>
      </c>
      <c r="C145" s="96">
        <v>18</v>
      </c>
      <c r="D145" s="96" t="s">
        <v>68</v>
      </c>
      <c r="E145" s="5"/>
      <c r="F145" s="290"/>
      <c r="G145" s="290"/>
      <c r="H145" s="5"/>
      <c r="I145" s="5"/>
      <c r="J145" s="5"/>
      <c r="K145" s="5"/>
      <c r="L145" s="5"/>
      <c r="M145" s="5"/>
      <c r="N145" s="5"/>
      <c r="O145" s="5"/>
    </row>
    <row r="146" spans="1:15" ht="15.75" x14ac:dyDescent="0.25">
      <c r="A146" s="5"/>
      <c r="B146" s="19" t="s">
        <v>77</v>
      </c>
      <c r="C146" s="96">
        <v>228</v>
      </c>
      <c r="D146" s="96" t="s">
        <v>68</v>
      </c>
      <c r="E146" s="5"/>
      <c r="F146" s="290"/>
      <c r="G146" s="290"/>
      <c r="H146" s="5"/>
      <c r="I146" s="5"/>
      <c r="J146" s="5"/>
      <c r="K146" s="5"/>
      <c r="L146" s="5"/>
      <c r="M146" s="5"/>
      <c r="N146" s="5"/>
      <c r="O146" s="5"/>
    </row>
    <row r="147" spans="1:15" ht="15.75" x14ac:dyDescent="0.25">
      <c r="A147" s="5"/>
      <c r="B147" s="19" t="s">
        <v>81</v>
      </c>
      <c r="C147" s="96">
        <v>28</v>
      </c>
      <c r="D147" s="96" t="s">
        <v>68</v>
      </c>
      <c r="E147" s="5"/>
      <c r="F147" s="290"/>
      <c r="G147" s="290"/>
      <c r="H147" s="5"/>
      <c r="I147" s="5"/>
      <c r="J147" s="5"/>
      <c r="K147" s="5"/>
      <c r="L147" s="5"/>
      <c r="M147" s="5"/>
      <c r="N147" s="5"/>
      <c r="O147" s="5"/>
    </row>
    <row r="148" spans="1:15" ht="15.75" x14ac:dyDescent="0.25">
      <c r="A148" s="5"/>
      <c r="B148" s="19" t="s">
        <v>71</v>
      </c>
      <c r="C148" s="96">
        <v>24</v>
      </c>
      <c r="D148" s="96" t="s">
        <v>68</v>
      </c>
      <c r="E148" s="5"/>
      <c r="F148" s="290"/>
      <c r="G148" s="290"/>
      <c r="H148" s="5"/>
      <c r="I148" s="5"/>
      <c r="J148" s="5"/>
      <c r="K148" s="5"/>
      <c r="L148" s="5"/>
      <c r="M148" s="5"/>
      <c r="N148" s="5"/>
      <c r="O148" s="5"/>
    </row>
    <row r="149" spans="1:15" ht="15.75" x14ac:dyDescent="0.25">
      <c r="A149" s="5"/>
      <c r="B149" s="19" t="s">
        <v>79</v>
      </c>
      <c r="C149" s="96">
        <v>562</v>
      </c>
      <c r="D149" s="96" t="s">
        <v>68</v>
      </c>
      <c r="E149" s="5"/>
      <c r="F149" s="290"/>
      <c r="G149" s="290"/>
      <c r="H149" s="5"/>
      <c r="I149" s="5"/>
      <c r="J149" s="5"/>
      <c r="K149" s="5"/>
      <c r="L149" s="5"/>
      <c r="M149" s="5"/>
      <c r="N149" s="5"/>
      <c r="O149" s="5"/>
    </row>
    <row r="150" spans="1:15" ht="15.75" x14ac:dyDescent="0.25">
      <c r="A150" s="5"/>
      <c r="B150" s="19" t="s">
        <v>70</v>
      </c>
      <c r="C150" s="96">
        <v>514</v>
      </c>
      <c r="D150" s="96" t="s">
        <v>68</v>
      </c>
      <c r="E150" s="5"/>
      <c r="F150" s="290"/>
      <c r="G150" s="290"/>
      <c r="H150" s="5"/>
      <c r="I150" s="5"/>
      <c r="J150" s="5"/>
      <c r="K150" s="5"/>
      <c r="L150" s="5"/>
      <c r="M150" s="5"/>
      <c r="N150" s="5"/>
      <c r="O150" s="5"/>
    </row>
    <row r="151" spans="1:15" ht="15.75" x14ac:dyDescent="0.25">
      <c r="A151" s="5"/>
      <c r="B151" s="19" t="s">
        <v>84</v>
      </c>
      <c r="C151" s="96">
        <v>234</v>
      </c>
      <c r="D151" s="96" t="s">
        <v>73</v>
      </c>
      <c r="E151" s="5"/>
      <c r="F151" s="95"/>
      <c r="G151" s="95"/>
      <c r="H151" s="5"/>
      <c r="I151" s="5"/>
      <c r="J151" s="5"/>
      <c r="K151" s="5"/>
      <c r="L151" s="5"/>
      <c r="M151" s="5"/>
      <c r="N151" s="5"/>
      <c r="O151" s="5"/>
    </row>
    <row r="152" spans="1:15" ht="15.75" x14ac:dyDescent="0.25">
      <c r="A152" s="5"/>
      <c r="B152" s="19" t="s">
        <v>72</v>
      </c>
      <c r="C152" s="96">
        <v>184</v>
      </c>
      <c r="D152" s="96" t="s">
        <v>74</v>
      </c>
      <c r="E152" s="5"/>
      <c r="F152" s="95"/>
      <c r="G152" s="95"/>
      <c r="H152" s="5"/>
      <c r="I152" s="5"/>
      <c r="J152" s="5"/>
      <c r="K152" s="5"/>
      <c r="L152" s="5"/>
      <c r="M152" s="5"/>
      <c r="N152" s="5"/>
      <c r="O152" s="5"/>
    </row>
    <row r="153" spans="1:15" ht="15.75" x14ac:dyDescent="0.25">
      <c r="A153" s="5"/>
      <c r="B153" s="19"/>
      <c r="C153" s="22"/>
      <c r="D153" s="22"/>
      <c r="E153" s="5"/>
      <c r="F153" s="95"/>
      <c r="G153" s="95"/>
      <c r="H153" s="5"/>
      <c r="I153" s="5"/>
      <c r="J153" s="5"/>
      <c r="K153" s="5"/>
      <c r="L153" s="5"/>
      <c r="M153" s="5"/>
      <c r="N153" s="5"/>
      <c r="O153" s="5"/>
    </row>
    <row r="154" spans="1:15" ht="67.5" customHeight="1" x14ac:dyDescent="0.25">
      <c r="A154" s="5"/>
      <c r="B154" s="29" t="s">
        <v>43</v>
      </c>
      <c r="C154" s="28">
        <f>(C144/1000)*2.5</f>
        <v>1.5449999999999999</v>
      </c>
      <c r="D154" s="279" t="s">
        <v>110</v>
      </c>
      <c r="E154" s="279"/>
      <c r="F154" s="95"/>
      <c r="G154" s="95"/>
      <c r="H154" s="5"/>
      <c r="I154" s="5"/>
      <c r="J154" s="5"/>
      <c r="K154" s="5"/>
      <c r="L154" s="5"/>
      <c r="M154" s="5"/>
      <c r="N154" s="5"/>
      <c r="O154" s="5"/>
    </row>
    <row r="155" spans="1:15" ht="15.75" x14ac:dyDescent="0.25">
      <c r="A155" s="5"/>
      <c r="B155" s="24" t="s">
        <v>43</v>
      </c>
      <c r="C155" s="27">
        <v>1.2</v>
      </c>
      <c r="D155" s="32">
        <f>C155</f>
        <v>1.2</v>
      </c>
      <c r="E155" s="31" t="s">
        <v>30</v>
      </c>
      <c r="F155" s="95"/>
      <c r="G155" s="95"/>
      <c r="H155" s="5"/>
      <c r="I155" s="5"/>
      <c r="J155" s="5"/>
      <c r="K155" s="5"/>
      <c r="L155" s="5"/>
      <c r="M155" s="5"/>
      <c r="N155" s="5"/>
      <c r="O155" s="5"/>
    </row>
    <row r="156" spans="1:15" ht="15.75" x14ac:dyDescent="0.25">
      <c r="A156" s="5"/>
      <c r="B156" s="33"/>
      <c r="C156" s="22"/>
      <c r="D156" s="22"/>
      <c r="E156" s="22"/>
      <c r="F156" s="72"/>
      <c r="G156" s="72"/>
      <c r="H156" s="22"/>
      <c r="I156" s="5"/>
      <c r="J156" s="5"/>
      <c r="K156" s="5"/>
      <c r="L156" s="5"/>
      <c r="M156" s="5"/>
      <c r="N156" s="5"/>
      <c r="O156" s="5"/>
    </row>
    <row r="157" spans="1:15" ht="15.75" x14ac:dyDescent="0.25">
      <c r="A157" s="356" t="s">
        <v>87</v>
      </c>
      <c r="B157" s="356"/>
      <c r="C157" s="356"/>
      <c r="D157" s="356"/>
      <c r="E157" s="356"/>
      <c r="F157" s="356"/>
      <c r="G157" s="356"/>
      <c r="H157" s="356"/>
      <c r="I157" s="5"/>
      <c r="J157" s="5"/>
      <c r="K157" s="5"/>
      <c r="L157" s="5"/>
      <c r="M157" s="5"/>
      <c r="N157" s="5"/>
      <c r="O157" s="5"/>
    </row>
    <row r="158" spans="1:15" ht="15.75" x14ac:dyDescent="0.25">
      <c r="A158" s="54"/>
      <c r="B158" s="264" t="s">
        <v>86</v>
      </c>
      <c r="C158" s="357"/>
      <c r="D158" s="344" t="s">
        <v>69</v>
      </c>
      <c r="E158" s="345" t="s">
        <v>85</v>
      </c>
      <c r="F158" s="54"/>
      <c r="G158" s="54"/>
      <c r="H158" s="54"/>
      <c r="I158" s="5"/>
      <c r="J158" s="5"/>
      <c r="K158" s="5"/>
      <c r="L158" s="5"/>
      <c r="M158" s="5"/>
      <c r="N158" s="5"/>
      <c r="O158" s="5"/>
    </row>
    <row r="159" spans="1:15" ht="15.75" x14ac:dyDescent="0.25">
      <c r="A159" s="54"/>
      <c r="B159" s="268"/>
      <c r="C159" s="359"/>
      <c r="D159" s="350"/>
      <c r="E159" s="351"/>
      <c r="F159" s="54"/>
      <c r="G159" s="54"/>
      <c r="H159" s="54"/>
      <c r="I159" s="5"/>
      <c r="J159" s="5"/>
      <c r="K159" s="5"/>
      <c r="L159" s="5"/>
      <c r="M159" s="5"/>
      <c r="N159" s="5"/>
      <c r="O159" s="5"/>
    </row>
    <row r="160" spans="1:15" ht="15.75" x14ac:dyDescent="0.25">
      <c r="A160" s="54"/>
      <c r="B160" s="54"/>
      <c r="C160" s="54"/>
      <c r="D160" s="54"/>
      <c r="E160" s="54"/>
      <c r="F160" s="54"/>
      <c r="G160" s="54"/>
      <c r="H160" s="54"/>
      <c r="I160" s="5"/>
      <c r="J160" s="5"/>
      <c r="K160" s="5"/>
      <c r="L160" s="5"/>
      <c r="M160" s="5"/>
      <c r="N160" s="5"/>
      <c r="O160" s="5"/>
    </row>
    <row r="161" spans="1:15" ht="15.75" x14ac:dyDescent="0.25">
      <c r="A161" s="54"/>
      <c r="B161" s="354" t="s">
        <v>83</v>
      </c>
      <c r="C161" s="354"/>
      <c r="D161" s="354"/>
      <c r="E161" s="54"/>
      <c r="F161" s="54"/>
      <c r="G161" s="54"/>
      <c r="H161" s="54"/>
      <c r="I161" s="5"/>
      <c r="J161" s="5"/>
      <c r="K161" s="5"/>
      <c r="L161" s="5"/>
      <c r="M161" s="5"/>
      <c r="N161" s="5"/>
      <c r="O161" s="5"/>
    </row>
    <row r="162" spans="1:15" ht="15.75" x14ac:dyDescent="0.25">
      <c r="A162" s="54"/>
      <c r="B162" s="19" t="s">
        <v>34</v>
      </c>
      <c r="C162" s="119">
        <v>254</v>
      </c>
      <c r="D162" s="96" t="s">
        <v>68</v>
      </c>
      <c r="E162" s="54"/>
      <c r="F162" s="296"/>
      <c r="G162" s="296"/>
      <c r="H162" s="54"/>
      <c r="I162" s="5"/>
      <c r="J162" s="5"/>
      <c r="K162" s="5"/>
      <c r="L162" s="5"/>
      <c r="M162" s="5"/>
      <c r="N162" s="5"/>
      <c r="O162" s="5"/>
    </row>
    <row r="163" spans="1:15" ht="15.75" x14ac:dyDescent="0.25">
      <c r="A163" s="54"/>
      <c r="B163" s="19" t="s">
        <v>80</v>
      </c>
      <c r="C163" s="119">
        <v>7.9</v>
      </c>
      <c r="D163" s="96" t="s">
        <v>68</v>
      </c>
      <c r="E163" s="54"/>
      <c r="F163" s="296"/>
      <c r="G163" s="296"/>
      <c r="H163" s="54"/>
      <c r="I163" s="5"/>
      <c r="J163" s="5"/>
      <c r="K163" s="5"/>
      <c r="L163" s="5"/>
      <c r="M163" s="5"/>
      <c r="N163" s="5"/>
      <c r="O163" s="5"/>
    </row>
    <row r="164" spans="1:15" ht="15.75" x14ac:dyDescent="0.25">
      <c r="A164" s="54"/>
      <c r="B164" s="19" t="s">
        <v>77</v>
      </c>
      <c r="C164" s="119">
        <v>118.39</v>
      </c>
      <c r="D164" s="96" t="s">
        <v>68</v>
      </c>
      <c r="E164" s="54"/>
      <c r="F164" s="296"/>
      <c r="G164" s="296"/>
      <c r="H164" s="54"/>
      <c r="I164" s="5"/>
      <c r="J164" s="5"/>
      <c r="K164" s="5"/>
      <c r="L164" s="5"/>
      <c r="M164" s="5"/>
      <c r="N164" s="5"/>
      <c r="O164" s="5"/>
    </row>
    <row r="165" spans="1:15" ht="15.75" x14ac:dyDescent="0.25">
      <c r="A165" s="54"/>
      <c r="B165" s="19" t="s">
        <v>81</v>
      </c>
      <c r="C165" s="119">
        <v>12.47</v>
      </c>
      <c r="D165" s="96" t="s">
        <v>68</v>
      </c>
      <c r="E165" s="54"/>
      <c r="F165" s="296"/>
      <c r="G165" s="296"/>
      <c r="H165" s="54"/>
      <c r="I165" s="5"/>
      <c r="J165" s="5"/>
      <c r="K165" s="5"/>
      <c r="L165" s="5"/>
      <c r="M165" s="5"/>
      <c r="N165" s="5"/>
      <c r="O165" s="5"/>
    </row>
    <row r="166" spans="1:15" ht="15.75" x14ac:dyDescent="0.25">
      <c r="A166" s="5"/>
      <c r="B166" s="19" t="s">
        <v>71</v>
      </c>
      <c r="C166" s="119">
        <v>118.39</v>
      </c>
      <c r="D166" s="96" t="s">
        <v>68</v>
      </c>
      <c r="E166" s="22"/>
      <c r="F166" s="296"/>
      <c r="G166" s="296"/>
      <c r="H166" s="22"/>
      <c r="I166" s="5"/>
      <c r="J166" s="5"/>
      <c r="K166" s="5"/>
      <c r="L166" s="5"/>
      <c r="M166" s="5"/>
      <c r="N166" s="5"/>
      <c r="O166" s="5"/>
    </row>
    <row r="167" spans="1:15" ht="15.75" x14ac:dyDescent="0.25">
      <c r="A167" s="5"/>
      <c r="B167" s="19" t="s">
        <v>79</v>
      </c>
      <c r="C167" s="119">
        <v>12.47</v>
      </c>
      <c r="D167" s="96" t="s">
        <v>68</v>
      </c>
      <c r="E167" s="22"/>
      <c r="F167" s="296"/>
      <c r="G167" s="296"/>
      <c r="H167" s="22"/>
      <c r="I167" s="5"/>
      <c r="J167" s="5"/>
      <c r="K167" s="5"/>
      <c r="L167" s="5"/>
      <c r="M167" s="5"/>
      <c r="N167" s="5"/>
      <c r="O167" s="5"/>
    </row>
    <row r="168" spans="1:15" ht="15.75" x14ac:dyDescent="0.25">
      <c r="A168" s="5"/>
      <c r="B168" s="19" t="s">
        <v>70</v>
      </c>
      <c r="C168" s="119">
        <v>197</v>
      </c>
      <c r="D168" s="96" t="s">
        <v>68</v>
      </c>
      <c r="E168" s="22"/>
      <c r="F168" s="296"/>
      <c r="G168" s="296"/>
      <c r="H168" s="22"/>
      <c r="I168" s="5"/>
      <c r="J168" s="5"/>
      <c r="K168" s="5"/>
      <c r="L168" s="5"/>
      <c r="M168" s="5"/>
      <c r="N168" s="5"/>
      <c r="O168" s="5"/>
    </row>
    <row r="169" spans="1:15" ht="15.75" x14ac:dyDescent="0.25">
      <c r="A169" s="5"/>
      <c r="B169" s="19" t="s">
        <v>84</v>
      </c>
      <c r="C169" s="119">
        <v>48.1</v>
      </c>
      <c r="D169" s="96" t="s">
        <v>73</v>
      </c>
      <c r="E169" s="22"/>
      <c r="F169" s="72"/>
      <c r="G169" s="72"/>
      <c r="H169" s="22"/>
      <c r="I169" s="5"/>
      <c r="J169" s="5"/>
      <c r="K169" s="5"/>
      <c r="L169" s="5"/>
      <c r="M169" s="5"/>
      <c r="N169" s="5"/>
      <c r="O169" s="5"/>
    </row>
    <row r="170" spans="1:15" ht="15.75" x14ac:dyDescent="0.25">
      <c r="A170" s="5"/>
      <c r="B170" s="19" t="s">
        <v>72</v>
      </c>
      <c r="C170" s="119">
        <v>37.799999999999997</v>
      </c>
      <c r="D170" s="96" t="s">
        <v>74</v>
      </c>
      <c r="E170" s="22"/>
      <c r="F170" s="72"/>
      <c r="G170" s="72"/>
      <c r="H170" s="22"/>
      <c r="I170" s="5"/>
      <c r="J170" s="5"/>
      <c r="K170" s="5"/>
      <c r="L170" s="5"/>
      <c r="M170" s="5"/>
      <c r="N170" s="5"/>
      <c r="O170" s="5"/>
    </row>
    <row r="171" spans="1:15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.75" x14ac:dyDescent="0.25">
      <c r="A172" s="277" t="s">
        <v>88</v>
      </c>
      <c r="B172" s="277"/>
      <c r="C172" s="277"/>
      <c r="D172" s="277"/>
      <c r="E172" s="277"/>
      <c r="F172" s="277"/>
      <c r="G172" s="277"/>
      <c r="H172" s="277"/>
      <c r="I172" s="5"/>
      <c r="J172" s="5"/>
      <c r="K172" s="5"/>
      <c r="L172" s="5"/>
      <c r="M172" s="5"/>
      <c r="N172" s="5"/>
      <c r="O172" s="5"/>
    </row>
    <row r="173" spans="1:15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264"/>
      <c r="C174" s="357"/>
      <c r="D174" s="357"/>
      <c r="E174" s="357"/>
      <c r="F174" s="357"/>
      <c r="G174" s="265"/>
      <c r="H174" s="5"/>
      <c r="I174" s="5"/>
      <c r="J174" s="5"/>
      <c r="K174" s="5"/>
      <c r="L174" s="5"/>
      <c r="M174" s="5"/>
      <c r="N174" s="5"/>
      <c r="O174" s="5"/>
    </row>
    <row r="175" spans="1:15" ht="15.75" x14ac:dyDescent="0.25">
      <c r="A175" s="5"/>
      <c r="B175" s="266"/>
      <c r="C175" s="358"/>
      <c r="D175" s="358"/>
      <c r="E175" s="358"/>
      <c r="F175" s="358"/>
      <c r="G175" s="267"/>
      <c r="H175" s="5"/>
      <c r="I175" s="5"/>
      <c r="J175" s="5"/>
      <c r="K175" s="5"/>
      <c r="L175" s="5"/>
      <c r="M175" s="5"/>
      <c r="N175" s="5"/>
      <c r="O175" s="5"/>
    </row>
    <row r="176" spans="1:15" ht="15.75" x14ac:dyDescent="0.25">
      <c r="A176" s="5"/>
      <c r="B176" s="266"/>
      <c r="C176" s="358"/>
      <c r="D176" s="358"/>
      <c r="E176" s="358"/>
      <c r="F176" s="358"/>
      <c r="G176" s="267"/>
      <c r="H176" s="5"/>
      <c r="I176" s="5"/>
      <c r="J176" s="5"/>
      <c r="K176" s="5"/>
      <c r="L176" s="5"/>
      <c r="M176" s="5"/>
      <c r="N176" s="5"/>
      <c r="O176" s="5"/>
    </row>
    <row r="177" spans="1:15" ht="15.75" x14ac:dyDescent="0.25">
      <c r="A177" s="5"/>
      <c r="B177" s="266"/>
      <c r="C177" s="358"/>
      <c r="D177" s="358"/>
      <c r="E177" s="358"/>
      <c r="F177" s="358"/>
      <c r="G177" s="267"/>
      <c r="H177" s="5"/>
      <c r="I177" s="5"/>
      <c r="J177" s="5"/>
      <c r="K177" s="5"/>
      <c r="L177" s="5"/>
      <c r="M177" s="5"/>
      <c r="N177" s="5"/>
      <c r="O177" s="5"/>
    </row>
    <row r="178" spans="1:15" ht="15.75" x14ac:dyDescent="0.25">
      <c r="A178" s="5"/>
      <c r="B178" s="268"/>
      <c r="C178" s="359"/>
      <c r="D178" s="359"/>
      <c r="E178" s="359"/>
      <c r="F178" s="359"/>
      <c r="G178" s="269"/>
      <c r="H178" s="5"/>
      <c r="I178" s="5"/>
      <c r="J178" s="5"/>
      <c r="K178" s="5"/>
      <c r="L178" s="5"/>
      <c r="M178" s="5"/>
      <c r="N178" s="5"/>
      <c r="O178" s="5"/>
    </row>
    <row r="179" spans="1:15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.75" x14ac:dyDescent="0.25">
      <c r="A180" s="5"/>
      <c r="B180" s="5"/>
      <c r="C180" s="5"/>
      <c r="D180" s="19" t="s">
        <v>91</v>
      </c>
      <c r="E180" s="118">
        <v>20</v>
      </c>
      <c r="F180" s="16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.75" x14ac:dyDescent="0.25">
      <c r="A181" s="5"/>
      <c r="B181" s="5"/>
      <c r="C181" s="5"/>
      <c r="D181" s="19" t="s">
        <v>92</v>
      </c>
      <c r="E181" s="118">
        <v>0.9</v>
      </c>
      <c r="F181" s="16" t="s">
        <v>68</v>
      </c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.75" x14ac:dyDescent="0.25">
      <c r="A182" s="5"/>
      <c r="B182" s="5"/>
      <c r="C182" s="5"/>
      <c r="D182" s="19" t="s">
        <v>93</v>
      </c>
      <c r="E182" s="118">
        <v>8.75</v>
      </c>
      <c r="F182" s="16" t="s">
        <v>94</v>
      </c>
      <c r="G182" s="5">
        <f>E182/100</f>
        <v>8.7499999999999994E-2</v>
      </c>
      <c r="H182" s="5" t="s">
        <v>95</v>
      </c>
      <c r="I182" s="5"/>
      <c r="J182" s="5"/>
      <c r="K182" s="5"/>
      <c r="L182" s="5"/>
      <c r="M182" s="5"/>
      <c r="N182" s="5"/>
      <c r="O182" s="5"/>
    </row>
    <row r="183" spans="1:15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.75" x14ac:dyDescent="0.25">
      <c r="A184" s="273" t="s">
        <v>108</v>
      </c>
      <c r="B184" s="273"/>
      <c r="C184" s="273"/>
      <c r="D184" s="273"/>
      <c r="E184" s="273"/>
      <c r="F184" s="273"/>
      <c r="G184" s="273"/>
      <c r="H184" s="273"/>
      <c r="I184" s="5"/>
      <c r="J184" s="5"/>
      <c r="K184" s="5"/>
      <c r="L184" s="5"/>
      <c r="M184" s="5"/>
      <c r="N184" s="5"/>
      <c r="O184" s="5"/>
    </row>
    <row r="185" spans="1:15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.75" x14ac:dyDescent="0.25">
      <c r="A186" s="277" t="s">
        <v>109</v>
      </c>
      <c r="B186" s="277"/>
      <c r="C186" s="277"/>
      <c r="D186" s="277"/>
      <c r="E186" s="277"/>
      <c r="F186" s="277"/>
      <c r="G186" s="277"/>
      <c r="H186" s="277"/>
      <c r="I186" s="5"/>
      <c r="J186" s="5"/>
      <c r="K186" s="5"/>
      <c r="L186" s="5"/>
      <c r="M186" s="5"/>
      <c r="N186" s="5"/>
      <c r="O186" s="5"/>
    </row>
    <row r="187" spans="1:15" ht="8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.75" x14ac:dyDescent="0.25">
      <c r="A190" s="5"/>
      <c r="B190" s="278" t="s">
        <v>51</v>
      </c>
      <c r="C190" s="278"/>
      <c r="D190" s="278"/>
      <c r="E190" s="73">
        <f>((B25/100)*(C144/10000))/D155</f>
        <v>4.0479000000000003</v>
      </c>
      <c r="F190" s="74" t="s">
        <v>41</v>
      </c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.75" x14ac:dyDescent="0.25">
      <c r="A192" s="277" t="s">
        <v>111</v>
      </c>
      <c r="B192" s="277"/>
      <c r="C192" s="277"/>
      <c r="D192" s="277"/>
      <c r="E192" s="277"/>
      <c r="F192" s="277"/>
      <c r="G192" s="277"/>
      <c r="H192" s="277"/>
      <c r="I192" s="5"/>
      <c r="J192" s="5"/>
      <c r="K192" s="5"/>
      <c r="L192" s="5"/>
      <c r="M192" s="5"/>
      <c r="N192" s="5"/>
      <c r="O192" s="5"/>
    </row>
    <row r="193" spans="1:15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.75" x14ac:dyDescent="0.25">
      <c r="A194" s="5"/>
      <c r="B194" s="278" t="s">
        <v>112</v>
      </c>
      <c r="C194" s="278"/>
      <c r="D194" s="278"/>
      <c r="E194" s="73">
        <f>E182/101.97162129779</f>
        <v>8.5808187500002381E-2</v>
      </c>
      <c r="F194" s="97" t="s">
        <v>95</v>
      </c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.75" x14ac:dyDescent="0.25">
      <c r="A196" s="274" t="s">
        <v>114</v>
      </c>
      <c r="B196" s="274"/>
      <c r="C196" s="274"/>
      <c r="D196" s="5"/>
      <c r="E196" s="274" t="s">
        <v>129</v>
      </c>
      <c r="F196" s="274"/>
      <c r="G196" s="274"/>
      <c r="H196" s="274"/>
      <c r="I196" s="5"/>
      <c r="J196" s="5"/>
      <c r="K196" s="5"/>
      <c r="L196" s="5"/>
      <c r="M196" s="5"/>
      <c r="N196" s="5"/>
      <c r="O196" s="5"/>
    </row>
    <row r="197" spans="1:15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.75" x14ac:dyDescent="0.25">
      <c r="A202" s="75" t="s">
        <v>96</v>
      </c>
      <c r="B202" s="76">
        <v>0.5</v>
      </c>
      <c r="C202" s="77" t="s">
        <v>41</v>
      </c>
      <c r="D202" s="5"/>
      <c r="E202" s="75" t="s">
        <v>52</v>
      </c>
      <c r="F202" s="76">
        <v>1.1000000000000001</v>
      </c>
      <c r="G202" s="77" t="s">
        <v>41</v>
      </c>
      <c r="H202" s="5"/>
      <c r="I202" s="5"/>
      <c r="J202" s="5"/>
      <c r="K202" s="5"/>
      <c r="L202" s="5"/>
      <c r="M202" s="5"/>
      <c r="N202" s="5"/>
      <c r="O202" s="5"/>
    </row>
    <row r="203" spans="1:15" ht="15.75" x14ac:dyDescent="0.25">
      <c r="A203" s="5"/>
      <c r="B203" s="5"/>
      <c r="C203" s="5"/>
      <c r="D203" s="5"/>
      <c r="E203" s="5"/>
      <c r="F203" s="5"/>
      <c r="G203" s="5"/>
      <c r="H203" s="53"/>
      <c r="I203" s="5"/>
      <c r="J203" s="5"/>
      <c r="K203" s="5"/>
      <c r="L203" s="5"/>
      <c r="M203" s="5"/>
      <c r="N203" s="5"/>
      <c r="O203" s="5"/>
    </row>
    <row r="204" spans="1:15" ht="15.75" x14ac:dyDescent="0.25">
      <c r="A204" s="274" t="s">
        <v>128</v>
      </c>
      <c r="B204" s="274"/>
      <c r="C204" s="274"/>
      <c r="D204" s="98"/>
      <c r="E204" s="274" t="s">
        <v>118</v>
      </c>
      <c r="F204" s="274"/>
      <c r="G204" s="274"/>
      <c r="H204" s="274"/>
      <c r="I204" s="5"/>
      <c r="J204" s="5"/>
      <c r="K204" s="5"/>
      <c r="L204" s="5"/>
      <c r="M204" s="5"/>
      <c r="N204" s="5"/>
      <c r="O204" s="5"/>
    </row>
    <row r="205" spans="1:15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.75" x14ac:dyDescent="0.25">
      <c r="A210" s="5"/>
      <c r="B210" s="5"/>
      <c r="C210" s="5"/>
      <c r="D210" s="12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.75" x14ac:dyDescent="0.25">
      <c r="A211" s="99" t="s">
        <v>53</v>
      </c>
      <c r="B211" s="100">
        <f>0.015*8</f>
        <v>0.12</v>
      </c>
      <c r="C211" s="100" t="s">
        <v>41</v>
      </c>
      <c r="D211" s="17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.75" x14ac:dyDescent="0.25">
      <c r="A212" s="5"/>
      <c r="B212" s="5"/>
      <c r="C212" s="5"/>
      <c r="D212" s="12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.75" x14ac:dyDescent="0.25">
      <c r="A213" s="274" t="s">
        <v>127</v>
      </c>
      <c r="B213" s="281"/>
      <c r="C213" s="281"/>
      <c r="D213" s="12"/>
      <c r="E213" s="278" t="s">
        <v>97</v>
      </c>
      <c r="F213" s="278"/>
      <c r="G213" s="14">
        <v>1.8</v>
      </c>
      <c r="H213" s="79" t="s">
        <v>95</v>
      </c>
      <c r="I213" s="5"/>
      <c r="J213" s="5"/>
      <c r="K213" s="5"/>
      <c r="L213" s="5"/>
      <c r="M213" s="5"/>
      <c r="N213" s="5"/>
      <c r="O213" s="5"/>
    </row>
    <row r="214" spans="1:15" ht="15.75" x14ac:dyDescent="0.25">
      <c r="A214" s="5"/>
      <c r="B214" s="5"/>
      <c r="C214" s="5"/>
      <c r="D214" s="5"/>
      <c r="E214" s="278" t="s">
        <v>98</v>
      </c>
      <c r="F214" s="278"/>
      <c r="G214" s="37">
        <f>F81</f>
        <v>3.4864285714285712</v>
      </c>
      <c r="H214" s="79" t="s">
        <v>30</v>
      </c>
      <c r="I214" s="5"/>
      <c r="J214" s="5"/>
      <c r="K214" s="5"/>
      <c r="L214" s="5"/>
      <c r="M214" s="5"/>
      <c r="N214" s="5"/>
      <c r="O214" s="5"/>
    </row>
    <row r="215" spans="1:15" ht="15.75" x14ac:dyDescent="0.25">
      <c r="A215" s="5"/>
      <c r="B215" s="5"/>
      <c r="C215" s="5"/>
      <c r="D215" s="5"/>
      <c r="E215" s="278" t="s">
        <v>99</v>
      </c>
      <c r="F215" s="278"/>
      <c r="G215" s="14">
        <v>181.15</v>
      </c>
      <c r="H215" s="79" t="s">
        <v>30</v>
      </c>
      <c r="I215" s="5"/>
      <c r="J215" s="5"/>
      <c r="K215" s="5"/>
      <c r="L215" s="5"/>
      <c r="M215" s="5"/>
      <c r="N215" s="5"/>
      <c r="O215" s="5"/>
    </row>
    <row r="216" spans="1:15" ht="15.75" x14ac:dyDescent="0.25">
      <c r="A216" s="5"/>
      <c r="B216" s="5"/>
      <c r="C216" s="5"/>
      <c r="D216" s="5"/>
      <c r="E216" s="278" t="s">
        <v>100</v>
      </c>
      <c r="F216" s="278"/>
      <c r="G216" s="79">
        <v>1027.6315999999999</v>
      </c>
      <c r="H216" s="79" t="s">
        <v>89</v>
      </c>
      <c r="I216" s="5"/>
      <c r="J216" s="5"/>
      <c r="K216" s="5"/>
      <c r="L216" s="5"/>
      <c r="M216" s="5"/>
      <c r="N216" s="5"/>
      <c r="O216" s="5"/>
    </row>
    <row r="217" spans="1:15" ht="15.75" x14ac:dyDescent="0.25">
      <c r="A217" s="5"/>
      <c r="B217" s="5"/>
      <c r="C217" s="5"/>
      <c r="D217" s="5"/>
      <c r="E217" s="55"/>
      <c r="F217" s="5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.75" x14ac:dyDescent="0.25">
      <c r="A218" s="5"/>
      <c r="B218" s="5"/>
      <c r="C218" s="5"/>
      <c r="D218" s="5"/>
      <c r="E218" s="263" t="s">
        <v>107</v>
      </c>
      <c r="F218" s="263"/>
      <c r="G218" s="83">
        <f>(G213*G214*G215)/G216</f>
        <v>1.1062522447594199</v>
      </c>
      <c r="H218" s="84" t="s">
        <v>95</v>
      </c>
      <c r="I218" s="5"/>
      <c r="J218" s="5"/>
      <c r="K218" s="5"/>
      <c r="L218" s="5"/>
      <c r="M218" s="5"/>
      <c r="N218" s="5"/>
      <c r="O218" s="5"/>
    </row>
    <row r="219" spans="1:15" ht="31.5" x14ac:dyDescent="0.25">
      <c r="A219" s="80" t="s">
        <v>101</v>
      </c>
      <c r="B219" s="81">
        <v>25.283999999999999</v>
      </c>
      <c r="C219" s="82" t="s">
        <v>105</v>
      </c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.75" x14ac:dyDescent="0.25">
      <c r="A220" s="85" t="s">
        <v>102</v>
      </c>
      <c r="B220" s="14">
        <v>0.01</v>
      </c>
      <c r="C220" s="79" t="s">
        <v>30</v>
      </c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.75" x14ac:dyDescent="0.25">
      <c r="A221" s="85" t="s">
        <v>103</v>
      </c>
      <c r="B221" s="37">
        <f>G214</f>
        <v>3.4864285714285712</v>
      </c>
      <c r="C221" s="79" t="s">
        <v>30</v>
      </c>
      <c r="D221" s="5"/>
      <c r="E221" s="5"/>
      <c r="F221" s="5"/>
      <c r="G221" s="108"/>
      <c r="H221" s="5"/>
      <c r="I221" s="5"/>
      <c r="J221" s="5"/>
      <c r="K221" s="5"/>
      <c r="L221" s="5"/>
      <c r="M221" s="5"/>
      <c r="N221" s="5"/>
      <c r="O221" s="5"/>
    </row>
    <row r="222" spans="1:15" ht="31.5" x14ac:dyDescent="0.25">
      <c r="A222" s="80" t="s">
        <v>104</v>
      </c>
      <c r="B222" s="117">
        <v>61.26</v>
      </c>
      <c r="C222" s="82" t="s">
        <v>30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.75" x14ac:dyDescent="0.25">
      <c r="A223" s="85" t="s">
        <v>100</v>
      </c>
      <c r="B223" s="86">
        <v>1027.6315999999999</v>
      </c>
      <c r="C223" s="79" t="s">
        <v>89</v>
      </c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.75" x14ac:dyDescent="0.25">
      <c r="A225" s="87" t="s">
        <v>106</v>
      </c>
      <c r="B225" s="88">
        <f>(B219*B220*B221*B222)/B223</f>
        <v>5.2549198405342924E-2</v>
      </c>
      <c r="C225" s="84" t="s">
        <v>95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.75" x14ac:dyDescent="0.25">
      <c r="A226" s="106"/>
      <c r="B226" s="107"/>
      <c r="C226" s="89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.75" x14ac:dyDescent="0.25">
      <c r="A227" s="263" t="s">
        <v>131</v>
      </c>
      <c r="B227" s="263"/>
      <c r="C227" s="110" t="s">
        <v>133</v>
      </c>
      <c r="D227" s="111">
        <f>E89+E95+B104+G104+B112+B126+G120</f>
        <v>6.5125465709804384</v>
      </c>
      <c r="E227" s="112" t="s">
        <v>95</v>
      </c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.75" x14ac:dyDescent="0.25">
      <c r="A228" s="263" t="s">
        <v>132</v>
      </c>
      <c r="B228" s="263"/>
      <c r="C228" s="110" t="s">
        <v>133</v>
      </c>
      <c r="D228" s="113">
        <f>B211+F202+G218+B225</f>
        <v>2.3788014431647628</v>
      </c>
      <c r="E228" s="114" t="s">
        <v>95</v>
      </c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.75" x14ac:dyDescent="0.25">
      <c r="A229" s="263" t="s">
        <v>130</v>
      </c>
      <c r="B229" s="263"/>
      <c r="C229" s="110" t="s">
        <v>133</v>
      </c>
      <c r="D229" s="115">
        <f>E194+E190+B202</f>
        <v>4.6337081875000026</v>
      </c>
      <c r="E229" s="116" t="s">
        <v>95</v>
      </c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1" spans="1:15" ht="15.75" x14ac:dyDescent="0.25">
      <c r="A231" s="273" t="s">
        <v>123</v>
      </c>
      <c r="B231" s="273"/>
      <c r="C231" s="273"/>
      <c r="D231" s="273"/>
      <c r="E231" s="273"/>
      <c r="F231" s="273"/>
      <c r="G231" s="273"/>
    </row>
    <row r="232" spans="1:15" ht="15.75" x14ac:dyDescent="0.25">
      <c r="A232" s="12"/>
      <c r="B232" s="12"/>
      <c r="C232" s="12"/>
      <c r="D232" s="12"/>
      <c r="E232" s="12"/>
      <c r="F232" s="12"/>
      <c r="G232" s="12"/>
    </row>
    <row r="233" spans="1:15" ht="15.75" x14ac:dyDescent="0.25">
      <c r="A233" s="274" t="s">
        <v>120</v>
      </c>
      <c r="B233" s="274"/>
      <c r="C233" s="274"/>
      <c r="D233" s="274"/>
      <c r="E233" s="274"/>
      <c r="F233" s="274"/>
      <c r="G233" s="274"/>
    </row>
    <row r="234" spans="1:15" ht="15.75" x14ac:dyDescent="0.25">
      <c r="A234" s="12"/>
      <c r="B234" s="12"/>
      <c r="C234" s="12"/>
      <c r="D234" s="12"/>
      <c r="E234" s="12"/>
      <c r="F234" s="12"/>
      <c r="G234" s="12"/>
    </row>
    <row r="235" spans="1:15" ht="15.75" x14ac:dyDescent="0.25">
      <c r="A235" s="12"/>
      <c r="B235" s="12"/>
      <c r="C235" s="12"/>
      <c r="D235" s="12"/>
      <c r="E235" s="12"/>
      <c r="F235" s="12"/>
      <c r="G235" s="12"/>
    </row>
    <row r="236" spans="1:15" ht="15.75" x14ac:dyDescent="0.25">
      <c r="A236" s="5"/>
      <c r="B236" s="5"/>
      <c r="C236" s="5"/>
      <c r="D236" s="5"/>
      <c r="E236" s="5"/>
      <c r="F236" s="5"/>
      <c r="G236" s="5"/>
    </row>
    <row r="237" spans="1:15" ht="15.75" x14ac:dyDescent="0.25">
      <c r="A237" s="5"/>
      <c r="B237" s="5"/>
      <c r="C237" s="5"/>
      <c r="D237" s="5"/>
      <c r="E237" s="5"/>
      <c r="F237" s="5"/>
      <c r="G237" s="5"/>
    </row>
    <row r="238" spans="1:15" ht="15.75" x14ac:dyDescent="0.25">
      <c r="A238" s="5"/>
      <c r="B238" s="278" t="s">
        <v>122</v>
      </c>
      <c r="C238" s="278"/>
      <c r="D238" s="101">
        <v>6</v>
      </c>
      <c r="E238" s="74" t="s">
        <v>95</v>
      </c>
      <c r="F238" s="5"/>
      <c r="G238" s="5"/>
    </row>
    <row r="239" spans="1:15" ht="15.75" x14ac:dyDescent="0.25">
      <c r="A239" s="274" t="s">
        <v>121</v>
      </c>
      <c r="B239" s="274"/>
      <c r="C239" s="274"/>
      <c r="D239" s="274"/>
      <c r="E239" s="274"/>
      <c r="F239" s="274"/>
      <c r="G239" s="274"/>
    </row>
    <row r="240" spans="1:15" ht="15.75" x14ac:dyDescent="0.25">
      <c r="A240" s="5"/>
      <c r="B240" s="5"/>
      <c r="C240" s="5"/>
      <c r="D240" s="5"/>
      <c r="E240" s="5"/>
      <c r="F240" s="5"/>
      <c r="G240" s="5"/>
    </row>
    <row r="241" spans="1:7" ht="15.75" x14ac:dyDescent="0.25">
      <c r="A241" s="5"/>
      <c r="B241" s="5"/>
      <c r="C241" s="5"/>
      <c r="D241" s="5"/>
      <c r="E241" s="5"/>
      <c r="F241" s="5"/>
      <c r="G241" s="5"/>
    </row>
    <row r="242" spans="1:7" ht="15.75" x14ac:dyDescent="0.25">
      <c r="A242" s="5"/>
      <c r="B242" s="5"/>
      <c r="C242" s="5"/>
      <c r="D242" s="5"/>
      <c r="E242" s="5"/>
      <c r="F242" s="5"/>
      <c r="G242" s="5"/>
    </row>
    <row r="243" spans="1:7" ht="15.75" x14ac:dyDescent="0.25">
      <c r="A243" s="5"/>
      <c r="B243" s="5"/>
      <c r="C243" s="5"/>
      <c r="D243" s="5"/>
      <c r="E243" s="5"/>
      <c r="F243" s="5"/>
      <c r="G243" s="5"/>
    </row>
    <row r="244" spans="1:7" ht="15.75" x14ac:dyDescent="0.25">
      <c r="A244" s="5"/>
      <c r="B244" s="278" t="s">
        <v>122</v>
      </c>
      <c r="C244" s="278"/>
      <c r="D244" s="101">
        <v>0.5</v>
      </c>
      <c r="E244" s="74" t="s">
        <v>95</v>
      </c>
      <c r="F244" s="5"/>
      <c r="G244" s="5"/>
    </row>
    <row r="245" spans="1:7" ht="15.75" x14ac:dyDescent="0.25">
      <c r="A245" s="5"/>
      <c r="B245" s="5"/>
      <c r="C245" s="5"/>
      <c r="D245" s="5"/>
      <c r="E245" s="5"/>
      <c r="F245" s="5"/>
      <c r="G245" s="5"/>
    </row>
    <row r="246" spans="1:7" ht="15.75" x14ac:dyDescent="0.25">
      <c r="A246" s="273" t="s">
        <v>125</v>
      </c>
      <c r="B246" s="273"/>
      <c r="C246" s="273"/>
      <c r="D246" s="273"/>
      <c r="E246" s="273"/>
      <c r="F246" s="273"/>
      <c r="G246" s="273"/>
    </row>
    <row r="247" spans="1:7" ht="15.75" x14ac:dyDescent="0.25">
      <c r="A247" s="5"/>
      <c r="B247" s="5"/>
      <c r="C247" s="5"/>
      <c r="D247" s="5"/>
      <c r="E247" s="5"/>
      <c r="F247" s="5"/>
      <c r="G247" s="5"/>
    </row>
    <row r="248" spans="1:7" ht="15.75" x14ac:dyDescent="0.25">
      <c r="A248" s="274" t="s">
        <v>126</v>
      </c>
      <c r="B248" s="274"/>
      <c r="C248" s="274"/>
      <c r="D248" s="274"/>
      <c r="E248" s="274"/>
      <c r="F248" s="274"/>
      <c r="G248" s="274"/>
    </row>
    <row r="249" spans="1:7" ht="15.75" x14ac:dyDescent="0.25">
      <c r="A249" s="5"/>
      <c r="B249" s="5"/>
      <c r="C249" s="5"/>
      <c r="D249" s="5"/>
      <c r="E249" s="5"/>
      <c r="F249" s="5"/>
      <c r="G249" s="5"/>
    </row>
    <row r="250" spans="1:7" ht="16.5" x14ac:dyDescent="0.3">
      <c r="A250" s="5"/>
      <c r="B250" s="275" t="s">
        <v>134</v>
      </c>
      <c r="C250" s="276"/>
      <c r="D250" s="102">
        <f>1.2*(D227+D228)+1.6*(D238)</f>
        <v>20.269617616974244</v>
      </c>
      <c r="E250" s="103" t="s">
        <v>41</v>
      </c>
      <c r="F250" s="60"/>
      <c r="G250" s="5"/>
    </row>
    <row r="251" spans="1:7" ht="16.5" x14ac:dyDescent="0.3">
      <c r="A251" s="5"/>
      <c r="B251" s="275" t="s">
        <v>124</v>
      </c>
      <c r="C251" s="276"/>
      <c r="D251" s="104">
        <f>1.2*D229+1.6*D244</f>
        <v>6.3604498250000026</v>
      </c>
      <c r="E251" s="63" t="s">
        <v>41</v>
      </c>
      <c r="F251" s="60"/>
      <c r="G251" s="5"/>
    </row>
    <row r="252" spans="1:7" ht="15.75" x14ac:dyDescent="0.25">
      <c r="A252" s="5"/>
      <c r="B252" s="5"/>
      <c r="C252" s="282"/>
      <c r="D252" s="282"/>
      <c r="E252" s="59"/>
      <c r="F252" s="60"/>
      <c r="G252" s="5"/>
    </row>
    <row r="253" spans="1:7" ht="15.75" x14ac:dyDescent="0.25">
      <c r="A253" s="5"/>
      <c r="B253" s="5"/>
      <c r="C253" s="5"/>
      <c r="D253" s="5"/>
      <c r="E253" s="5"/>
      <c r="F253" s="5"/>
      <c r="G253" s="5"/>
    </row>
    <row r="254" spans="1:7" ht="15.75" x14ac:dyDescent="0.25">
      <c r="A254" s="5"/>
      <c r="B254" s="5"/>
      <c r="C254" s="5"/>
      <c r="D254" s="5"/>
      <c r="E254" s="5"/>
      <c r="F254" s="5"/>
      <c r="G254" s="5"/>
    </row>
    <row r="255" spans="1:7" ht="15.75" x14ac:dyDescent="0.25">
      <c r="A255" s="5"/>
      <c r="B255" s="5"/>
      <c r="C255" s="5"/>
      <c r="D255" s="5"/>
      <c r="E255" s="5"/>
      <c r="F255" s="5"/>
      <c r="G255" s="5"/>
    </row>
    <row r="256" spans="1:7" ht="15.75" x14ac:dyDescent="0.25">
      <c r="A256" s="5"/>
      <c r="B256" s="5"/>
      <c r="C256" s="5"/>
      <c r="D256" s="5"/>
      <c r="E256" s="5"/>
      <c r="F256" s="5"/>
      <c r="G256" s="5"/>
    </row>
  </sheetData>
  <mergeCells count="124">
    <mergeCell ref="B143:D143"/>
    <mergeCell ref="G138:H138"/>
    <mergeCell ref="A139:H139"/>
    <mergeCell ref="E140:E141"/>
    <mergeCell ref="A172:H172"/>
    <mergeCell ref="B174:G178"/>
    <mergeCell ref="A157:H157"/>
    <mergeCell ref="F144:G150"/>
    <mergeCell ref="B158:C159"/>
    <mergeCell ref="D158:D159"/>
    <mergeCell ref="E158:E159"/>
    <mergeCell ref="B161:D161"/>
    <mergeCell ref="F162:G168"/>
    <mergeCell ref="A128:H128"/>
    <mergeCell ref="E106:H106"/>
    <mergeCell ref="E115:F115"/>
    <mergeCell ref="E116:F116"/>
    <mergeCell ref="B130:F132"/>
    <mergeCell ref="B134:C134"/>
    <mergeCell ref="B136:C137"/>
    <mergeCell ref="G136:H136"/>
    <mergeCell ref="B140:C141"/>
    <mergeCell ref="D140:D141"/>
    <mergeCell ref="B1:G1"/>
    <mergeCell ref="B2:G2"/>
    <mergeCell ref="B3:G5"/>
    <mergeCell ref="B64:C64"/>
    <mergeCell ref="A38:H38"/>
    <mergeCell ref="A29:H29"/>
    <mergeCell ref="B47:C48"/>
    <mergeCell ref="G47:H47"/>
    <mergeCell ref="A60:H60"/>
    <mergeCell ref="B62:C63"/>
    <mergeCell ref="G62:H62"/>
    <mergeCell ref="C31:F35"/>
    <mergeCell ref="C36:F36"/>
    <mergeCell ref="A27:H27"/>
    <mergeCell ref="A22:H22"/>
    <mergeCell ref="A6:H6"/>
    <mergeCell ref="E18:H18"/>
    <mergeCell ref="E19:H19"/>
    <mergeCell ref="E20:H20"/>
    <mergeCell ref="E24:H24"/>
    <mergeCell ref="E25:H25"/>
    <mergeCell ref="G50:H50"/>
    <mergeCell ref="B50:C51"/>
    <mergeCell ref="B53:C55"/>
    <mergeCell ref="A7:C7"/>
    <mergeCell ref="A8:C8"/>
    <mergeCell ref="A9:C9"/>
    <mergeCell ref="A16:H16"/>
    <mergeCell ref="A14:H14"/>
    <mergeCell ref="A13:H13"/>
    <mergeCell ref="A11:H11"/>
    <mergeCell ref="D7:H7"/>
    <mergeCell ref="D8:H8"/>
    <mergeCell ref="D9:H9"/>
    <mergeCell ref="B68:G71"/>
    <mergeCell ref="A66:H66"/>
    <mergeCell ref="G53:H53"/>
    <mergeCell ref="B57:C58"/>
    <mergeCell ref="G57:H57"/>
    <mergeCell ref="E104:F104"/>
    <mergeCell ref="A76:H76"/>
    <mergeCell ref="D79:E79"/>
    <mergeCell ref="D80:E80"/>
    <mergeCell ref="D81:E81"/>
    <mergeCell ref="D78:E78"/>
    <mergeCell ref="A91:H91"/>
    <mergeCell ref="B95:D95"/>
    <mergeCell ref="F97:H97"/>
    <mergeCell ref="A97:D97"/>
    <mergeCell ref="B88:D88"/>
    <mergeCell ref="B89:D89"/>
    <mergeCell ref="A83:H83"/>
    <mergeCell ref="A86:H86"/>
    <mergeCell ref="C252:D252"/>
    <mergeCell ref="A231:G231"/>
    <mergeCell ref="A233:G233"/>
    <mergeCell ref="B238:C238"/>
    <mergeCell ref="A239:G239"/>
    <mergeCell ref="B244:C244"/>
    <mergeCell ref="A213:C213"/>
    <mergeCell ref="I1:O1"/>
    <mergeCell ref="I3:O3"/>
    <mergeCell ref="J9:K9"/>
    <mergeCell ref="I13:O13"/>
    <mergeCell ref="J20:K20"/>
    <mergeCell ref="I24:O24"/>
    <mergeCell ref="I27:O27"/>
    <mergeCell ref="K31:L31"/>
    <mergeCell ref="J29:K29"/>
    <mergeCell ref="J30:K30"/>
    <mergeCell ref="H1:H5"/>
    <mergeCell ref="E213:F213"/>
    <mergeCell ref="E214:F214"/>
    <mergeCell ref="E215:F215"/>
    <mergeCell ref="E216:F216"/>
    <mergeCell ref="E218:F218"/>
    <mergeCell ref="A204:C204"/>
    <mergeCell ref="A229:B229"/>
    <mergeCell ref="A228:B228"/>
    <mergeCell ref="A227:B227"/>
    <mergeCell ref="A78:B81"/>
    <mergeCell ref="A1:A5"/>
    <mergeCell ref="A246:G246"/>
    <mergeCell ref="A248:G248"/>
    <mergeCell ref="B250:C250"/>
    <mergeCell ref="B251:C251"/>
    <mergeCell ref="E204:H204"/>
    <mergeCell ref="A192:H192"/>
    <mergeCell ref="B194:D194"/>
    <mergeCell ref="A196:C196"/>
    <mergeCell ref="E196:H196"/>
    <mergeCell ref="D154:E154"/>
    <mergeCell ref="A184:H184"/>
    <mergeCell ref="A186:H186"/>
    <mergeCell ref="B190:D190"/>
    <mergeCell ref="E117:F117"/>
    <mergeCell ref="E118:F118"/>
    <mergeCell ref="E126:F126"/>
    <mergeCell ref="A114:C114"/>
    <mergeCell ref="E120:F120"/>
    <mergeCell ref="A106:C106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D19B4-5B82-44B2-A5E5-BF7A4664A5B1}">
  <dimension ref="A1:M62"/>
  <sheetViews>
    <sheetView topLeftCell="A46" zoomScaleNormal="100" workbookViewId="0">
      <selection activeCell="K18" sqref="K18"/>
    </sheetView>
  </sheetViews>
  <sheetFormatPr baseColWidth="10" defaultRowHeight="15" x14ac:dyDescent="0.25"/>
  <cols>
    <col min="1" max="1" width="14.140625" customWidth="1"/>
    <col min="2" max="2" width="14.5703125" customWidth="1"/>
    <col min="3" max="3" width="16.28515625" customWidth="1"/>
    <col min="8" max="8" width="15" customWidth="1"/>
  </cols>
  <sheetData>
    <row r="1" spans="1:11" ht="15.75" x14ac:dyDescent="0.25">
      <c r="A1" s="364"/>
      <c r="B1" s="297" t="s">
        <v>0</v>
      </c>
      <c r="C1" s="297"/>
      <c r="D1" s="297"/>
      <c r="E1" s="297"/>
      <c r="F1" s="297"/>
      <c r="G1" s="297"/>
      <c r="H1" s="364"/>
    </row>
    <row r="2" spans="1:11" ht="15.75" x14ac:dyDescent="0.25">
      <c r="A2" s="364"/>
      <c r="B2" s="297" t="s">
        <v>1</v>
      </c>
      <c r="C2" s="297"/>
      <c r="D2" s="297"/>
      <c r="E2" s="297"/>
      <c r="F2" s="297"/>
      <c r="G2" s="297"/>
      <c r="H2" s="364"/>
    </row>
    <row r="3" spans="1:11" ht="15.75" customHeight="1" x14ac:dyDescent="0.25">
      <c r="A3" s="364"/>
      <c r="B3" s="364"/>
      <c r="C3" s="364"/>
      <c r="D3" s="364"/>
      <c r="E3" s="364"/>
      <c r="F3" s="364"/>
      <c r="G3" s="364"/>
      <c r="H3" s="364"/>
    </row>
    <row r="4" spans="1:11" ht="15.75" customHeight="1" x14ac:dyDescent="0.25">
      <c r="A4" s="364"/>
      <c r="B4" s="364"/>
      <c r="C4" s="364"/>
      <c r="D4" s="364"/>
      <c r="E4" s="364"/>
      <c r="F4" s="364"/>
      <c r="G4" s="364"/>
      <c r="H4" s="364"/>
    </row>
    <row r="5" spans="1:11" ht="15.75" customHeight="1" x14ac:dyDescent="0.25">
      <c r="A5" s="364"/>
      <c r="B5" s="364"/>
      <c r="C5" s="364"/>
      <c r="D5" s="364"/>
      <c r="E5" s="364"/>
      <c r="F5" s="364"/>
      <c r="G5" s="364"/>
      <c r="H5" s="364"/>
    </row>
    <row r="6" spans="1:11" ht="15.75" x14ac:dyDescent="0.25">
      <c r="A6" s="324" t="s">
        <v>15</v>
      </c>
      <c r="B6" s="324"/>
      <c r="C6" s="324"/>
      <c r="D6" s="324"/>
      <c r="E6" s="324"/>
      <c r="F6" s="324"/>
      <c r="G6" s="324"/>
      <c r="H6" s="324"/>
    </row>
    <row r="7" spans="1:11" ht="15.75" x14ac:dyDescent="0.25">
      <c r="A7" s="297" t="s">
        <v>2</v>
      </c>
      <c r="B7" s="297"/>
      <c r="C7" s="297"/>
      <c r="D7" s="364" t="s">
        <v>3</v>
      </c>
      <c r="E7" s="364"/>
      <c r="F7" s="364"/>
      <c r="G7" s="364"/>
      <c r="H7" s="364"/>
    </row>
    <row r="8" spans="1:11" ht="15.75" x14ac:dyDescent="0.25">
      <c r="A8" s="297" t="s">
        <v>4</v>
      </c>
      <c r="B8" s="297"/>
      <c r="C8" s="297"/>
      <c r="D8" s="364">
        <v>3142506648</v>
      </c>
      <c r="E8" s="364"/>
      <c r="F8" s="364"/>
      <c r="G8" s="364"/>
      <c r="H8" s="364"/>
    </row>
    <row r="9" spans="1:11" ht="15.75" x14ac:dyDescent="0.25">
      <c r="A9" s="297" t="s">
        <v>5</v>
      </c>
      <c r="B9" s="297"/>
      <c r="C9" s="297"/>
      <c r="D9" s="297" t="s">
        <v>135</v>
      </c>
      <c r="E9" s="297"/>
      <c r="F9" s="297"/>
      <c r="G9" s="297"/>
      <c r="H9" s="297"/>
    </row>
    <row r="10" spans="1:11" ht="7.5" customHeight="1" x14ac:dyDescent="0.25">
      <c r="A10" s="47"/>
      <c r="B10" s="47"/>
      <c r="C10" s="47"/>
      <c r="D10" s="46"/>
      <c r="E10" s="46"/>
      <c r="F10" s="46"/>
      <c r="G10" s="46"/>
      <c r="H10" s="46"/>
    </row>
    <row r="11" spans="1:11" ht="15.75" x14ac:dyDescent="0.25">
      <c r="A11" s="99" t="s">
        <v>142</v>
      </c>
      <c r="B11" s="122">
        <f>'PREDIMENSIONAMIENTO '!G63</f>
        <v>0.61357142857142855</v>
      </c>
      <c r="C11" s="105" t="s">
        <v>30</v>
      </c>
      <c r="D11" s="46"/>
      <c r="E11" s="46"/>
      <c r="F11" s="46"/>
      <c r="G11" s="46"/>
      <c r="H11" s="46"/>
    </row>
    <row r="12" spans="1:11" ht="15.75" x14ac:dyDescent="0.25">
      <c r="A12" s="99" t="s">
        <v>143</v>
      </c>
      <c r="B12" s="109">
        <f>'PREDIMENSIONAMIENTO '!G64</f>
        <v>0.24542857142857144</v>
      </c>
      <c r="C12" s="105" t="s">
        <v>30</v>
      </c>
      <c r="D12" s="46"/>
      <c r="E12" s="46"/>
      <c r="F12" s="46"/>
      <c r="G12" s="46"/>
      <c r="H12" s="46"/>
    </row>
    <row r="13" spans="1:11" ht="7.5" customHeight="1" x14ac:dyDescent="0.3">
      <c r="A13" s="45"/>
      <c r="B13" s="45"/>
      <c r="C13" s="45"/>
      <c r="D13" s="45"/>
      <c r="E13" s="45"/>
      <c r="F13" s="45"/>
      <c r="G13" s="45"/>
      <c r="H13" s="45"/>
    </row>
    <row r="14" spans="1:11" ht="16.5" x14ac:dyDescent="0.3">
      <c r="A14" s="378" t="s">
        <v>136</v>
      </c>
      <c r="B14" s="379"/>
      <c r="C14" s="380" t="s">
        <v>137</v>
      </c>
      <c r="D14" s="381"/>
      <c r="E14" s="381"/>
      <c r="F14" s="381"/>
      <c r="G14" s="381"/>
      <c r="H14" s="381"/>
    </row>
    <row r="15" spans="1:11" ht="6" customHeight="1" x14ac:dyDescent="0.3">
      <c r="A15" s="45"/>
      <c r="B15" s="45"/>
      <c r="C15" s="45"/>
      <c r="D15" s="45"/>
      <c r="E15" s="45"/>
      <c r="F15" s="45"/>
      <c r="G15" s="45"/>
      <c r="H15" s="45"/>
    </row>
    <row r="16" spans="1:11" ht="16.5" x14ac:dyDescent="0.3">
      <c r="A16" s="69"/>
      <c r="B16" s="367" t="s">
        <v>138</v>
      </c>
      <c r="C16" s="367"/>
      <c r="D16" s="367" t="s">
        <v>139</v>
      </c>
      <c r="E16" s="367"/>
      <c r="F16" s="367" t="s">
        <v>140</v>
      </c>
      <c r="G16" s="367"/>
      <c r="H16" s="69"/>
      <c r="I16" s="375" t="s">
        <v>231</v>
      </c>
      <c r="J16" s="376"/>
      <c r="K16" s="195">
        <f>D42+(D52/2)+(D60/2)</f>
        <v>1666.4183346612247</v>
      </c>
    </row>
    <row r="17" spans="1:12" ht="16.5" x14ac:dyDescent="0.3">
      <c r="A17" s="45"/>
      <c r="B17" s="377">
        <v>1</v>
      </c>
      <c r="C17" s="377"/>
      <c r="D17" s="377">
        <v>5.77</v>
      </c>
      <c r="E17" s="377"/>
      <c r="F17" s="377">
        <f>B17*D17</f>
        <v>5.77</v>
      </c>
      <c r="G17" s="377"/>
      <c r="H17" s="45"/>
      <c r="I17" s="375" t="s">
        <v>232</v>
      </c>
      <c r="J17" s="376"/>
      <c r="K17" s="195">
        <f>D43+D52/2+D60/2</f>
        <v>4850.1808923697945</v>
      </c>
    </row>
    <row r="18" spans="1:12" ht="16.5" x14ac:dyDescent="0.3">
      <c r="A18" s="3"/>
      <c r="B18" s="365">
        <v>2</v>
      </c>
      <c r="C18" s="365"/>
      <c r="D18" s="365">
        <v>8.84</v>
      </c>
      <c r="E18" s="365"/>
      <c r="F18" s="374">
        <f t="shared" ref="F18:F40" si="0">B18*D18</f>
        <v>17.68</v>
      </c>
      <c r="G18" s="374"/>
      <c r="H18" s="45"/>
      <c r="I18" s="45"/>
      <c r="J18" s="3"/>
      <c r="K18" s="127">
        <f>SUM(K16:K17)</f>
        <v>6516.5992270310189</v>
      </c>
      <c r="L18" t="s">
        <v>226</v>
      </c>
    </row>
    <row r="19" spans="1:12" ht="16.5" x14ac:dyDescent="0.3">
      <c r="A19" s="3"/>
      <c r="B19" s="365">
        <v>1</v>
      </c>
      <c r="C19" s="365"/>
      <c r="D19" s="365">
        <v>8.1</v>
      </c>
      <c r="E19" s="365"/>
      <c r="F19" s="374">
        <f t="shared" si="0"/>
        <v>8.1</v>
      </c>
      <c r="G19" s="374"/>
      <c r="H19" s="3"/>
    </row>
    <row r="20" spans="1:12" ht="16.5" x14ac:dyDescent="0.3">
      <c r="A20" s="3"/>
      <c r="B20" s="365">
        <v>6</v>
      </c>
      <c r="C20" s="365"/>
      <c r="D20" s="365">
        <v>6.33</v>
      </c>
      <c r="E20" s="365"/>
      <c r="F20" s="374">
        <f t="shared" si="0"/>
        <v>37.980000000000004</v>
      </c>
      <c r="G20" s="374"/>
      <c r="H20" s="3"/>
    </row>
    <row r="21" spans="1:12" ht="16.5" x14ac:dyDescent="0.3">
      <c r="A21" s="3"/>
      <c r="B21" s="365">
        <v>3</v>
      </c>
      <c r="C21" s="365"/>
      <c r="D21" s="365">
        <v>7.75</v>
      </c>
      <c r="E21" s="365"/>
      <c r="F21" s="374">
        <f t="shared" si="0"/>
        <v>23.25</v>
      </c>
      <c r="G21" s="374"/>
      <c r="H21" s="3"/>
    </row>
    <row r="22" spans="1:12" ht="16.5" x14ac:dyDescent="0.3">
      <c r="A22" s="3"/>
      <c r="B22" s="365">
        <v>1</v>
      </c>
      <c r="C22" s="365"/>
      <c r="D22" s="365">
        <v>9.33</v>
      </c>
      <c r="E22" s="365"/>
      <c r="F22" s="374">
        <f t="shared" si="0"/>
        <v>9.33</v>
      </c>
      <c r="G22" s="374"/>
      <c r="H22" s="3"/>
    </row>
    <row r="23" spans="1:12" ht="16.5" x14ac:dyDescent="0.3">
      <c r="A23" s="3"/>
      <c r="B23" s="365">
        <v>2</v>
      </c>
      <c r="C23" s="365"/>
      <c r="D23" s="365">
        <v>9.74</v>
      </c>
      <c r="E23" s="365"/>
      <c r="F23" s="374">
        <f t="shared" si="0"/>
        <v>19.48</v>
      </c>
      <c r="G23" s="374"/>
      <c r="H23" s="3"/>
    </row>
    <row r="24" spans="1:12" ht="16.5" x14ac:dyDescent="0.3">
      <c r="A24" s="3"/>
      <c r="B24" s="365">
        <v>1</v>
      </c>
      <c r="C24" s="365"/>
      <c r="D24" s="365">
        <v>3.98</v>
      </c>
      <c r="E24" s="365"/>
      <c r="F24" s="374">
        <f t="shared" si="0"/>
        <v>3.98</v>
      </c>
      <c r="G24" s="374"/>
      <c r="H24" s="3"/>
    </row>
    <row r="25" spans="1:12" ht="16.5" x14ac:dyDescent="0.3">
      <c r="A25" s="3"/>
      <c r="B25" s="365">
        <v>1</v>
      </c>
      <c r="C25" s="365"/>
      <c r="D25" s="365">
        <v>12.4</v>
      </c>
      <c r="E25" s="365"/>
      <c r="F25" s="374">
        <f t="shared" si="0"/>
        <v>12.4</v>
      </c>
      <c r="G25" s="374"/>
      <c r="H25" s="3"/>
    </row>
    <row r="26" spans="1:12" ht="16.5" x14ac:dyDescent="0.3">
      <c r="A26" s="3"/>
      <c r="B26" s="365">
        <v>1</v>
      </c>
      <c r="C26" s="365"/>
      <c r="D26" s="365">
        <v>13.33</v>
      </c>
      <c r="E26" s="365"/>
      <c r="F26" s="374">
        <f t="shared" si="0"/>
        <v>13.33</v>
      </c>
      <c r="G26" s="374"/>
      <c r="H26" s="3"/>
    </row>
    <row r="27" spans="1:12" ht="16.5" x14ac:dyDescent="0.3">
      <c r="A27" s="3"/>
      <c r="B27" s="365">
        <v>4</v>
      </c>
      <c r="C27" s="365"/>
      <c r="D27" s="365">
        <v>14.54</v>
      </c>
      <c r="E27" s="365"/>
      <c r="F27" s="374">
        <f t="shared" si="0"/>
        <v>58.16</v>
      </c>
      <c r="G27" s="374"/>
      <c r="H27" s="3"/>
    </row>
    <row r="28" spans="1:12" ht="16.5" x14ac:dyDescent="0.3">
      <c r="A28" s="3"/>
      <c r="B28" s="365">
        <v>1</v>
      </c>
      <c r="C28" s="365"/>
      <c r="D28" s="365">
        <v>12.39</v>
      </c>
      <c r="E28" s="365"/>
      <c r="F28" s="374">
        <f t="shared" si="0"/>
        <v>12.39</v>
      </c>
      <c r="G28" s="374"/>
      <c r="H28" s="3"/>
    </row>
    <row r="29" spans="1:12" ht="16.5" x14ac:dyDescent="0.3">
      <c r="A29" s="3"/>
      <c r="B29" s="365">
        <v>1</v>
      </c>
      <c r="C29" s="365"/>
      <c r="D29" s="365">
        <v>5.07</v>
      </c>
      <c r="E29" s="365"/>
      <c r="F29" s="374">
        <f t="shared" si="0"/>
        <v>5.07</v>
      </c>
      <c r="G29" s="374"/>
      <c r="H29" s="3"/>
    </row>
    <row r="30" spans="1:12" ht="16.5" x14ac:dyDescent="0.3">
      <c r="A30" s="3"/>
      <c r="B30" s="365">
        <v>1</v>
      </c>
      <c r="C30" s="365"/>
      <c r="D30" s="365">
        <v>7.68</v>
      </c>
      <c r="E30" s="365"/>
      <c r="F30" s="374">
        <f t="shared" si="0"/>
        <v>7.68</v>
      </c>
      <c r="G30" s="374"/>
      <c r="H30" s="3"/>
    </row>
    <row r="31" spans="1:12" ht="16.5" x14ac:dyDescent="0.3">
      <c r="A31" s="3"/>
      <c r="B31" s="365">
        <v>1</v>
      </c>
      <c r="C31" s="365"/>
      <c r="D31" s="365">
        <v>2.85</v>
      </c>
      <c r="E31" s="365"/>
      <c r="F31" s="374">
        <f t="shared" si="0"/>
        <v>2.85</v>
      </c>
      <c r="G31" s="374"/>
      <c r="H31" s="3"/>
    </row>
    <row r="32" spans="1:12" ht="16.5" x14ac:dyDescent="0.3">
      <c r="A32" s="3"/>
      <c r="B32" s="365">
        <v>1</v>
      </c>
      <c r="C32" s="365"/>
      <c r="D32" s="365">
        <v>20.04</v>
      </c>
      <c r="E32" s="365"/>
      <c r="F32" s="374">
        <f t="shared" si="0"/>
        <v>20.04</v>
      </c>
      <c r="G32" s="374"/>
      <c r="H32" s="3"/>
    </row>
    <row r="33" spans="1:8" ht="16.5" x14ac:dyDescent="0.3">
      <c r="A33" s="3"/>
      <c r="B33" s="365">
        <v>1</v>
      </c>
      <c r="C33" s="365"/>
      <c r="D33" s="365">
        <v>8.6999999999999993</v>
      </c>
      <c r="E33" s="365"/>
      <c r="F33" s="374">
        <f t="shared" si="0"/>
        <v>8.6999999999999993</v>
      </c>
      <c r="G33" s="374"/>
      <c r="H33" s="3"/>
    </row>
    <row r="34" spans="1:8" ht="16.5" x14ac:dyDescent="0.3">
      <c r="A34" s="3"/>
      <c r="B34" s="365">
        <v>1</v>
      </c>
      <c r="C34" s="365"/>
      <c r="D34" s="365">
        <v>10.98</v>
      </c>
      <c r="E34" s="365"/>
      <c r="F34" s="374">
        <f t="shared" si="0"/>
        <v>10.98</v>
      </c>
      <c r="G34" s="374"/>
      <c r="H34" s="3"/>
    </row>
    <row r="35" spans="1:8" ht="16.5" x14ac:dyDescent="0.3">
      <c r="A35" s="3"/>
      <c r="B35" s="365">
        <v>3</v>
      </c>
      <c r="C35" s="365"/>
      <c r="D35" s="365">
        <v>12.98</v>
      </c>
      <c r="E35" s="365"/>
      <c r="F35" s="374">
        <f t="shared" si="0"/>
        <v>38.94</v>
      </c>
      <c r="G35" s="374"/>
      <c r="H35" s="3"/>
    </row>
    <row r="36" spans="1:8" ht="16.5" x14ac:dyDescent="0.3">
      <c r="A36" s="3"/>
      <c r="B36" s="365">
        <v>3</v>
      </c>
      <c r="C36" s="365"/>
      <c r="D36" s="365">
        <v>7.03</v>
      </c>
      <c r="E36" s="365"/>
      <c r="F36" s="374">
        <f t="shared" si="0"/>
        <v>21.09</v>
      </c>
      <c r="G36" s="374"/>
      <c r="H36" s="3"/>
    </row>
    <row r="37" spans="1:8" ht="16.5" x14ac:dyDescent="0.3">
      <c r="A37" s="3"/>
      <c r="B37" s="365">
        <v>3</v>
      </c>
      <c r="C37" s="365"/>
      <c r="D37" s="365">
        <v>7.92</v>
      </c>
      <c r="E37" s="365"/>
      <c r="F37" s="374">
        <f t="shared" si="0"/>
        <v>23.759999999999998</v>
      </c>
      <c r="G37" s="374"/>
      <c r="H37" s="3"/>
    </row>
    <row r="38" spans="1:8" ht="16.5" x14ac:dyDescent="0.3">
      <c r="A38" s="3"/>
      <c r="B38" s="365">
        <v>2</v>
      </c>
      <c r="C38" s="365"/>
      <c r="D38" s="365">
        <v>6.05</v>
      </c>
      <c r="E38" s="365"/>
      <c r="F38" s="374">
        <f t="shared" si="0"/>
        <v>12.1</v>
      </c>
      <c r="G38" s="374"/>
      <c r="H38" s="3"/>
    </row>
    <row r="39" spans="1:8" ht="16.5" x14ac:dyDescent="0.3">
      <c r="A39" s="3"/>
      <c r="B39" s="365">
        <v>1</v>
      </c>
      <c r="C39" s="365"/>
      <c r="D39" s="365">
        <v>2.71</v>
      </c>
      <c r="E39" s="365"/>
      <c r="F39" s="374">
        <f t="shared" si="0"/>
        <v>2.71</v>
      </c>
      <c r="G39" s="374"/>
      <c r="H39" s="3"/>
    </row>
    <row r="40" spans="1:8" ht="16.5" x14ac:dyDescent="0.3">
      <c r="A40" s="3"/>
      <c r="B40" s="365">
        <v>1</v>
      </c>
      <c r="C40" s="365"/>
      <c r="D40" s="365">
        <v>11.45</v>
      </c>
      <c r="E40" s="365"/>
      <c r="F40" s="374">
        <f t="shared" si="0"/>
        <v>11.45</v>
      </c>
      <c r="G40" s="374"/>
      <c r="H40" s="3"/>
    </row>
    <row r="41" spans="1:8" ht="16.5" x14ac:dyDescent="0.3">
      <c r="A41" s="3"/>
      <c r="B41" s="369" t="s">
        <v>141</v>
      </c>
      <c r="C41" s="360"/>
      <c r="D41" s="365">
        <f>SUM(F17:G40)</f>
        <v>387.21999999999997</v>
      </c>
      <c r="E41" s="365"/>
      <c r="F41" s="365"/>
      <c r="G41" s="365"/>
      <c r="H41" s="3"/>
    </row>
    <row r="42" spans="1:8" ht="16.5" x14ac:dyDescent="0.3">
      <c r="A42" s="3"/>
      <c r="B42" s="360" t="s">
        <v>144</v>
      </c>
      <c r="C42" s="361"/>
      <c r="D42" s="366">
        <f>D41*B11*B12*'PREDIMENSIONAMIENTO '!B20/100</f>
        <v>1399.4560693224491</v>
      </c>
      <c r="E42" s="366"/>
      <c r="F42" s="366"/>
      <c r="G42" s="366"/>
      <c r="H42" s="3"/>
    </row>
    <row r="43" spans="1:8" ht="16.5" x14ac:dyDescent="0.3">
      <c r="B43" s="360" t="s">
        <v>145</v>
      </c>
      <c r="C43" s="361"/>
      <c r="D43" s="366">
        <f>B11*B12*D41*'PREDIMENSIONAMIENTO '!B25/100</f>
        <v>4583.2186270310194</v>
      </c>
      <c r="E43" s="366"/>
      <c r="F43" s="366"/>
      <c r="G43" s="366"/>
    </row>
    <row r="44" spans="1:8" ht="15.75" x14ac:dyDescent="0.25">
      <c r="B44" s="372" t="s">
        <v>146</v>
      </c>
      <c r="C44" s="372"/>
      <c r="D44" s="373">
        <f>SUM(D42:G43)</f>
        <v>5982.6746963534688</v>
      </c>
      <c r="E44" s="372"/>
      <c r="F44" s="372"/>
      <c r="G44" s="372"/>
    </row>
    <row r="45" spans="1:8" ht="6.75" customHeight="1" x14ac:dyDescent="0.25"/>
    <row r="46" spans="1:8" ht="15.75" x14ac:dyDescent="0.25">
      <c r="A46" s="99" t="s">
        <v>142</v>
      </c>
      <c r="B46" s="109">
        <f>'PREDIMENSIONAMIENTO '!E73</f>
        <v>0.24542857142857144</v>
      </c>
      <c r="C46" s="105" t="s">
        <v>30</v>
      </c>
    </row>
    <row r="47" spans="1:8" ht="15.75" x14ac:dyDescent="0.25">
      <c r="A47" s="99" t="s">
        <v>143</v>
      </c>
      <c r="B47" s="109">
        <f>'PREDIMENSIONAMIENTO '!E74</f>
        <v>0.24542857142857144</v>
      </c>
      <c r="C47" s="105" t="s">
        <v>30</v>
      </c>
    </row>
    <row r="48" spans="1:8" ht="8.25" customHeight="1" x14ac:dyDescent="0.25"/>
    <row r="49" spans="1:13" ht="16.5" x14ac:dyDescent="0.3">
      <c r="B49" s="367" t="s">
        <v>147</v>
      </c>
      <c r="C49" s="367"/>
      <c r="D49" s="367" t="s">
        <v>148</v>
      </c>
      <c r="E49" s="367"/>
      <c r="F49" s="367" t="s">
        <v>150</v>
      </c>
      <c r="G49" s="367"/>
      <c r="H49" s="367" t="s">
        <v>140</v>
      </c>
      <c r="I49" s="367"/>
    </row>
    <row r="50" spans="1:13" x14ac:dyDescent="0.25">
      <c r="B50" s="368">
        <v>1</v>
      </c>
      <c r="C50" s="368"/>
      <c r="D50" s="368">
        <v>26</v>
      </c>
      <c r="E50" s="368"/>
      <c r="F50" s="368">
        <f>'PREDIMENSIONAMIENTO '!F78</f>
        <v>4.0999999999999996</v>
      </c>
      <c r="G50" s="368"/>
      <c r="H50" s="368">
        <f>D50*F50</f>
        <v>106.6</v>
      </c>
      <c r="I50" s="368"/>
    </row>
    <row r="51" spans="1:13" x14ac:dyDescent="0.25">
      <c r="B51" s="368">
        <v>2</v>
      </c>
      <c r="C51" s="368"/>
      <c r="D51" s="368">
        <v>26</v>
      </c>
      <c r="E51" s="368"/>
      <c r="F51" s="368">
        <f>'PREDIMENSIONAMIENTO '!F78</f>
        <v>4.0999999999999996</v>
      </c>
      <c r="G51" s="368"/>
      <c r="H51" s="368">
        <f>D51*F51</f>
        <v>106.6</v>
      </c>
      <c r="I51" s="368"/>
    </row>
    <row r="52" spans="1:13" x14ac:dyDescent="0.25">
      <c r="B52" s="369" t="s">
        <v>230</v>
      </c>
      <c r="C52" s="370"/>
      <c r="D52" s="371">
        <f>B46*B47*SUM(H50:I51)*'PREDIMENSIONAMIENTO '!B20/100</f>
        <v>308.21138782040816</v>
      </c>
      <c r="E52" s="371"/>
      <c r="F52" s="371"/>
      <c r="G52" s="371"/>
      <c r="H52" s="371"/>
      <c r="I52" s="371"/>
    </row>
    <row r="53" spans="1:13" ht="7.5" customHeight="1" x14ac:dyDescent="0.25">
      <c r="B53" s="124"/>
      <c r="C53" s="125"/>
      <c r="D53" s="123"/>
      <c r="E53" s="123"/>
      <c r="F53" s="123"/>
      <c r="G53" s="123"/>
      <c r="H53" s="123"/>
      <c r="I53" s="123"/>
    </row>
    <row r="54" spans="1:13" ht="15.75" x14ac:dyDescent="0.25">
      <c r="A54" s="99" t="s">
        <v>102</v>
      </c>
      <c r="B54" s="109">
        <f>'PREDIMENSIONAMIENTO '!F79</f>
        <v>0.1</v>
      </c>
      <c r="C54" s="105" t="s">
        <v>30</v>
      </c>
      <c r="D54" s="123"/>
      <c r="E54" s="123"/>
      <c r="F54" s="123"/>
      <c r="G54" s="123"/>
      <c r="H54" s="123"/>
      <c r="I54" s="123"/>
    </row>
    <row r="55" spans="1:13" ht="15.75" x14ac:dyDescent="0.25">
      <c r="A55" s="99" t="s">
        <v>152</v>
      </c>
      <c r="B55" s="109">
        <f>'PREDIMENSIONAMIENTO '!F80</f>
        <v>1</v>
      </c>
      <c r="C55" s="105" t="s">
        <v>30</v>
      </c>
      <c r="D55" s="128" t="s">
        <v>152</v>
      </c>
      <c r="E55" s="126">
        <v>1.7</v>
      </c>
      <c r="F55" s="126" t="s">
        <v>30</v>
      </c>
      <c r="G55" s="123"/>
      <c r="H55" s="123"/>
      <c r="I55" s="123"/>
    </row>
    <row r="56" spans="1:13" ht="9.75" customHeight="1" x14ac:dyDescent="0.25"/>
    <row r="57" spans="1:13" ht="16.5" x14ac:dyDescent="0.3">
      <c r="B57" s="367" t="s">
        <v>147</v>
      </c>
      <c r="C57" s="367"/>
      <c r="D57" s="367" t="s">
        <v>149</v>
      </c>
      <c r="E57" s="367"/>
      <c r="F57" s="367" t="s">
        <v>151</v>
      </c>
      <c r="G57" s="367"/>
      <c r="H57" s="367" t="s">
        <v>140</v>
      </c>
      <c r="I57" s="367"/>
      <c r="L57" s="127"/>
    </row>
    <row r="58" spans="1:13" ht="16.5" x14ac:dyDescent="0.3">
      <c r="B58" s="365">
        <v>1</v>
      </c>
      <c r="C58" s="365"/>
      <c r="D58" s="365">
        <v>13</v>
      </c>
      <c r="E58" s="365"/>
      <c r="F58" s="362">
        <f>'PREDIMENSIONAMIENTO '!F81</f>
        <v>3.4864285714285712</v>
      </c>
      <c r="G58" s="362"/>
      <c r="H58" s="366">
        <f>D58*F58</f>
        <v>45.323571428571427</v>
      </c>
      <c r="I58" s="366"/>
    </row>
    <row r="59" spans="1:13" ht="16.5" x14ac:dyDescent="0.3">
      <c r="B59" s="365">
        <v>2</v>
      </c>
      <c r="C59" s="365"/>
      <c r="D59" s="365">
        <v>13</v>
      </c>
      <c r="E59" s="365"/>
      <c r="F59" s="362">
        <f>'PREDIMENSIONAMIENTO '!F81</f>
        <v>3.4864285714285712</v>
      </c>
      <c r="G59" s="362"/>
      <c r="H59" s="366">
        <f>D59*F59</f>
        <v>45.323571428571427</v>
      </c>
      <c r="I59" s="366"/>
      <c r="L59" s="58"/>
      <c r="M59" s="58"/>
    </row>
    <row r="60" spans="1:13" ht="16.5" x14ac:dyDescent="0.3">
      <c r="B60" s="360" t="s">
        <v>230</v>
      </c>
      <c r="C60" s="361"/>
      <c r="D60" s="362">
        <f>B54*B55*(SUM(H58:I59)+(2*E55))*'PREDIMENSIONAMIENTO '!B20/100</f>
        <v>225.71314285714288</v>
      </c>
      <c r="E60" s="362"/>
      <c r="F60" s="362"/>
      <c r="G60" s="362"/>
      <c r="H60" s="362"/>
      <c r="I60" s="362"/>
    </row>
    <row r="61" spans="1:13" ht="9.75" customHeight="1" x14ac:dyDescent="0.25"/>
    <row r="62" spans="1:13" ht="15.75" x14ac:dyDescent="0.25">
      <c r="B62" s="278" t="s">
        <v>146</v>
      </c>
      <c r="C62" s="278"/>
      <c r="D62" s="363">
        <f>D60+D52+D44</f>
        <v>6516.5992270310198</v>
      </c>
      <c r="E62" s="363"/>
      <c r="F62" s="363"/>
      <c r="G62" s="363"/>
      <c r="H62" s="363"/>
      <c r="I62" s="363"/>
    </row>
  </sheetData>
  <mergeCells count="129">
    <mergeCell ref="B1:G1"/>
    <mergeCell ref="B2:G2"/>
    <mergeCell ref="B3:G5"/>
    <mergeCell ref="A6:H6"/>
    <mergeCell ref="A7:C7"/>
    <mergeCell ref="D7:H7"/>
    <mergeCell ref="I16:J16"/>
    <mergeCell ref="I17:J17"/>
    <mergeCell ref="D23:E23"/>
    <mergeCell ref="D22:E22"/>
    <mergeCell ref="B16:C16"/>
    <mergeCell ref="D16:E16"/>
    <mergeCell ref="B17:C17"/>
    <mergeCell ref="D17:E17"/>
    <mergeCell ref="F16:G16"/>
    <mergeCell ref="A8:C8"/>
    <mergeCell ref="D8:H8"/>
    <mergeCell ref="A9:C9"/>
    <mergeCell ref="D9:H9"/>
    <mergeCell ref="A14:B14"/>
    <mergeCell ref="C14:H14"/>
    <mergeCell ref="F18:G18"/>
    <mergeCell ref="F17:G17"/>
    <mergeCell ref="F22:G22"/>
    <mergeCell ref="D40:E40"/>
    <mergeCell ref="D39:E39"/>
    <mergeCell ref="D38:E38"/>
    <mergeCell ref="D37:E37"/>
    <mergeCell ref="D36:E36"/>
    <mergeCell ref="D35:E35"/>
    <mergeCell ref="D34:E34"/>
    <mergeCell ref="D33:E33"/>
    <mergeCell ref="D32:E32"/>
    <mergeCell ref="F39:G39"/>
    <mergeCell ref="F37:G37"/>
    <mergeCell ref="F38:G38"/>
    <mergeCell ref="F36:G36"/>
    <mergeCell ref="F35:G35"/>
    <mergeCell ref="F34:G34"/>
    <mergeCell ref="D18:E18"/>
    <mergeCell ref="D21:E21"/>
    <mergeCell ref="D27:E27"/>
    <mergeCell ref="D26:E26"/>
    <mergeCell ref="D25:E25"/>
    <mergeCell ref="D24:E24"/>
    <mergeCell ref="F23:G23"/>
    <mergeCell ref="F24:G24"/>
    <mergeCell ref="F25:G25"/>
    <mergeCell ref="F26:G26"/>
    <mergeCell ref="F28:G28"/>
    <mergeCell ref="F27:G27"/>
    <mergeCell ref="F21:G21"/>
    <mergeCell ref="F20:G20"/>
    <mergeCell ref="F19:G19"/>
    <mergeCell ref="B26:C26"/>
    <mergeCell ref="B35:C35"/>
    <mergeCell ref="B36:C36"/>
    <mergeCell ref="B37:C37"/>
    <mergeCell ref="D20:E20"/>
    <mergeCell ref="D19:E19"/>
    <mergeCell ref="D28:E28"/>
    <mergeCell ref="D31:E31"/>
    <mergeCell ref="D30:E30"/>
    <mergeCell ref="D29:E29"/>
    <mergeCell ref="F29:G29"/>
    <mergeCell ref="F30:G30"/>
    <mergeCell ref="B19:C19"/>
    <mergeCell ref="B18:C18"/>
    <mergeCell ref="B34:C34"/>
    <mergeCell ref="B33:C33"/>
    <mergeCell ref="B32:C32"/>
    <mergeCell ref="B31:C31"/>
    <mergeCell ref="B30:C30"/>
    <mergeCell ref="B25:C25"/>
    <mergeCell ref="B24:C24"/>
    <mergeCell ref="B23:C23"/>
    <mergeCell ref="B22:C22"/>
    <mergeCell ref="B21:C21"/>
    <mergeCell ref="B20:C20"/>
    <mergeCell ref="B29:C29"/>
    <mergeCell ref="B28:C28"/>
    <mergeCell ref="B27:C27"/>
    <mergeCell ref="B38:C38"/>
    <mergeCell ref="B51:C51"/>
    <mergeCell ref="D50:E50"/>
    <mergeCell ref="D51:E51"/>
    <mergeCell ref="F50:G50"/>
    <mergeCell ref="F51:G51"/>
    <mergeCell ref="B43:C43"/>
    <mergeCell ref="D43:G43"/>
    <mergeCell ref="B44:C44"/>
    <mergeCell ref="D44:G44"/>
    <mergeCell ref="B49:C49"/>
    <mergeCell ref="D49:E49"/>
    <mergeCell ref="F49:G49"/>
    <mergeCell ref="F33:G33"/>
    <mergeCell ref="F32:G32"/>
    <mergeCell ref="B40:C40"/>
    <mergeCell ref="B41:C41"/>
    <mergeCell ref="B42:C42"/>
    <mergeCell ref="D41:G41"/>
    <mergeCell ref="D42:G42"/>
    <mergeCell ref="F31:G31"/>
    <mergeCell ref="F40:G40"/>
    <mergeCell ref="B39:C39"/>
    <mergeCell ref="B60:C60"/>
    <mergeCell ref="D60:I60"/>
    <mergeCell ref="B62:C62"/>
    <mergeCell ref="D62:I62"/>
    <mergeCell ref="A1:A5"/>
    <mergeCell ref="H1:H5"/>
    <mergeCell ref="B58:C58"/>
    <mergeCell ref="D58:E58"/>
    <mergeCell ref="F58:G58"/>
    <mergeCell ref="H58:I58"/>
    <mergeCell ref="B59:C59"/>
    <mergeCell ref="D59:E59"/>
    <mergeCell ref="F59:G59"/>
    <mergeCell ref="H59:I59"/>
    <mergeCell ref="H49:I49"/>
    <mergeCell ref="H51:I51"/>
    <mergeCell ref="H50:I50"/>
    <mergeCell ref="B52:C52"/>
    <mergeCell ref="D52:I52"/>
    <mergeCell ref="B57:C57"/>
    <mergeCell ref="D57:E57"/>
    <mergeCell ref="F57:G57"/>
    <mergeCell ref="H57:I57"/>
    <mergeCell ref="B50:C5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45D7-A19D-4952-9B4C-6B944BAF9BC4}">
  <dimension ref="A1:T65"/>
  <sheetViews>
    <sheetView workbookViewId="0">
      <selection activeCell="C37" sqref="C37"/>
    </sheetView>
  </sheetViews>
  <sheetFormatPr baseColWidth="10" defaultRowHeight="15" x14ac:dyDescent="0.25"/>
  <cols>
    <col min="5" max="5" width="13.28515625" customWidth="1"/>
    <col min="12" max="12" width="15.5703125" customWidth="1"/>
  </cols>
  <sheetData>
    <row r="1" spans="1:20" ht="15.75" x14ac:dyDescent="0.25">
      <c r="A1" s="173"/>
      <c r="B1" s="174"/>
      <c r="C1" s="174"/>
      <c r="D1" s="174"/>
      <c r="E1" s="382"/>
      <c r="F1" s="383" t="s">
        <v>0</v>
      </c>
      <c r="G1" s="383"/>
      <c r="H1" s="383"/>
      <c r="I1" s="383"/>
      <c r="J1" s="383"/>
      <c r="K1" s="383"/>
      <c r="L1" s="382"/>
      <c r="M1" s="174"/>
      <c r="N1" s="174"/>
      <c r="O1" s="174"/>
      <c r="P1" s="174"/>
      <c r="Q1" s="174"/>
      <c r="R1" s="174"/>
      <c r="S1" s="174"/>
      <c r="T1" s="136"/>
    </row>
    <row r="2" spans="1:20" ht="15.75" x14ac:dyDescent="0.25">
      <c r="A2" s="129"/>
      <c r="B2" s="1"/>
      <c r="C2" s="1"/>
      <c r="D2" s="1"/>
      <c r="E2" s="364"/>
      <c r="F2" s="297" t="s">
        <v>1</v>
      </c>
      <c r="G2" s="297"/>
      <c r="H2" s="297"/>
      <c r="I2" s="297"/>
      <c r="J2" s="297"/>
      <c r="K2" s="297"/>
      <c r="L2" s="364"/>
      <c r="M2" s="1"/>
      <c r="N2" s="1"/>
      <c r="O2" s="1"/>
      <c r="P2" s="1"/>
      <c r="Q2" s="1"/>
      <c r="R2" s="1"/>
      <c r="S2" s="1"/>
      <c r="T2" s="130"/>
    </row>
    <row r="3" spans="1:20" x14ac:dyDescent="0.25">
      <c r="A3" s="129"/>
      <c r="B3" s="1"/>
      <c r="C3" s="1"/>
      <c r="D3" s="1"/>
      <c r="E3" s="364"/>
      <c r="F3" s="364"/>
      <c r="G3" s="364"/>
      <c r="H3" s="364"/>
      <c r="I3" s="364"/>
      <c r="J3" s="364"/>
      <c r="K3" s="364"/>
      <c r="L3" s="364"/>
      <c r="M3" s="1"/>
      <c r="N3" s="1"/>
      <c r="O3" s="1"/>
      <c r="P3" s="1"/>
      <c r="Q3" s="1"/>
      <c r="R3" s="1"/>
      <c r="S3" s="1"/>
      <c r="T3" s="130"/>
    </row>
    <row r="4" spans="1:20" x14ac:dyDescent="0.25">
      <c r="A4" s="129"/>
      <c r="B4" s="1"/>
      <c r="C4" s="1"/>
      <c r="D4" s="1"/>
      <c r="E4" s="364"/>
      <c r="F4" s="364"/>
      <c r="G4" s="364"/>
      <c r="H4" s="364"/>
      <c r="I4" s="364"/>
      <c r="J4" s="364"/>
      <c r="K4" s="364"/>
      <c r="L4" s="364"/>
      <c r="M4" s="1"/>
      <c r="N4" s="1"/>
      <c r="O4" s="1"/>
      <c r="P4" s="1"/>
      <c r="Q4" s="1"/>
      <c r="R4" s="1"/>
      <c r="S4" s="1"/>
      <c r="T4" s="130"/>
    </row>
    <row r="5" spans="1:20" x14ac:dyDescent="0.25">
      <c r="A5" s="129"/>
      <c r="B5" s="1"/>
      <c r="C5" s="1"/>
      <c r="D5" s="1"/>
      <c r="E5" s="364"/>
      <c r="F5" s="364"/>
      <c r="G5" s="364"/>
      <c r="H5" s="364"/>
      <c r="I5" s="364"/>
      <c r="J5" s="364"/>
      <c r="K5" s="364"/>
      <c r="L5" s="364"/>
      <c r="M5" s="1"/>
      <c r="N5" s="1"/>
      <c r="O5" s="1"/>
      <c r="P5" s="1"/>
      <c r="Q5" s="1"/>
      <c r="R5" s="1"/>
      <c r="S5" s="1"/>
      <c r="T5" s="130"/>
    </row>
    <row r="6" spans="1:20" ht="15.75" x14ac:dyDescent="0.25">
      <c r="A6" s="129"/>
      <c r="B6" s="1"/>
      <c r="C6" s="1"/>
      <c r="D6" s="1"/>
      <c r="E6" s="324" t="s">
        <v>15</v>
      </c>
      <c r="F6" s="324"/>
      <c r="G6" s="324"/>
      <c r="H6" s="324"/>
      <c r="I6" s="324"/>
      <c r="J6" s="324"/>
      <c r="K6" s="324"/>
      <c r="L6" s="324"/>
      <c r="M6" s="1"/>
      <c r="N6" s="1"/>
      <c r="O6" s="1"/>
      <c r="P6" s="1"/>
      <c r="Q6" s="1"/>
      <c r="R6" s="1"/>
      <c r="S6" s="1"/>
      <c r="T6" s="130"/>
    </row>
    <row r="7" spans="1:20" ht="15.75" x14ac:dyDescent="0.25">
      <c r="A7" s="129"/>
      <c r="B7" s="1"/>
      <c r="C7" s="1"/>
      <c r="D7" s="1"/>
      <c r="E7" s="297" t="s">
        <v>2</v>
      </c>
      <c r="F7" s="297"/>
      <c r="G7" s="297"/>
      <c r="H7" s="364" t="s">
        <v>3</v>
      </c>
      <c r="I7" s="364"/>
      <c r="J7" s="364"/>
      <c r="K7" s="364"/>
      <c r="L7" s="364"/>
      <c r="M7" s="1"/>
      <c r="N7" s="1"/>
      <c r="O7" s="1"/>
      <c r="P7" s="1"/>
      <c r="Q7" s="1"/>
      <c r="R7" s="1"/>
      <c r="S7" s="1"/>
      <c r="T7" s="130"/>
    </row>
    <row r="8" spans="1:20" ht="15.75" x14ac:dyDescent="0.25">
      <c r="A8" s="129"/>
      <c r="B8" s="1"/>
      <c r="C8" s="1"/>
      <c r="D8" s="1"/>
      <c r="E8" s="297" t="s">
        <v>4</v>
      </c>
      <c r="F8" s="297"/>
      <c r="G8" s="297"/>
      <c r="H8" s="364">
        <v>3142506648</v>
      </c>
      <c r="I8" s="364"/>
      <c r="J8" s="364"/>
      <c r="K8" s="364"/>
      <c r="L8" s="364"/>
      <c r="M8" s="1"/>
      <c r="N8" s="1"/>
      <c r="O8" s="1"/>
      <c r="P8" s="1"/>
      <c r="Q8" s="1"/>
      <c r="R8" s="1"/>
      <c r="S8" s="1"/>
      <c r="T8" s="130"/>
    </row>
    <row r="9" spans="1:20" ht="15.75" x14ac:dyDescent="0.25">
      <c r="A9" s="129"/>
      <c r="B9" s="1"/>
      <c r="C9" s="1"/>
      <c r="D9" s="1"/>
      <c r="E9" s="297" t="s">
        <v>5</v>
      </c>
      <c r="F9" s="297"/>
      <c r="G9" s="297"/>
      <c r="H9" s="364" t="s">
        <v>170</v>
      </c>
      <c r="I9" s="364"/>
      <c r="J9" s="364"/>
      <c r="K9" s="364"/>
      <c r="L9" s="364"/>
      <c r="M9" s="1"/>
      <c r="N9" s="1"/>
      <c r="O9" s="1"/>
      <c r="P9" s="1"/>
      <c r="Q9" s="1"/>
      <c r="R9" s="1"/>
      <c r="S9" s="1"/>
      <c r="T9" s="130"/>
    </row>
    <row r="10" spans="1:20" ht="6.75" customHeight="1" thickBot="1" x14ac:dyDescent="0.3">
      <c r="A10" s="129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30"/>
    </row>
    <row r="11" spans="1:20" x14ac:dyDescent="0.25">
      <c r="A11" s="384" t="s">
        <v>153</v>
      </c>
      <c r="B11" s="385"/>
      <c r="C11" s="385"/>
      <c r="D11" s="385"/>
      <c r="E11" s="385"/>
      <c r="F11" s="385"/>
      <c r="G11" s="385"/>
      <c r="H11" s="385"/>
      <c r="I11" s="385"/>
      <c r="J11" s="385"/>
      <c r="K11" s="385"/>
      <c r="L11" s="385"/>
      <c r="M11" s="385"/>
      <c r="N11" s="385"/>
      <c r="O11" s="385"/>
      <c r="P11" s="385"/>
      <c r="Q11" s="385"/>
      <c r="R11" s="385"/>
      <c r="S11" s="385"/>
      <c r="T11" s="386"/>
    </row>
    <row r="12" spans="1:20" x14ac:dyDescent="0.25">
      <c r="A12" s="387"/>
      <c r="B12" s="388"/>
      <c r="C12" s="388"/>
      <c r="D12" s="388"/>
      <c r="E12" s="388"/>
      <c r="F12" s="388"/>
      <c r="G12" s="388"/>
      <c r="H12" s="388"/>
      <c r="I12" s="388"/>
      <c r="J12" s="388"/>
      <c r="K12" s="388"/>
      <c r="L12" s="388"/>
      <c r="M12" s="388"/>
      <c r="N12" s="388"/>
      <c r="O12" s="388"/>
      <c r="P12" s="388"/>
      <c r="Q12" s="388"/>
      <c r="R12" s="388"/>
      <c r="S12" s="388"/>
      <c r="T12" s="389"/>
    </row>
    <row r="13" spans="1:20" ht="15.75" thickBot="1" x14ac:dyDescent="0.3">
      <c r="A13" s="390"/>
      <c r="B13" s="391"/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2"/>
    </row>
    <row r="14" spans="1:20" x14ac:dyDescent="0.25">
      <c r="A14" s="129"/>
      <c r="B14" s="1"/>
      <c r="C14" s="1"/>
      <c r="D14" s="1"/>
      <c r="E14" s="1"/>
      <c r="F14" s="129"/>
      <c r="G14" s="1"/>
      <c r="H14" s="1"/>
      <c r="I14" s="1"/>
      <c r="J14" s="1"/>
      <c r="K14" s="1"/>
      <c r="L14" s="1"/>
      <c r="M14" s="1"/>
      <c r="N14" s="130"/>
      <c r="O14" s="1"/>
      <c r="P14" s="1"/>
      <c r="Q14" s="1"/>
      <c r="R14" s="1"/>
      <c r="S14" s="1"/>
      <c r="T14" s="130"/>
    </row>
    <row r="15" spans="1:20" x14ac:dyDescent="0.25">
      <c r="A15" s="129"/>
      <c r="B15" s="1"/>
      <c r="C15" s="1"/>
      <c r="D15" s="1"/>
      <c r="E15" s="1"/>
      <c r="F15" s="129"/>
      <c r="G15" s="1"/>
      <c r="H15" s="1"/>
      <c r="I15" s="1"/>
      <c r="J15" s="1"/>
      <c r="K15" s="1"/>
      <c r="L15" s="1"/>
      <c r="M15" s="1"/>
      <c r="N15" s="130"/>
      <c r="O15" s="1"/>
      <c r="P15" s="1"/>
      <c r="Q15" s="1"/>
      <c r="R15" s="1"/>
      <c r="S15" s="1"/>
      <c r="T15" s="130"/>
    </row>
    <row r="16" spans="1:20" x14ac:dyDescent="0.25">
      <c r="A16" s="129"/>
      <c r="B16" s="1"/>
      <c r="C16" s="1"/>
      <c r="D16" s="1"/>
      <c r="E16" s="1"/>
      <c r="F16" s="129"/>
      <c r="G16" s="1"/>
      <c r="H16" s="1"/>
      <c r="I16" s="1"/>
      <c r="J16" s="1"/>
      <c r="K16" s="1"/>
      <c r="L16" s="1"/>
      <c r="M16" s="1"/>
      <c r="N16" s="130"/>
      <c r="O16" s="1"/>
      <c r="P16" s="1"/>
      <c r="Q16" s="1"/>
      <c r="R16" s="1"/>
      <c r="S16" s="1"/>
      <c r="T16" s="130"/>
    </row>
    <row r="17" spans="1:20" x14ac:dyDescent="0.25">
      <c r="A17" s="129"/>
      <c r="B17" s="1"/>
      <c r="C17" s="1"/>
      <c r="D17" s="1"/>
      <c r="E17" s="1"/>
      <c r="F17" s="129"/>
      <c r="G17" s="1"/>
      <c r="H17" s="1"/>
      <c r="I17" s="1"/>
      <c r="J17" s="1"/>
      <c r="K17" s="1"/>
      <c r="L17" s="1"/>
      <c r="M17" s="1"/>
      <c r="N17" s="130"/>
      <c r="O17" s="1"/>
      <c r="P17" s="1"/>
      <c r="Q17" s="1"/>
      <c r="R17" s="1"/>
      <c r="S17" s="1"/>
      <c r="T17" s="130"/>
    </row>
    <row r="18" spans="1:20" x14ac:dyDescent="0.25">
      <c r="A18" s="129"/>
      <c r="B18" s="1"/>
      <c r="C18" s="1"/>
      <c r="D18" s="1"/>
      <c r="E18" s="1"/>
      <c r="F18" s="129"/>
      <c r="G18" s="1"/>
      <c r="H18" s="1"/>
      <c r="I18" s="1"/>
      <c r="J18" s="1"/>
      <c r="K18" s="1"/>
      <c r="L18" s="1"/>
      <c r="M18" s="1"/>
      <c r="N18" s="130"/>
      <c r="O18" s="1"/>
      <c r="P18" s="1"/>
      <c r="Q18" s="1"/>
      <c r="R18" s="1"/>
      <c r="S18" s="1"/>
      <c r="T18" s="130"/>
    </row>
    <row r="19" spans="1:20" x14ac:dyDescent="0.25">
      <c r="A19" s="129"/>
      <c r="B19" s="1"/>
      <c r="C19" s="1"/>
      <c r="D19" s="1"/>
      <c r="E19" s="1"/>
      <c r="F19" s="129"/>
      <c r="G19" s="1"/>
      <c r="H19" s="1"/>
      <c r="I19" s="1"/>
      <c r="J19" s="1"/>
      <c r="K19" s="1"/>
      <c r="L19" s="1"/>
      <c r="M19" s="1"/>
      <c r="N19" s="130"/>
      <c r="O19" s="1"/>
      <c r="P19" s="1"/>
      <c r="Q19" s="1"/>
      <c r="R19" s="1"/>
      <c r="S19" s="1"/>
      <c r="T19" s="130"/>
    </row>
    <row r="20" spans="1:20" x14ac:dyDescent="0.25">
      <c r="A20" s="129"/>
      <c r="B20" s="1"/>
      <c r="C20" s="1"/>
      <c r="D20" s="1"/>
      <c r="E20" s="1"/>
      <c r="F20" s="129"/>
      <c r="G20" s="1"/>
      <c r="H20" s="1"/>
      <c r="I20" s="1"/>
      <c r="J20" s="1"/>
      <c r="K20" s="1"/>
      <c r="L20" s="1"/>
      <c r="M20" s="1"/>
      <c r="N20" s="130"/>
      <c r="O20" s="1"/>
      <c r="P20" s="1"/>
      <c r="Q20" s="1"/>
      <c r="R20" s="1"/>
      <c r="S20" s="1"/>
      <c r="T20" s="130"/>
    </row>
    <row r="21" spans="1:20" x14ac:dyDescent="0.25">
      <c r="A21" s="129"/>
      <c r="B21" s="1"/>
      <c r="C21" s="1"/>
      <c r="D21" s="1"/>
      <c r="E21" s="1"/>
      <c r="F21" s="129"/>
      <c r="G21" s="1"/>
      <c r="H21" s="1"/>
      <c r="I21" s="1"/>
      <c r="J21" s="1"/>
      <c r="K21" s="1"/>
      <c r="L21" s="1"/>
      <c r="M21" s="1"/>
      <c r="N21" s="130"/>
      <c r="O21" s="1"/>
      <c r="P21" s="1"/>
      <c r="Q21" s="1"/>
      <c r="R21" s="1"/>
      <c r="S21" s="1"/>
      <c r="T21" s="130"/>
    </row>
    <row r="22" spans="1:20" x14ac:dyDescent="0.25">
      <c r="A22" s="129"/>
      <c r="B22" s="1"/>
      <c r="C22" s="1"/>
      <c r="D22" s="1"/>
      <c r="E22" s="1"/>
      <c r="F22" s="129"/>
      <c r="G22" s="1"/>
      <c r="H22" s="1"/>
      <c r="I22" s="1"/>
      <c r="J22" s="1"/>
      <c r="K22" s="1"/>
      <c r="L22" s="1"/>
      <c r="M22" s="1"/>
      <c r="N22" s="130"/>
      <c r="O22" s="1"/>
      <c r="P22" s="1"/>
      <c r="Q22" s="1"/>
      <c r="R22" s="1"/>
      <c r="S22" s="1"/>
      <c r="T22" s="130"/>
    </row>
    <row r="23" spans="1:20" x14ac:dyDescent="0.25">
      <c r="A23" s="129"/>
      <c r="B23" s="1"/>
      <c r="C23" s="1"/>
      <c r="D23" s="1"/>
      <c r="E23" s="1"/>
      <c r="F23" s="129"/>
      <c r="G23" s="1"/>
      <c r="H23" s="1"/>
      <c r="I23" s="1"/>
      <c r="J23" s="1"/>
      <c r="K23" s="1"/>
      <c r="L23" s="1"/>
      <c r="M23" s="1"/>
      <c r="N23" s="130"/>
      <c r="O23" s="1"/>
      <c r="P23" s="1"/>
      <c r="Q23" s="1"/>
      <c r="R23" s="1"/>
      <c r="S23" s="1"/>
      <c r="T23" s="130"/>
    </row>
    <row r="24" spans="1:20" x14ac:dyDescent="0.25">
      <c r="A24" s="129"/>
      <c r="B24" s="1"/>
      <c r="C24" s="1"/>
      <c r="D24" s="1"/>
      <c r="E24" s="1"/>
      <c r="F24" s="129"/>
      <c r="G24" s="1"/>
      <c r="H24" s="1"/>
      <c r="I24" s="1"/>
      <c r="J24" s="1"/>
      <c r="K24" s="1"/>
      <c r="L24" s="1"/>
      <c r="M24" s="1"/>
      <c r="N24" s="130"/>
      <c r="O24" s="1"/>
      <c r="P24" s="1"/>
      <c r="Q24" s="1"/>
      <c r="R24" s="1"/>
      <c r="S24" s="1"/>
      <c r="T24" s="130"/>
    </row>
    <row r="25" spans="1:20" x14ac:dyDescent="0.25">
      <c r="A25" s="129"/>
      <c r="B25" s="1"/>
      <c r="C25" s="1"/>
      <c r="D25" s="1"/>
      <c r="E25" s="1"/>
      <c r="F25" s="129"/>
      <c r="G25" s="1"/>
      <c r="H25" s="1"/>
      <c r="I25" s="1"/>
      <c r="J25" s="1"/>
      <c r="K25" s="1"/>
      <c r="L25" s="1"/>
      <c r="M25" s="1"/>
      <c r="N25" s="130"/>
      <c r="O25" s="1"/>
      <c r="P25" s="1"/>
      <c r="Q25" s="1"/>
      <c r="R25" s="1"/>
      <c r="S25" s="1"/>
      <c r="T25" s="130"/>
    </row>
    <row r="26" spans="1:20" x14ac:dyDescent="0.25">
      <c r="A26" s="129"/>
      <c r="B26" s="1"/>
      <c r="C26" s="1"/>
      <c r="D26" s="1"/>
      <c r="E26" s="1"/>
      <c r="F26" s="129"/>
      <c r="G26" s="1"/>
      <c r="H26" s="1"/>
      <c r="I26" s="1"/>
      <c r="J26" s="1"/>
      <c r="K26" s="1"/>
      <c r="L26" s="1"/>
      <c r="M26" s="1"/>
      <c r="N26" s="130"/>
      <c r="O26" s="1"/>
      <c r="P26" s="1"/>
      <c r="Q26" s="1"/>
      <c r="R26" s="1"/>
      <c r="S26" s="1"/>
      <c r="T26" s="130"/>
    </row>
    <row r="27" spans="1:20" x14ac:dyDescent="0.25">
      <c r="A27" s="129"/>
      <c r="B27" s="1"/>
      <c r="C27" s="1"/>
      <c r="D27" s="1"/>
      <c r="E27" s="1"/>
      <c r="F27" s="129"/>
      <c r="G27" s="1"/>
      <c r="H27" s="1"/>
      <c r="I27" s="1"/>
      <c r="J27" s="1"/>
      <c r="K27" s="1"/>
      <c r="L27" s="1"/>
      <c r="M27" s="1"/>
      <c r="N27" s="130"/>
      <c r="O27" s="1"/>
      <c r="P27" s="1"/>
      <c r="Q27" s="1"/>
      <c r="R27" s="1"/>
      <c r="S27" s="1"/>
      <c r="T27" s="130"/>
    </row>
    <row r="28" spans="1:20" x14ac:dyDescent="0.25">
      <c r="A28" s="129"/>
      <c r="B28" s="1"/>
      <c r="C28" s="1"/>
      <c r="D28" s="1"/>
      <c r="E28" s="1"/>
      <c r="F28" s="129"/>
      <c r="G28" s="1"/>
      <c r="H28" s="1"/>
      <c r="I28" s="1"/>
      <c r="J28" s="1"/>
      <c r="K28" s="1"/>
      <c r="L28" s="1"/>
      <c r="M28" s="1"/>
      <c r="N28" s="130"/>
      <c r="O28" s="1"/>
      <c r="P28" s="1"/>
      <c r="Q28" s="1"/>
      <c r="R28" s="1"/>
      <c r="S28" s="1"/>
      <c r="T28" s="130"/>
    </row>
    <row r="29" spans="1:20" ht="15.75" thickBot="1" x14ac:dyDescent="0.3">
      <c r="A29" s="129"/>
      <c r="B29" s="1"/>
      <c r="C29" s="1"/>
      <c r="D29" s="1"/>
      <c r="E29" s="1"/>
      <c r="F29" s="131"/>
      <c r="G29" s="132"/>
      <c r="H29" s="132"/>
      <c r="I29" s="132"/>
      <c r="J29" s="132"/>
      <c r="K29" s="132"/>
      <c r="L29" s="132"/>
      <c r="M29" s="132"/>
      <c r="N29" s="133"/>
      <c r="O29" s="1"/>
      <c r="P29" s="1"/>
      <c r="Q29" s="1"/>
      <c r="R29" s="1"/>
      <c r="S29" s="1"/>
      <c r="T29" s="130"/>
    </row>
    <row r="30" spans="1:20" ht="15.75" thickBot="1" x14ac:dyDescent="0.3">
      <c r="A30" s="131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3"/>
    </row>
    <row r="31" spans="1:20" ht="17.25" thickBot="1" x14ac:dyDescent="0.35">
      <c r="A31" s="134"/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6"/>
    </row>
    <row r="32" spans="1:20" ht="17.25" thickBot="1" x14ac:dyDescent="0.35">
      <c r="A32" s="137"/>
      <c r="B32" s="393" t="s">
        <v>154</v>
      </c>
      <c r="C32" s="393"/>
      <c r="D32" s="62"/>
      <c r="E32" s="138" t="s">
        <v>155</v>
      </c>
      <c r="F32" s="394" t="s">
        <v>156</v>
      </c>
      <c r="G32" s="62"/>
      <c r="H32" s="139" t="s">
        <v>157</v>
      </c>
      <c r="I32" s="140" t="s">
        <v>158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130"/>
    </row>
    <row r="33" spans="1:20" ht="16.5" x14ac:dyDescent="0.3">
      <c r="A33" s="137"/>
      <c r="B33" s="65" t="s">
        <v>155</v>
      </c>
      <c r="C33" s="65">
        <v>0.1</v>
      </c>
      <c r="D33" s="62"/>
      <c r="E33" s="175"/>
      <c r="F33" s="394"/>
      <c r="G33" s="62"/>
      <c r="H33" s="176">
        <v>0</v>
      </c>
      <c r="I33" s="176">
        <f t="shared" ref="I33:I41" si="0">2.5*$C$33*$C$35*$C$37</f>
        <v>0.44000000000000006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130"/>
    </row>
    <row r="34" spans="1:20" ht="17.25" thickBot="1" x14ac:dyDescent="0.35">
      <c r="A34" s="137"/>
      <c r="B34" s="65" t="s">
        <v>159</v>
      </c>
      <c r="C34" s="65">
        <v>0.1</v>
      </c>
      <c r="D34" s="62"/>
      <c r="E34" s="175"/>
      <c r="F34" s="62"/>
      <c r="G34" s="62"/>
      <c r="H34" s="176">
        <v>0.1</v>
      </c>
      <c r="I34" s="176">
        <f t="shared" si="0"/>
        <v>0.44000000000000006</v>
      </c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130"/>
    </row>
    <row r="35" spans="1:20" ht="17.25" thickBot="1" x14ac:dyDescent="0.35">
      <c r="A35" s="137"/>
      <c r="B35" s="65" t="s">
        <v>160</v>
      </c>
      <c r="C35" s="65">
        <v>1.6</v>
      </c>
      <c r="D35" s="62"/>
      <c r="E35" s="138" t="s">
        <v>159</v>
      </c>
      <c r="F35" s="394" t="s">
        <v>161</v>
      </c>
      <c r="G35" s="62"/>
      <c r="H35" s="176">
        <f>C39</f>
        <v>0.14999999999999997</v>
      </c>
      <c r="I35" s="176">
        <f t="shared" si="0"/>
        <v>0.44000000000000006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130"/>
    </row>
    <row r="36" spans="1:20" ht="16.5" x14ac:dyDescent="0.3">
      <c r="A36" s="137"/>
      <c r="B36" s="65" t="s">
        <v>162</v>
      </c>
      <c r="C36" s="65">
        <v>2.4</v>
      </c>
      <c r="D36" s="62"/>
      <c r="E36" s="175"/>
      <c r="F36" s="394"/>
      <c r="G36" s="62"/>
      <c r="H36" s="176">
        <v>0.2</v>
      </c>
      <c r="I36" s="176">
        <f t="shared" si="0"/>
        <v>0.44000000000000006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130"/>
    </row>
    <row r="37" spans="1:20" ht="17.25" thickBot="1" x14ac:dyDescent="0.35">
      <c r="A37" s="137"/>
      <c r="B37" s="65" t="s">
        <v>163</v>
      </c>
      <c r="C37" s="65">
        <v>1.1000000000000001</v>
      </c>
      <c r="D37" s="62"/>
      <c r="E37" s="175"/>
      <c r="F37" s="62"/>
      <c r="G37" s="62"/>
      <c r="H37" s="176">
        <v>0.3</v>
      </c>
      <c r="I37" s="176">
        <f t="shared" si="0"/>
        <v>0.44000000000000006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130"/>
    </row>
    <row r="38" spans="1:20" ht="17.25" thickBot="1" x14ac:dyDescent="0.35">
      <c r="A38" s="137"/>
      <c r="B38" s="62"/>
      <c r="C38" s="62"/>
      <c r="D38" s="62"/>
      <c r="E38" s="138" t="s">
        <v>160</v>
      </c>
      <c r="F38" s="394" t="s">
        <v>164</v>
      </c>
      <c r="G38" s="62"/>
      <c r="H38" s="176">
        <v>0.4</v>
      </c>
      <c r="I38" s="176">
        <f t="shared" si="0"/>
        <v>0.44000000000000006</v>
      </c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130"/>
    </row>
    <row r="39" spans="1:20" ht="16.5" x14ac:dyDescent="0.3">
      <c r="A39" s="137"/>
      <c r="B39" s="142" t="s">
        <v>165</v>
      </c>
      <c r="C39" s="143">
        <f>0.1*((C34*C36)/(C33*C35))</f>
        <v>0.14999999999999997</v>
      </c>
      <c r="D39" s="62"/>
      <c r="E39" s="175"/>
      <c r="F39" s="394"/>
      <c r="G39" s="62"/>
      <c r="H39" s="176">
        <v>0.5</v>
      </c>
      <c r="I39" s="176">
        <f t="shared" si="0"/>
        <v>0.44000000000000006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130"/>
    </row>
    <row r="40" spans="1:20" ht="16.5" x14ac:dyDescent="0.3">
      <c r="A40" s="137"/>
      <c r="B40" s="142" t="s">
        <v>166</v>
      </c>
      <c r="C40" s="143">
        <f>0.48*((C34*C36)/(C33*C35))</f>
        <v>0.71999999999999975</v>
      </c>
      <c r="D40" s="62"/>
      <c r="E40" s="175"/>
      <c r="F40" s="394"/>
      <c r="G40" s="62"/>
      <c r="H40" s="176">
        <v>0.6</v>
      </c>
      <c r="I40" s="176">
        <f t="shared" si="0"/>
        <v>0.44000000000000006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130"/>
    </row>
    <row r="41" spans="1:20" ht="17.25" thickBot="1" x14ac:dyDescent="0.35">
      <c r="A41" s="137"/>
      <c r="B41" s="142" t="s">
        <v>167</v>
      </c>
      <c r="C41" s="143">
        <f>2.4*C36</f>
        <v>5.76</v>
      </c>
      <c r="D41" s="62"/>
      <c r="E41" s="175"/>
      <c r="F41" s="62"/>
      <c r="G41" s="62"/>
      <c r="H41" s="176">
        <v>0.7</v>
      </c>
      <c r="I41" s="176">
        <f t="shared" si="0"/>
        <v>0.44000000000000006</v>
      </c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130"/>
    </row>
    <row r="42" spans="1:20" ht="115.5" thickBot="1" x14ac:dyDescent="0.35">
      <c r="A42" s="137"/>
      <c r="B42" s="62"/>
      <c r="C42" s="62"/>
      <c r="D42" s="62"/>
      <c r="E42" s="138" t="s">
        <v>162</v>
      </c>
      <c r="F42" s="177" t="s">
        <v>168</v>
      </c>
      <c r="G42" s="178"/>
      <c r="H42" s="179">
        <f>C40</f>
        <v>0.71999999999999975</v>
      </c>
      <c r="I42" s="179">
        <f>2.5*$C$33*$C$35*$C$37</f>
        <v>0.44000000000000006</v>
      </c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130"/>
    </row>
    <row r="43" spans="1:20" ht="17.25" thickBot="1" x14ac:dyDescent="0.35">
      <c r="A43" s="137"/>
      <c r="B43" s="62"/>
      <c r="C43" s="62"/>
      <c r="D43" s="62"/>
      <c r="E43" s="175"/>
      <c r="F43" s="180"/>
      <c r="G43" s="62"/>
      <c r="H43" s="176">
        <v>0.8</v>
      </c>
      <c r="I43" s="176">
        <f>(1.2*($C$34*$C$36*$C$37))/(H43)</f>
        <v>0.39600000000000002</v>
      </c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130"/>
    </row>
    <row r="44" spans="1:20" ht="26.25" thickBot="1" x14ac:dyDescent="0.35">
      <c r="A44" s="137"/>
      <c r="B44" s="62"/>
      <c r="C44" s="62"/>
      <c r="D44" s="62"/>
      <c r="E44" s="144" t="s">
        <v>163</v>
      </c>
      <c r="F44" s="177" t="s">
        <v>169</v>
      </c>
      <c r="G44" s="62"/>
      <c r="H44" s="176">
        <v>0.9</v>
      </c>
      <c r="I44" s="176">
        <f t="shared" ref="I44:I55" si="1">(1.2*($C$34*$C$36*$C$37))/(H44)</f>
        <v>0.35200000000000004</v>
      </c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130"/>
    </row>
    <row r="45" spans="1:20" ht="16.5" x14ac:dyDescent="0.3">
      <c r="A45" s="137"/>
      <c r="B45" s="62"/>
      <c r="C45" s="62"/>
      <c r="D45" s="62"/>
      <c r="E45" s="62"/>
      <c r="F45" s="62"/>
      <c r="G45" s="62"/>
      <c r="H45" s="176">
        <v>1</v>
      </c>
      <c r="I45" s="176">
        <f t="shared" si="1"/>
        <v>0.31680000000000003</v>
      </c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130"/>
    </row>
    <row r="46" spans="1:20" ht="16.5" x14ac:dyDescent="0.3">
      <c r="A46" s="137"/>
      <c r="B46" s="62"/>
      <c r="C46" s="62"/>
      <c r="D46" s="62"/>
      <c r="E46" s="62"/>
      <c r="F46" s="62"/>
      <c r="G46" s="62"/>
      <c r="H46" s="176">
        <v>1.5</v>
      </c>
      <c r="I46" s="176">
        <f t="shared" si="1"/>
        <v>0.21120000000000003</v>
      </c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130"/>
    </row>
    <row r="47" spans="1:20" ht="16.5" x14ac:dyDescent="0.3">
      <c r="A47" s="137"/>
      <c r="B47" s="62"/>
      <c r="C47" s="62"/>
      <c r="D47" s="62"/>
      <c r="E47" s="62"/>
      <c r="F47" s="62"/>
      <c r="G47" s="62"/>
      <c r="H47" s="176">
        <v>2</v>
      </c>
      <c r="I47" s="176">
        <f t="shared" si="1"/>
        <v>0.15840000000000001</v>
      </c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130"/>
    </row>
    <row r="48" spans="1:20" ht="16.5" x14ac:dyDescent="0.3">
      <c r="A48" s="137"/>
      <c r="B48" s="62"/>
      <c r="C48" s="62"/>
      <c r="D48" s="62"/>
      <c r="E48" s="62"/>
      <c r="F48" s="62"/>
      <c r="G48" s="62"/>
      <c r="H48" s="176">
        <v>2.5</v>
      </c>
      <c r="I48" s="176">
        <f t="shared" si="1"/>
        <v>0.12672</v>
      </c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130"/>
    </row>
    <row r="49" spans="1:20" ht="16.5" x14ac:dyDescent="0.3">
      <c r="A49" s="137"/>
      <c r="B49" s="62"/>
      <c r="C49" s="62"/>
      <c r="D49" s="62"/>
      <c r="E49" s="62"/>
      <c r="F49" s="62"/>
      <c r="G49" s="62"/>
      <c r="H49" s="176">
        <v>3</v>
      </c>
      <c r="I49" s="176">
        <f t="shared" si="1"/>
        <v>0.10560000000000001</v>
      </c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130"/>
    </row>
    <row r="50" spans="1:20" ht="16.5" x14ac:dyDescent="0.3">
      <c r="A50" s="137"/>
      <c r="B50" s="62"/>
      <c r="C50" s="62"/>
      <c r="D50" s="62"/>
      <c r="E50" s="62"/>
      <c r="F50" s="62"/>
      <c r="G50" s="62"/>
      <c r="H50" s="176">
        <v>3.5</v>
      </c>
      <c r="I50" s="176">
        <f t="shared" si="1"/>
        <v>9.0514285714285728E-2</v>
      </c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130"/>
    </row>
    <row r="51" spans="1:20" ht="16.5" x14ac:dyDescent="0.3">
      <c r="A51" s="137"/>
      <c r="B51" s="62"/>
      <c r="C51" s="62"/>
      <c r="D51" s="62"/>
      <c r="E51" s="62"/>
      <c r="F51" s="62"/>
      <c r="G51" s="62"/>
      <c r="H51" s="176">
        <v>4</v>
      </c>
      <c r="I51" s="176">
        <f t="shared" si="1"/>
        <v>7.9200000000000007E-2</v>
      </c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130"/>
    </row>
    <row r="52" spans="1:20" ht="16.5" x14ac:dyDescent="0.3">
      <c r="A52" s="137"/>
      <c r="B52" s="62"/>
      <c r="C52" s="62"/>
      <c r="D52" s="62"/>
      <c r="E52" s="62"/>
      <c r="F52" s="62"/>
      <c r="G52" s="62"/>
      <c r="H52" s="176">
        <v>4.5</v>
      </c>
      <c r="I52" s="176">
        <f t="shared" si="1"/>
        <v>7.0400000000000004E-2</v>
      </c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130"/>
    </row>
    <row r="53" spans="1:20" ht="16.5" x14ac:dyDescent="0.3">
      <c r="A53" s="137"/>
      <c r="B53" s="62"/>
      <c r="C53" s="62"/>
      <c r="D53" s="62"/>
      <c r="E53" s="62"/>
      <c r="F53" s="62"/>
      <c r="G53" s="62"/>
      <c r="H53" s="176">
        <v>5</v>
      </c>
      <c r="I53" s="176">
        <f t="shared" si="1"/>
        <v>6.336E-2</v>
      </c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130"/>
    </row>
    <row r="54" spans="1:20" ht="16.5" x14ac:dyDescent="0.3">
      <c r="A54" s="137"/>
      <c r="B54" s="62"/>
      <c r="C54" s="62"/>
      <c r="D54" s="62"/>
      <c r="E54" s="62"/>
      <c r="F54" s="62"/>
      <c r="G54" s="62"/>
      <c r="H54" s="176">
        <v>5.5</v>
      </c>
      <c r="I54" s="176">
        <f t="shared" si="1"/>
        <v>5.7600000000000005E-2</v>
      </c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130"/>
    </row>
    <row r="55" spans="1:20" ht="16.5" x14ac:dyDescent="0.3">
      <c r="A55" s="137"/>
      <c r="B55" s="62"/>
      <c r="C55" s="62"/>
      <c r="D55" s="62"/>
      <c r="E55" s="62"/>
      <c r="F55" s="62"/>
      <c r="G55" s="62"/>
      <c r="H55" s="176">
        <f>C41</f>
        <v>5.76</v>
      </c>
      <c r="I55" s="176">
        <f t="shared" si="1"/>
        <v>5.5000000000000007E-2</v>
      </c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130"/>
    </row>
    <row r="56" spans="1:20" ht="16.5" x14ac:dyDescent="0.3">
      <c r="A56" s="137"/>
      <c r="B56" s="62"/>
      <c r="C56" s="62"/>
      <c r="D56" s="62"/>
      <c r="E56" s="62"/>
      <c r="F56" s="62"/>
      <c r="G56" s="62"/>
      <c r="H56" s="181"/>
      <c r="I56" s="18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130"/>
    </row>
    <row r="57" spans="1:20" ht="16.5" x14ac:dyDescent="0.3">
      <c r="A57" s="137"/>
      <c r="B57" s="62"/>
      <c r="C57" s="62"/>
      <c r="D57" s="62"/>
      <c r="E57" s="62"/>
      <c r="F57" s="62"/>
      <c r="G57" s="62"/>
      <c r="H57" s="145">
        <f t="array" ref="H57">H35:I35</f>
        <v>0.14999999999999997</v>
      </c>
      <c r="I57" s="146">
        <v>0</v>
      </c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130"/>
    </row>
    <row r="58" spans="1:20" ht="16.5" x14ac:dyDescent="0.3">
      <c r="A58" s="137"/>
      <c r="B58" s="62"/>
      <c r="C58" s="62"/>
      <c r="D58" s="62"/>
      <c r="E58" s="62"/>
      <c r="F58" s="62"/>
      <c r="G58" s="62"/>
      <c r="H58" s="65">
        <f t="array" ref="H58">H35:I35</f>
        <v>0.14999999999999997</v>
      </c>
      <c r="I58" s="146">
        <f t="shared" ref="I58" si="2">2.5*$C$33*$C$35*$C$37</f>
        <v>0.44000000000000006</v>
      </c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130"/>
    </row>
    <row r="59" spans="1:20" ht="16.5" x14ac:dyDescent="0.3">
      <c r="A59" s="137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130"/>
    </row>
    <row r="60" spans="1:20" ht="16.5" x14ac:dyDescent="0.3">
      <c r="A60" s="137"/>
      <c r="B60" s="62"/>
      <c r="C60" s="62"/>
      <c r="D60" s="62"/>
      <c r="E60" s="62"/>
      <c r="F60" s="62"/>
      <c r="G60" s="62"/>
      <c r="H60" s="65">
        <f t="array" ref="H60">H42</f>
        <v>0.71999999999999975</v>
      </c>
      <c r="I60" s="145">
        <v>0</v>
      </c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130"/>
    </row>
    <row r="61" spans="1:20" ht="16.5" x14ac:dyDescent="0.3">
      <c r="A61" s="137"/>
      <c r="B61" s="62"/>
      <c r="C61" s="62"/>
      <c r="D61" s="62"/>
      <c r="E61" s="62"/>
      <c r="F61" s="62"/>
      <c r="G61" s="62"/>
      <c r="H61" s="65">
        <f t="array" ref="H61">H42</f>
        <v>0.71999999999999975</v>
      </c>
      <c r="I61" s="145">
        <f>I42</f>
        <v>0.44000000000000006</v>
      </c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130"/>
    </row>
    <row r="62" spans="1:20" ht="16.5" x14ac:dyDescent="0.3">
      <c r="A62" s="137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130"/>
    </row>
    <row r="63" spans="1:20" ht="16.5" x14ac:dyDescent="0.3">
      <c r="A63" s="137"/>
      <c r="B63" s="62"/>
      <c r="C63" s="62"/>
      <c r="D63" s="62"/>
      <c r="E63" s="62"/>
      <c r="F63" s="62"/>
      <c r="G63" s="62"/>
      <c r="H63" s="65">
        <f t="array" ref="H63">H55</f>
        <v>5.76</v>
      </c>
      <c r="I63" s="145">
        <v>0</v>
      </c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130"/>
    </row>
    <row r="64" spans="1:20" ht="16.5" x14ac:dyDescent="0.3">
      <c r="A64" s="137"/>
      <c r="B64" s="62"/>
      <c r="C64" s="62"/>
      <c r="D64" s="62"/>
      <c r="E64" s="62"/>
      <c r="F64" s="62"/>
      <c r="G64" s="62"/>
      <c r="H64" s="65">
        <f t="array" ref="H64">H55</f>
        <v>5.76</v>
      </c>
      <c r="I64" s="145">
        <f>I55</f>
        <v>5.5000000000000007E-2</v>
      </c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130"/>
    </row>
    <row r="65" spans="1:20" ht="17.25" thickBot="1" x14ac:dyDescent="0.35">
      <c r="A65" s="147"/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33"/>
    </row>
  </sheetData>
  <mergeCells count="17">
    <mergeCell ref="A11:T13"/>
    <mergeCell ref="B32:C32"/>
    <mergeCell ref="F32:F33"/>
    <mergeCell ref="F35:F36"/>
    <mergeCell ref="F38:F40"/>
    <mergeCell ref="E1:E5"/>
    <mergeCell ref="F1:K1"/>
    <mergeCell ref="L1:L5"/>
    <mergeCell ref="F2:K2"/>
    <mergeCell ref="F3:K5"/>
    <mergeCell ref="H8:L8"/>
    <mergeCell ref="E9:G9"/>
    <mergeCell ref="H9:L9"/>
    <mergeCell ref="E6:L6"/>
    <mergeCell ref="E7:G7"/>
    <mergeCell ref="H7:L7"/>
    <mergeCell ref="E8:G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AD4EA-D5F6-4E7C-8D8D-B25BD278A8E8}">
  <dimension ref="B1:O59"/>
  <sheetViews>
    <sheetView topLeftCell="A16" workbookViewId="0">
      <selection activeCell="D1" sqref="D1:K9"/>
    </sheetView>
  </sheetViews>
  <sheetFormatPr baseColWidth="10" defaultRowHeight="15" x14ac:dyDescent="0.25"/>
  <cols>
    <col min="4" max="4" width="14.7109375" customWidth="1"/>
    <col min="11" max="11" width="16.5703125" customWidth="1"/>
  </cols>
  <sheetData>
    <row r="1" spans="2:15" ht="16.5" x14ac:dyDescent="0.3">
      <c r="B1" s="134"/>
      <c r="C1" s="135"/>
      <c r="D1" s="395"/>
      <c r="E1" s="396" t="s">
        <v>0</v>
      </c>
      <c r="F1" s="397"/>
      <c r="G1" s="397"/>
      <c r="H1" s="397"/>
      <c r="I1" s="397"/>
      <c r="J1" s="398"/>
      <c r="K1" s="364"/>
      <c r="L1" s="135"/>
      <c r="M1" s="135"/>
      <c r="N1" s="135"/>
      <c r="O1" s="155"/>
    </row>
    <row r="2" spans="2:15" ht="16.5" x14ac:dyDescent="0.3">
      <c r="B2" s="137"/>
      <c r="C2" s="62"/>
      <c r="D2" s="271"/>
      <c r="E2" s="309" t="s">
        <v>1</v>
      </c>
      <c r="F2" s="310"/>
      <c r="G2" s="310"/>
      <c r="H2" s="310"/>
      <c r="I2" s="310"/>
      <c r="J2" s="311"/>
      <c r="K2" s="364"/>
      <c r="L2" s="62"/>
      <c r="M2" s="62"/>
      <c r="N2" s="62"/>
      <c r="O2" s="163"/>
    </row>
    <row r="3" spans="2:15" ht="16.5" x14ac:dyDescent="0.3">
      <c r="B3" s="137"/>
      <c r="C3" s="62"/>
      <c r="D3" s="271"/>
      <c r="E3" s="287"/>
      <c r="F3" s="290"/>
      <c r="G3" s="290"/>
      <c r="H3" s="290"/>
      <c r="I3" s="290"/>
      <c r="J3" s="303"/>
      <c r="K3" s="364"/>
      <c r="L3" s="62"/>
      <c r="M3" s="62"/>
      <c r="N3" s="62"/>
      <c r="O3" s="163"/>
    </row>
    <row r="4" spans="2:15" ht="16.5" x14ac:dyDescent="0.3">
      <c r="B4" s="137"/>
      <c r="C4" s="62"/>
      <c r="D4" s="271"/>
      <c r="E4" s="287"/>
      <c r="F4" s="290"/>
      <c r="G4" s="290"/>
      <c r="H4" s="290"/>
      <c r="I4" s="290"/>
      <c r="J4" s="303"/>
      <c r="K4" s="364"/>
      <c r="L4" s="62"/>
      <c r="M4" s="62"/>
      <c r="N4" s="62"/>
      <c r="O4" s="163"/>
    </row>
    <row r="5" spans="2:15" ht="16.5" x14ac:dyDescent="0.3">
      <c r="B5" s="137"/>
      <c r="C5" s="62"/>
      <c r="D5" s="272"/>
      <c r="E5" s="288"/>
      <c r="F5" s="304"/>
      <c r="G5" s="304"/>
      <c r="H5" s="304"/>
      <c r="I5" s="304"/>
      <c r="J5" s="305"/>
      <c r="K5" s="364"/>
      <c r="L5" s="62"/>
      <c r="M5" s="62"/>
      <c r="N5" s="62"/>
      <c r="O5" s="163"/>
    </row>
    <row r="6" spans="2:15" ht="16.5" x14ac:dyDescent="0.3">
      <c r="B6" s="137"/>
      <c r="C6" s="62"/>
      <c r="D6" s="324" t="s">
        <v>15</v>
      </c>
      <c r="E6" s="324"/>
      <c r="F6" s="324"/>
      <c r="G6" s="324"/>
      <c r="H6" s="324"/>
      <c r="I6" s="324"/>
      <c r="J6" s="324"/>
      <c r="K6" s="324"/>
      <c r="L6" s="62"/>
      <c r="M6" s="62"/>
      <c r="N6" s="62"/>
      <c r="O6" s="163"/>
    </row>
    <row r="7" spans="2:15" ht="16.5" x14ac:dyDescent="0.3">
      <c r="B7" s="137"/>
      <c r="C7" s="62"/>
      <c r="D7" s="297" t="s">
        <v>2</v>
      </c>
      <c r="E7" s="297"/>
      <c r="F7" s="297"/>
      <c r="G7" s="364" t="s">
        <v>3</v>
      </c>
      <c r="H7" s="364"/>
      <c r="I7" s="364"/>
      <c r="J7" s="364"/>
      <c r="K7" s="364"/>
      <c r="L7" s="62"/>
      <c r="M7" s="62"/>
      <c r="N7" s="62"/>
      <c r="O7" s="163"/>
    </row>
    <row r="8" spans="2:15" ht="16.5" x14ac:dyDescent="0.3">
      <c r="B8" s="137"/>
      <c r="C8" s="62"/>
      <c r="D8" s="297" t="s">
        <v>4</v>
      </c>
      <c r="E8" s="297"/>
      <c r="F8" s="297"/>
      <c r="G8" s="364">
        <v>3142506648</v>
      </c>
      <c r="H8" s="364"/>
      <c r="I8" s="364"/>
      <c r="J8" s="364"/>
      <c r="K8" s="364"/>
      <c r="L8" s="62"/>
      <c r="M8" s="62"/>
      <c r="N8" s="62"/>
      <c r="O8" s="163"/>
    </row>
    <row r="9" spans="2:15" ht="16.5" x14ac:dyDescent="0.3">
      <c r="B9" s="137"/>
      <c r="C9" s="62"/>
      <c r="D9" s="297" t="s">
        <v>5</v>
      </c>
      <c r="E9" s="297"/>
      <c r="F9" s="297"/>
      <c r="G9" s="364" t="s">
        <v>213</v>
      </c>
      <c r="H9" s="364"/>
      <c r="I9" s="364"/>
      <c r="J9" s="364"/>
      <c r="K9" s="364"/>
      <c r="L9" s="62"/>
      <c r="M9" s="62"/>
      <c r="N9" s="62"/>
      <c r="O9" s="163"/>
    </row>
    <row r="10" spans="2:15" ht="6.75" customHeight="1" x14ac:dyDescent="0.3">
      <c r="B10" s="137"/>
      <c r="C10" s="62"/>
      <c r="D10" s="47"/>
      <c r="E10" s="47"/>
      <c r="F10" s="47"/>
      <c r="G10" s="46"/>
      <c r="H10" s="46"/>
      <c r="I10" s="46"/>
      <c r="J10" s="46"/>
      <c r="K10" s="46"/>
      <c r="L10" s="62"/>
      <c r="M10" s="62"/>
      <c r="N10" s="62"/>
      <c r="O10" s="163"/>
    </row>
    <row r="11" spans="2:15" ht="18" x14ac:dyDescent="0.25">
      <c r="B11" s="405" t="s">
        <v>171</v>
      </c>
      <c r="C11" s="406"/>
      <c r="D11" s="406"/>
      <c r="E11" s="406"/>
      <c r="F11" s="406"/>
      <c r="G11" s="406"/>
      <c r="H11" s="406"/>
      <c r="I11" s="406"/>
      <c r="J11" s="406"/>
      <c r="K11" s="406"/>
      <c r="L11" s="406"/>
      <c r="M11" s="406"/>
      <c r="N11" s="406"/>
      <c r="O11" s="407"/>
    </row>
    <row r="12" spans="2:15" ht="6.75" customHeight="1" thickBot="1" x14ac:dyDescent="0.35">
      <c r="B12" s="147"/>
      <c r="C12" s="408"/>
      <c r="D12" s="408"/>
      <c r="E12" s="408"/>
      <c r="F12" s="408"/>
      <c r="G12" s="408"/>
      <c r="H12" s="148"/>
      <c r="I12" s="148"/>
      <c r="J12" s="148"/>
      <c r="K12" s="148"/>
      <c r="L12" s="148"/>
      <c r="M12" s="148"/>
      <c r="N12" s="148"/>
      <c r="O12" s="164"/>
    </row>
    <row r="13" spans="2:15" ht="17.25" thickBot="1" x14ac:dyDescent="0.35">
      <c r="B13" s="409" t="s">
        <v>172</v>
      </c>
      <c r="C13" s="410"/>
      <c r="D13" s="410"/>
      <c r="E13" s="410"/>
      <c r="F13" s="411"/>
      <c r="G13" s="149" t="s">
        <v>173</v>
      </c>
      <c r="H13" s="150">
        <f>H15*H17*H19*H23*H29*H37*H44</f>
        <v>0.9</v>
      </c>
      <c r="I13" s="409" t="s">
        <v>174</v>
      </c>
      <c r="J13" s="410"/>
      <c r="K13" s="410"/>
      <c r="L13" s="410"/>
      <c r="M13" s="411"/>
      <c r="N13" s="151" t="s">
        <v>173</v>
      </c>
      <c r="O13" s="152">
        <f>O15*O17*O19*O23*O37*O42</f>
        <v>1</v>
      </c>
    </row>
    <row r="14" spans="2:15" ht="16.5" x14ac:dyDescent="0.3">
      <c r="B14" s="134"/>
      <c r="C14" s="135"/>
      <c r="D14" s="135"/>
      <c r="E14" s="135"/>
      <c r="F14" s="135"/>
      <c r="G14" s="153"/>
      <c r="H14" s="154"/>
      <c r="I14" s="134"/>
      <c r="J14" s="135"/>
      <c r="K14" s="135"/>
      <c r="L14" s="135"/>
      <c r="M14" s="135"/>
      <c r="N14" s="135"/>
      <c r="O14" s="155"/>
    </row>
    <row r="15" spans="2:15" ht="16.5" x14ac:dyDescent="0.3">
      <c r="B15" s="137"/>
      <c r="C15" s="3"/>
      <c r="D15" s="3"/>
      <c r="E15" s="3"/>
      <c r="F15" s="3"/>
      <c r="G15" s="68" t="s">
        <v>175</v>
      </c>
      <c r="H15" s="156">
        <v>1</v>
      </c>
      <c r="I15" s="137"/>
      <c r="J15" s="3"/>
      <c r="K15" s="3"/>
      <c r="L15" s="3"/>
      <c r="M15" s="3"/>
      <c r="N15" s="68" t="s">
        <v>176</v>
      </c>
      <c r="O15" s="157">
        <v>1</v>
      </c>
    </row>
    <row r="16" spans="2:15" ht="16.5" x14ac:dyDescent="0.3">
      <c r="B16" s="137"/>
      <c r="C16" s="3"/>
      <c r="D16" s="3"/>
      <c r="E16" s="3"/>
      <c r="F16" s="3"/>
      <c r="G16" s="68"/>
      <c r="H16" s="64"/>
      <c r="I16" s="137"/>
      <c r="J16" s="3"/>
      <c r="K16" s="3"/>
      <c r="L16" s="3"/>
      <c r="M16" s="3"/>
      <c r="N16" s="68"/>
      <c r="O16" s="158"/>
    </row>
    <row r="17" spans="2:15" ht="16.5" x14ac:dyDescent="0.3">
      <c r="B17" s="137"/>
      <c r="C17" s="3"/>
      <c r="D17" s="3"/>
      <c r="E17" s="3"/>
      <c r="F17" s="3"/>
      <c r="G17" s="68" t="s">
        <v>177</v>
      </c>
      <c r="H17" s="156">
        <v>1</v>
      </c>
      <c r="I17" s="137"/>
      <c r="J17" s="3"/>
      <c r="K17" s="3"/>
      <c r="L17" s="3"/>
      <c r="M17" s="3"/>
      <c r="N17" s="68" t="s">
        <v>178</v>
      </c>
      <c r="O17" s="157">
        <v>1</v>
      </c>
    </row>
    <row r="18" spans="2:15" ht="16.5" x14ac:dyDescent="0.3">
      <c r="B18" s="137"/>
      <c r="C18" s="3"/>
      <c r="D18" s="3"/>
      <c r="E18" s="3"/>
      <c r="F18" s="3"/>
      <c r="G18" s="68"/>
      <c r="H18" s="64"/>
      <c r="I18" s="137"/>
      <c r="J18" s="3"/>
      <c r="K18" s="3"/>
      <c r="L18" s="3"/>
      <c r="M18" s="3"/>
      <c r="N18" s="68"/>
      <c r="O18" s="158"/>
    </row>
    <row r="19" spans="2:15" ht="17.25" thickBot="1" x14ac:dyDescent="0.35">
      <c r="B19" s="137"/>
      <c r="C19" s="3"/>
      <c r="D19" s="3"/>
      <c r="E19" s="3"/>
      <c r="F19" s="3"/>
      <c r="G19" s="68" t="s">
        <v>179</v>
      </c>
      <c r="H19" s="156">
        <v>1</v>
      </c>
      <c r="I19" s="147"/>
      <c r="J19" s="148"/>
      <c r="K19" s="148"/>
      <c r="L19" s="148"/>
      <c r="M19" s="148"/>
      <c r="N19" s="159" t="s">
        <v>180</v>
      </c>
      <c r="O19" s="160">
        <v>1</v>
      </c>
    </row>
    <row r="20" spans="2:15" ht="16.5" x14ac:dyDescent="0.3">
      <c r="B20" s="134"/>
      <c r="C20" s="135"/>
      <c r="D20" s="135"/>
      <c r="E20" s="135"/>
      <c r="F20" s="135"/>
      <c r="G20" s="153"/>
      <c r="H20" s="161"/>
      <c r="I20" s="134"/>
      <c r="J20" s="135"/>
      <c r="K20" s="135"/>
      <c r="L20" s="135"/>
      <c r="M20" s="135"/>
      <c r="N20" s="135"/>
      <c r="O20" s="161"/>
    </row>
    <row r="21" spans="2:15" ht="16.5" x14ac:dyDescent="0.3">
      <c r="B21" s="137"/>
      <c r="C21" s="3"/>
      <c r="D21" s="3"/>
      <c r="E21" s="3"/>
      <c r="F21" s="3"/>
      <c r="G21" s="68"/>
      <c r="H21" s="158"/>
      <c r="I21" s="137"/>
      <c r="J21" s="3"/>
      <c r="K21" s="3"/>
      <c r="L21" s="3"/>
      <c r="M21" s="3"/>
      <c r="N21" s="3"/>
      <c r="O21" s="158"/>
    </row>
    <row r="22" spans="2:15" ht="16.5" x14ac:dyDescent="0.3">
      <c r="B22" s="137"/>
      <c r="C22" s="3"/>
      <c r="D22" s="3"/>
      <c r="E22" s="3"/>
      <c r="F22" s="3"/>
      <c r="G22" s="68"/>
      <c r="H22" s="158"/>
      <c r="I22" s="137"/>
      <c r="J22" s="3"/>
      <c r="K22" s="3"/>
      <c r="L22" s="3"/>
      <c r="M22" s="3"/>
      <c r="N22" s="3"/>
      <c r="O22" s="158"/>
    </row>
    <row r="23" spans="2:15" ht="16.5" x14ac:dyDescent="0.3">
      <c r="B23" s="137"/>
      <c r="C23" s="3"/>
      <c r="D23" s="3"/>
      <c r="E23" s="3"/>
      <c r="F23" s="3"/>
      <c r="G23" s="68" t="s">
        <v>181</v>
      </c>
      <c r="H23" s="157">
        <v>0.9</v>
      </c>
      <c r="I23" s="137"/>
      <c r="J23" s="3"/>
      <c r="K23" s="3"/>
      <c r="L23" s="3"/>
      <c r="M23" s="3"/>
      <c r="N23" s="68" t="s">
        <v>182</v>
      </c>
      <c r="O23" s="157">
        <v>1</v>
      </c>
    </row>
    <row r="24" spans="2:15" ht="16.5" x14ac:dyDescent="0.3">
      <c r="B24" s="137"/>
      <c r="C24" s="3"/>
      <c r="D24" s="3"/>
      <c r="E24" s="3"/>
      <c r="F24" s="3"/>
      <c r="G24" s="68"/>
      <c r="H24" s="158" t="s">
        <v>119</v>
      </c>
      <c r="I24" s="137"/>
      <c r="J24" s="3"/>
      <c r="K24" s="3"/>
      <c r="L24" s="3"/>
      <c r="M24" s="3"/>
      <c r="N24" s="68"/>
      <c r="O24" s="158"/>
    </row>
    <row r="25" spans="2:15" ht="16.5" x14ac:dyDescent="0.3">
      <c r="B25" s="137"/>
      <c r="C25" s="3"/>
      <c r="D25" s="3"/>
      <c r="E25" s="3"/>
      <c r="F25" s="3"/>
      <c r="G25" s="68"/>
      <c r="H25" s="158"/>
      <c r="I25" s="137"/>
      <c r="J25" s="3"/>
      <c r="K25" s="3"/>
      <c r="L25" s="3"/>
      <c r="M25" s="3"/>
      <c r="N25" s="68"/>
      <c r="O25" s="158"/>
    </row>
    <row r="26" spans="2:15" ht="17.25" thickBot="1" x14ac:dyDescent="0.35">
      <c r="B26" s="137"/>
      <c r="C26" s="3"/>
      <c r="D26" s="3"/>
      <c r="E26" s="3"/>
      <c r="F26" s="3"/>
      <c r="G26" s="68"/>
      <c r="H26" s="158"/>
      <c r="I26" s="147"/>
      <c r="J26" s="148"/>
      <c r="K26" s="148"/>
      <c r="L26" s="148"/>
      <c r="M26" s="148"/>
      <c r="N26" s="159"/>
      <c r="O26" s="162"/>
    </row>
    <row r="27" spans="2:15" ht="16.5" x14ac:dyDescent="0.3">
      <c r="B27" s="134"/>
      <c r="C27" s="135"/>
      <c r="D27" s="135"/>
      <c r="E27" s="135"/>
      <c r="F27" s="135"/>
      <c r="G27" s="153"/>
      <c r="H27" s="161"/>
      <c r="I27" s="134"/>
      <c r="J27" s="135"/>
      <c r="K27" s="135"/>
      <c r="L27" s="135"/>
      <c r="M27" s="135"/>
      <c r="N27" s="153"/>
      <c r="O27" s="161"/>
    </row>
    <row r="28" spans="2:15" ht="16.5" x14ac:dyDescent="0.3">
      <c r="B28" s="137"/>
      <c r="C28" s="3"/>
      <c r="D28" s="3"/>
      <c r="E28" s="3"/>
      <c r="F28" s="3"/>
      <c r="G28" s="68"/>
      <c r="H28" s="158"/>
      <c r="I28" s="137"/>
      <c r="J28" s="3"/>
      <c r="K28" s="3"/>
      <c r="L28" s="3"/>
      <c r="M28" s="3"/>
      <c r="N28" s="68"/>
      <c r="O28" s="158"/>
    </row>
    <row r="29" spans="2:15" ht="16.5" x14ac:dyDescent="0.3">
      <c r="B29" s="137"/>
      <c r="C29" s="3"/>
      <c r="D29" s="3"/>
      <c r="E29" s="3"/>
      <c r="F29" s="3"/>
      <c r="G29" s="68" t="s">
        <v>183</v>
      </c>
      <c r="H29" s="157">
        <v>1</v>
      </c>
      <c r="I29" s="137"/>
      <c r="J29" s="3"/>
      <c r="K29" s="3"/>
      <c r="L29" s="3"/>
      <c r="M29" s="3"/>
      <c r="N29" s="68"/>
      <c r="O29" s="158"/>
    </row>
    <row r="30" spans="2:15" ht="16.5" x14ac:dyDescent="0.3">
      <c r="B30" s="137"/>
      <c r="C30" s="3"/>
      <c r="D30" s="3"/>
      <c r="E30" s="3"/>
      <c r="F30" s="3"/>
      <c r="G30" s="68"/>
      <c r="H30" s="163"/>
      <c r="I30" s="137"/>
      <c r="J30" s="3"/>
      <c r="K30" s="3"/>
      <c r="L30" s="3"/>
      <c r="M30" s="3"/>
      <c r="N30" s="68" t="s">
        <v>184</v>
      </c>
      <c r="O30" s="157">
        <v>1</v>
      </c>
    </row>
    <row r="31" spans="2:15" ht="16.5" x14ac:dyDescent="0.3">
      <c r="B31" s="137"/>
      <c r="C31" s="3"/>
      <c r="D31" s="3"/>
      <c r="E31" s="3"/>
      <c r="F31" s="3"/>
      <c r="G31" s="3"/>
      <c r="H31" s="163"/>
      <c r="I31" s="137"/>
      <c r="J31" s="3"/>
      <c r="K31" s="3"/>
      <c r="L31" s="3"/>
      <c r="M31" s="3"/>
      <c r="N31" s="68"/>
      <c r="O31" s="158"/>
    </row>
    <row r="32" spans="2:15" ht="16.5" x14ac:dyDescent="0.3">
      <c r="B32" s="137"/>
      <c r="C32" s="3"/>
      <c r="D32" s="3"/>
      <c r="E32" s="3"/>
      <c r="F32" s="3"/>
      <c r="G32" s="3"/>
      <c r="H32" s="163"/>
      <c r="I32" s="137"/>
      <c r="J32" s="3"/>
      <c r="K32" s="3"/>
      <c r="L32" s="3"/>
      <c r="M32" s="3"/>
      <c r="N32" s="68"/>
      <c r="O32" s="158"/>
    </row>
    <row r="33" spans="2:15" ht="17.25" thickBot="1" x14ac:dyDescent="0.35">
      <c r="B33" s="137"/>
      <c r="C33" s="3"/>
      <c r="D33" s="3"/>
      <c r="E33" s="3"/>
      <c r="F33" s="3"/>
      <c r="G33" s="3"/>
      <c r="H33" s="163"/>
      <c r="I33" s="147"/>
      <c r="J33" s="148"/>
      <c r="K33" s="148"/>
      <c r="L33" s="148"/>
      <c r="M33" s="148"/>
      <c r="N33" s="159"/>
      <c r="O33" s="162"/>
    </row>
    <row r="34" spans="2:15" ht="16.5" x14ac:dyDescent="0.3">
      <c r="B34" s="134"/>
      <c r="C34" s="135"/>
      <c r="D34" s="135"/>
      <c r="E34" s="135"/>
      <c r="F34" s="135"/>
      <c r="G34" s="135"/>
      <c r="H34" s="155"/>
      <c r="I34" s="135"/>
      <c r="J34" s="135"/>
      <c r="K34" s="135"/>
      <c r="L34" s="135"/>
      <c r="M34" s="135"/>
      <c r="N34" s="153"/>
      <c r="O34" s="161"/>
    </row>
    <row r="35" spans="2:15" ht="16.5" x14ac:dyDescent="0.3">
      <c r="B35" s="137"/>
      <c r="C35" s="62"/>
      <c r="D35" s="62"/>
      <c r="E35" s="62"/>
      <c r="F35" s="62"/>
      <c r="G35" s="172"/>
      <c r="H35" s="158"/>
      <c r="I35" s="3"/>
      <c r="J35" s="3"/>
      <c r="K35" s="3"/>
      <c r="L35" s="3"/>
      <c r="M35" s="3"/>
      <c r="N35" s="68"/>
      <c r="O35" s="158"/>
    </row>
    <row r="36" spans="2:15" ht="16.5" x14ac:dyDescent="0.3">
      <c r="B36" s="137"/>
      <c r="C36" s="62"/>
      <c r="D36" s="62"/>
      <c r="E36" s="62"/>
      <c r="F36" s="62"/>
      <c r="G36" s="62"/>
      <c r="H36" s="163"/>
      <c r="I36" s="62"/>
      <c r="J36" s="3"/>
      <c r="K36" s="3"/>
      <c r="L36" s="3"/>
      <c r="M36" s="3"/>
      <c r="N36" s="68"/>
      <c r="O36" s="158"/>
    </row>
    <row r="37" spans="2:15" ht="16.5" x14ac:dyDescent="0.3">
      <c r="B37" s="137"/>
      <c r="C37" s="62"/>
      <c r="D37" s="62"/>
      <c r="E37" s="62"/>
      <c r="F37" s="62"/>
      <c r="G37" s="172" t="s">
        <v>185</v>
      </c>
      <c r="H37" s="157">
        <v>1</v>
      </c>
      <c r="I37" s="62"/>
      <c r="J37" s="3"/>
      <c r="K37" s="3"/>
      <c r="L37" s="3"/>
      <c r="M37" s="3"/>
      <c r="N37" s="68" t="s">
        <v>186</v>
      </c>
      <c r="O37" s="157">
        <v>1</v>
      </c>
    </row>
    <row r="38" spans="2:15" ht="16.5" x14ac:dyDescent="0.3">
      <c r="B38" s="137"/>
      <c r="C38" s="62"/>
      <c r="D38" s="62"/>
      <c r="E38" s="62"/>
      <c r="F38" s="62"/>
      <c r="G38" s="62"/>
      <c r="H38" s="163"/>
      <c r="I38" s="62"/>
      <c r="J38" s="3"/>
      <c r="K38" s="3"/>
      <c r="L38" s="3"/>
      <c r="M38" s="3"/>
      <c r="N38" s="68"/>
      <c r="O38" s="158"/>
    </row>
    <row r="39" spans="2:15" ht="16.5" x14ac:dyDescent="0.3">
      <c r="B39" s="137"/>
      <c r="C39" s="62"/>
      <c r="D39" s="62"/>
      <c r="E39" s="62"/>
      <c r="F39" s="62"/>
      <c r="G39" s="172"/>
      <c r="H39" s="158"/>
      <c r="I39" s="62"/>
      <c r="J39" s="3"/>
      <c r="K39" s="3"/>
      <c r="L39" s="3"/>
      <c r="M39" s="3"/>
      <c r="N39" s="68"/>
      <c r="O39" s="158"/>
    </row>
    <row r="40" spans="2:15" ht="17.25" thickBot="1" x14ac:dyDescent="0.35">
      <c r="B40" s="147"/>
      <c r="C40" s="148"/>
      <c r="D40" s="148"/>
      <c r="E40" s="148"/>
      <c r="F40" s="148"/>
      <c r="G40" s="148"/>
      <c r="H40" s="164"/>
      <c r="I40" s="148"/>
      <c r="J40" s="148"/>
      <c r="K40" s="148"/>
      <c r="L40" s="148"/>
      <c r="M40" s="148"/>
      <c r="N40" s="159"/>
      <c r="O40" s="162"/>
    </row>
    <row r="41" spans="2:15" ht="16.5" x14ac:dyDescent="0.3">
      <c r="B41" s="165"/>
      <c r="C41" s="154"/>
      <c r="D41" s="153"/>
      <c r="E41" s="153"/>
      <c r="F41" s="154"/>
      <c r="G41" s="135"/>
      <c r="H41" s="155"/>
      <c r="I41" s="135"/>
      <c r="J41" s="135"/>
      <c r="K41" s="135"/>
      <c r="L41" s="135"/>
      <c r="M41" s="135"/>
      <c r="N41" s="153"/>
      <c r="O41" s="161"/>
    </row>
    <row r="42" spans="2:15" ht="16.5" x14ac:dyDescent="0.3">
      <c r="B42" s="137"/>
      <c r="C42" s="62"/>
      <c r="D42" s="62"/>
      <c r="E42" s="62"/>
      <c r="F42" s="62"/>
      <c r="G42" s="62"/>
      <c r="H42" s="163"/>
      <c r="I42" s="3"/>
      <c r="J42" s="3"/>
      <c r="K42" s="3"/>
      <c r="L42" s="3"/>
      <c r="M42" s="3"/>
      <c r="N42" s="68" t="s">
        <v>187</v>
      </c>
      <c r="O42" s="157">
        <f>1</f>
        <v>1</v>
      </c>
    </row>
    <row r="43" spans="2:15" ht="16.5" x14ac:dyDescent="0.3">
      <c r="B43" s="137"/>
      <c r="C43" s="62"/>
      <c r="D43" s="62"/>
      <c r="E43" s="62"/>
      <c r="F43" s="62"/>
      <c r="G43" s="62"/>
      <c r="H43" s="163"/>
      <c r="I43" s="3"/>
      <c r="J43" s="3"/>
      <c r="K43" s="3"/>
      <c r="L43" s="3"/>
      <c r="M43" s="3"/>
      <c r="N43" s="3"/>
      <c r="O43" s="158"/>
    </row>
    <row r="44" spans="2:15" ht="16.5" x14ac:dyDescent="0.3">
      <c r="B44" s="137"/>
      <c r="C44" s="62"/>
      <c r="D44" s="62"/>
      <c r="E44" s="62"/>
      <c r="F44" s="62"/>
      <c r="G44" s="172" t="s">
        <v>188</v>
      </c>
      <c r="H44" s="157">
        <v>1</v>
      </c>
      <c r="I44" s="3"/>
      <c r="J44" s="3"/>
      <c r="K44" s="3"/>
      <c r="L44" s="3"/>
      <c r="M44" s="3"/>
      <c r="N44" s="3"/>
      <c r="O44" s="158"/>
    </row>
    <row r="45" spans="2:15" ht="16.5" x14ac:dyDescent="0.3">
      <c r="B45" s="137"/>
      <c r="C45" s="62"/>
      <c r="D45" s="62"/>
      <c r="E45" s="62"/>
      <c r="F45" s="62"/>
      <c r="G45" s="62"/>
      <c r="H45" s="163"/>
      <c r="I45" s="3"/>
      <c r="J45" s="3"/>
      <c r="K45" s="3"/>
      <c r="L45" s="3"/>
      <c r="M45" s="3"/>
      <c r="N45" s="68" t="s">
        <v>189</v>
      </c>
      <c r="O45" s="157">
        <f>1</f>
        <v>1</v>
      </c>
    </row>
    <row r="46" spans="2:15" ht="16.5" x14ac:dyDescent="0.3">
      <c r="B46" s="137"/>
      <c r="C46" s="62"/>
      <c r="D46" s="62"/>
      <c r="E46" s="62"/>
      <c r="F46" s="62"/>
      <c r="G46" s="62"/>
      <c r="H46" s="163"/>
      <c r="I46" s="3"/>
      <c r="J46" s="3"/>
      <c r="K46" s="3"/>
      <c r="L46" s="3"/>
      <c r="M46" s="3"/>
      <c r="N46" s="3"/>
      <c r="O46" s="163"/>
    </row>
    <row r="47" spans="2:15" ht="17.25" thickBot="1" x14ac:dyDescent="0.35">
      <c r="B47" s="147"/>
      <c r="C47" s="148"/>
      <c r="D47" s="148"/>
      <c r="E47" s="148"/>
      <c r="F47" s="148"/>
      <c r="G47" s="148"/>
      <c r="H47" s="164"/>
      <c r="I47" s="3"/>
      <c r="J47" s="3"/>
      <c r="K47" s="3"/>
      <c r="L47" s="3"/>
      <c r="M47" s="3"/>
      <c r="N47" s="3"/>
      <c r="O47" s="163"/>
    </row>
    <row r="48" spans="2:15" ht="16.5" x14ac:dyDescent="0.3">
      <c r="B48" s="412" t="s">
        <v>190</v>
      </c>
      <c r="C48" s="413"/>
      <c r="D48" s="413"/>
      <c r="E48" s="413"/>
      <c r="F48" s="413"/>
      <c r="G48" s="413"/>
      <c r="H48" s="413"/>
      <c r="I48" s="416" t="s">
        <v>191</v>
      </c>
      <c r="J48" s="416"/>
      <c r="K48" s="416"/>
      <c r="L48" s="416"/>
      <c r="M48" s="416"/>
      <c r="N48" s="416"/>
      <c r="O48" s="417"/>
    </row>
    <row r="49" spans="2:15" ht="16.5" x14ac:dyDescent="0.3">
      <c r="B49" s="414"/>
      <c r="C49" s="415"/>
      <c r="D49" s="415"/>
      <c r="E49" s="415"/>
      <c r="F49" s="415"/>
      <c r="G49" s="415"/>
      <c r="H49" s="415"/>
      <c r="I49" s="3"/>
      <c r="J49" s="3"/>
      <c r="K49" s="3"/>
      <c r="L49" s="3"/>
      <c r="M49" s="3"/>
      <c r="N49" s="3"/>
      <c r="O49" s="163"/>
    </row>
    <row r="50" spans="2:15" ht="16.5" x14ac:dyDescent="0.3">
      <c r="B50" s="137"/>
      <c r="C50" s="3"/>
      <c r="D50" s="3"/>
      <c r="E50" s="3"/>
      <c r="F50" s="3"/>
      <c r="G50" s="3"/>
      <c r="H50" s="3"/>
      <c r="I50" s="3"/>
      <c r="J50" s="399" t="s">
        <v>192</v>
      </c>
      <c r="K50" s="399"/>
      <c r="L50" s="166" t="s">
        <v>193</v>
      </c>
      <c r="M50" s="166" t="s">
        <v>194</v>
      </c>
      <c r="N50" s="166" t="s">
        <v>195</v>
      </c>
      <c r="O50" s="163"/>
    </row>
    <row r="51" spans="2:15" ht="16.5" x14ac:dyDescent="0.3">
      <c r="B51" s="167" t="s">
        <v>196</v>
      </c>
      <c r="C51" s="168">
        <v>1</v>
      </c>
      <c r="D51" s="3"/>
      <c r="E51" s="3"/>
      <c r="F51" s="3"/>
      <c r="G51" s="3"/>
      <c r="H51" s="3"/>
      <c r="I51" s="3"/>
      <c r="J51" s="365" t="s">
        <v>197</v>
      </c>
      <c r="K51" s="365"/>
      <c r="L51" s="66" t="s">
        <v>198</v>
      </c>
      <c r="M51" s="65" t="s">
        <v>199</v>
      </c>
      <c r="N51" s="66">
        <v>196</v>
      </c>
      <c r="O51" s="163"/>
    </row>
    <row r="52" spans="2:15" ht="16.5" x14ac:dyDescent="0.3">
      <c r="B52" s="137"/>
      <c r="C52" s="3"/>
      <c r="D52" s="3"/>
      <c r="E52" s="3"/>
      <c r="F52" s="3"/>
      <c r="G52" s="3"/>
      <c r="H52" s="3"/>
      <c r="I52" s="3"/>
      <c r="J52" s="400" t="s">
        <v>200</v>
      </c>
      <c r="K52" s="400"/>
      <c r="L52" s="169" t="s">
        <v>201</v>
      </c>
      <c r="M52" s="170" t="s">
        <v>202</v>
      </c>
      <c r="N52" s="169" t="s">
        <v>203</v>
      </c>
      <c r="O52" s="163"/>
    </row>
    <row r="53" spans="2:15" ht="16.5" x14ac:dyDescent="0.3">
      <c r="B53" s="137"/>
      <c r="C53" s="3"/>
      <c r="D53" s="3"/>
      <c r="E53" s="3"/>
      <c r="F53" s="3"/>
      <c r="G53" s="3"/>
      <c r="H53" s="3"/>
      <c r="I53" s="3"/>
      <c r="J53" s="365" t="s">
        <v>204</v>
      </c>
      <c r="K53" s="365"/>
      <c r="L53" s="66" t="s">
        <v>205</v>
      </c>
      <c r="M53" s="65" t="s">
        <v>206</v>
      </c>
      <c r="N53" s="66">
        <v>199</v>
      </c>
      <c r="O53" s="163"/>
    </row>
    <row r="54" spans="2:15" ht="16.5" x14ac:dyDescent="0.3">
      <c r="B54" s="137"/>
      <c r="C54" s="3"/>
      <c r="D54" s="3"/>
      <c r="E54" s="3"/>
      <c r="F54" s="3"/>
      <c r="G54" s="3"/>
      <c r="H54" s="3"/>
      <c r="I54" s="3"/>
      <c r="J54" s="365" t="s">
        <v>207</v>
      </c>
      <c r="K54" s="365"/>
      <c r="L54" s="66" t="s">
        <v>208</v>
      </c>
      <c r="M54" s="65" t="s">
        <v>209</v>
      </c>
      <c r="N54" s="66" t="s">
        <v>210</v>
      </c>
      <c r="O54" s="163"/>
    </row>
    <row r="55" spans="2:15" ht="16.5" x14ac:dyDescent="0.3">
      <c r="B55" s="13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163"/>
    </row>
    <row r="56" spans="2:15" ht="17.25" thickBot="1" x14ac:dyDescent="0.35">
      <c r="B56" s="147"/>
      <c r="C56" s="148"/>
      <c r="D56" s="148"/>
      <c r="E56" s="148"/>
      <c r="F56" s="148"/>
      <c r="G56" s="148"/>
      <c r="H56" s="148"/>
      <c r="I56" s="148"/>
      <c r="J56" s="148"/>
      <c r="K56" s="148" t="s">
        <v>211</v>
      </c>
      <c r="L56" s="171">
        <v>2</v>
      </c>
      <c r="M56" s="148"/>
      <c r="N56" s="148"/>
      <c r="O56" s="164"/>
    </row>
    <row r="57" spans="2:15" ht="17.25" thickBot="1" x14ac:dyDescent="0.35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55"/>
    </row>
    <row r="58" spans="2:15" ht="19.5" thickBot="1" x14ac:dyDescent="0.35">
      <c r="B58" s="137"/>
      <c r="C58" s="3"/>
      <c r="D58" s="3"/>
      <c r="E58" s="3"/>
      <c r="F58" s="3"/>
      <c r="G58" s="401" t="s">
        <v>212</v>
      </c>
      <c r="H58" s="402"/>
      <c r="I58" s="403">
        <f>L56*C51*O13*H13</f>
        <v>1.8</v>
      </c>
      <c r="J58" s="404"/>
      <c r="K58" s="3"/>
      <c r="L58" s="3"/>
      <c r="M58" s="3"/>
      <c r="N58" s="3"/>
      <c r="O58" s="163"/>
    </row>
    <row r="59" spans="2:15" ht="17.25" thickBot="1" x14ac:dyDescent="0.35">
      <c r="B59" s="147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64"/>
    </row>
  </sheetData>
  <mergeCells count="25">
    <mergeCell ref="J54:K54"/>
    <mergeCell ref="G58:H58"/>
    <mergeCell ref="I58:J58"/>
    <mergeCell ref="B11:O11"/>
    <mergeCell ref="C12:G12"/>
    <mergeCell ref="B13:F13"/>
    <mergeCell ref="I13:M13"/>
    <mergeCell ref="B48:H49"/>
    <mergeCell ref="I48:O48"/>
    <mergeCell ref="D6:K6"/>
    <mergeCell ref="J50:K50"/>
    <mergeCell ref="J51:K51"/>
    <mergeCell ref="J52:K52"/>
    <mergeCell ref="J53:K53"/>
    <mergeCell ref="D7:F7"/>
    <mergeCell ref="G7:K7"/>
    <mergeCell ref="D8:F8"/>
    <mergeCell ref="G8:K8"/>
    <mergeCell ref="D9:F9"/>
    <mergeCell ref="G9:K9"/>
    <mergeCell ref="D1:D5"/>
    <mergeCell ref="E1:J1"/>
    <mergeCell ref="K1:K5"/>
    <mergeCell ref="E2:J2"/>
    <mergeCell ref="E3:J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B4FC8-06D9-4899-BB7F-ACD1E0F3E36A}">
  <dimension ref="A1:I42"/>
  <sheetViews>
    <sheetView zoomScaleNormal="100" workbookViewId="0">
      <selection activeCell="C14" sqref="C14"/>
    </sheetView>
  </sheetViews>
  <sheetFormatPr baseColWidth="10" defaultRowHeight="15" x14ac:dyDescent="0.25"/>
  <cols>
    <col min="1" max="1" width="14.28515625" customWidth="1"/>
    <col min="3" max="3" width="17.7109375" customWidth="1"/>
    <col min="8" max="8" width="14.28515625" customWidth="1"/>
  </cols>
  <sheetData>
    <row r="1" spans="1:9" ht="15.75" x14ac:dyDescent="0.25">
      <c r="A1" s="270"/>
      <c r="B1" s="306" t="s">
        <v>0</v>
      </c>
      <c r="C1" s="307"/>
      <c r="D1" s="307"/>
      <c r="E1" s="307"/>
      <c r="F1" s="307"/>
      <c r="G1" s="308"/>
      <c r="H1" s="364"/>
    </row>
    <row r="2" spans="1:9" ht="15.75" x14ac:dyDescent="0.25">
      <c r="A2" s="271"/>
      <c r="B2" s="309" t="s">
        <v>1</v>
      </c>
      <c r="C2" s="310"/>
      <c r="D2" s="310"/>
      <c r="E2" s="310"/>
      <c r="F2" s="310"/>
      <c r="G2" s="311"/>
      <c r="H2" s="364"/>
    </row>
    <row r="3" spans="1:9" x14ac:dyDescent="0.25">
      <c r="A3" s="271"/>
      <c r="B3" s="287"/>
      <c r="C3" s="290"/>
      <c r="D3" s="290"/>
      <c r="E3" s="290"/>
      <c r="F3" s="290"/>
      <c r="G3" s="303"/>
      <c r="H3" s="364"/>
    </row>
    <row r="4" spans="1:9" x14ac:dyDescent="0.25">
      <c r="A4" s="271"/>
      <c r="B4" s="287"/>
      <c r="C4" s="290"/>
      <c r="D4" s="290"/>
      <c r="E4" s="290"/>
      <c r="F4" s="290"/>
      <c r="G4" s="303"/>
      <c r="H4" s="364"/>
    </row>
    <row r="5" spans="1:9" x14ac:dyDescent="0.25">
      <c r="A5" s="272"/>
      <c r="B5" s="288"/>
      <c r="C5" s="304"/>
      <c r="D5" s="304"/>
      <c r="E5" s="304"/>
      <c r="F5" s="304"/>
      <c r="G5" s="305"/>
      <c r="H5" s="364"/>
    </row>
    <row r="6" spans="1:9" ht="15.75" x14ac:dyDescent="0.25">
      <c r="A6" s="324" t="s">
        <v>15</v>
      </c>
      <c r="B6" s="324"/>
      <c r="C6" s="324"/>
      <c r="D6" s="324"/>
      <c r="E6" s="324"/>
      <c r="F6" s="324"/>
      <c r="G6" s="324"/>
      <c r="H6" s="324"/>
    </row>
    <row r="7" spans="1:9" ht="15.75" x14ac:dyDescent="0.25">
      <c r="A7" s="297" t="s">
        <v>2</v>
      </c>
      <c r="B7" s="297"/>
      <c r="C7" s="424"/>
      <c r="D7" s="286" t="s">
        <v>3</v>
      </c>
      <c r="E7" s="301"/>
      <c r="F7" s="301"/>
      <c r="G7" s="301"/>
      <c r="H7" s="302"/>
    </row>
    <row r="8" spans="1:9" ht="15.75" x14ac:dyDescent="0.25">
      <c r="A8" s="297" t="s">
        <v>4</v>
      </c>
      <c r="B8" s="297"/>
      <c r="C8" s="424"/>
      <c r="D8" s="287">
        <v>3142506648</v>
      </c>
      <c r="E8" s="290"/>
      <c r="F8" s="290"/>
      <c r="G8" s="290"/>
      <c r="H8" s="303"/>
    </row>
    <row r="9" spans="1:9" ht="15.75" x14ac:dyDescent="0.25">
      <c r="A9" s="297" t="s">
        <v>5</v>
      </c>
      <c r="B9" s="297"/>
      <c r="C9" s="424"/>
      <c r="D9" s="288" t="s">
        <v>214</v>
      </c>
      <c r="E9" s="304"/>
      <c r="F9" s="304"/>
      <c r="G9" s="304"/>
      <c r="H9" s="305"/>
    </row>
    <row r="10" spans="1:9" x14ac:dyDescent="0.25">
      <c r="A10" s="422" t="s">
        <v>215</v>
      </c>
      <c r="B10" s="422"/>
      <c r="C10" s="422"/>
      <c r="D10" s="422"/>
      <c r="E10" s="422"/>
      <c r="F10" s="422"/>
      <c r="G10" s="422"/>
      <c r="H10" s="422"/>
    </row>
    <row r="11" spans="1:9" x14ac:dyDescent="0.25">
      <c r="A11" s="13"/>
      <c r="B11" s="13"/>
      <c r="C11" s="13"/>
    </row>
    <row r="12" spans="1:9" ht="16.5" x14ac:dyDescent="0.3">
      <c r="A12" s="61"/>
      <c r="B12" s="367" t="s">
        <v>216</v>
      </c>
      <c r="C12" s="367"/>
      <c r="D12" s="367"/>
      <c r="F12" s="423"/>
      <c r="G12" s="423"/>
      <c r="H12" s="367" t="s">
        <v>154</v>
      </c>
      <c r="I12" s="367"/>
    </row>
    <row r="13" spans="1:9" ht="16.5" x14ac:dyDescent="0.3">
      <c r="A13" s="120"/>
      <c r="B13" s="185" t="s">
        <v>217</v>
      </c>
      <c r="C13" s="186">
        <f>C14*(C16)^C15</f>
        <v>0.38759983039232759</v>
      </c>
      <c r="D13" s="187" t="s">
        <v>224</v>
      </c>
      <c r="F13" s="71"/>
      <c r="G13" s="71"/>
      <c r="H13" s="65" t="s">
        <v>155</v>
      </c>
      <c r="I13" s="65">
        <v>0.1</v>
      </c>
    </row>
    <row r="14" spans="1:9" ht="16.5" x14ac:dyDescent="0.3">
      <c r="A14" s="120"/>
      <c r="B14" s="185" t="s">
        <v>218</v>
      </c>
      <c r="C14" s="187">
        <v>7.1999999999999995E-2</v>
      </c>
      <c r="D14" s="187"/>
      <c r="F14" s="71"/>
      <c r="G14" s="71"/>
      <c r="H14" s="65" t="s">
        <v>159</v>
      </c>
      <c r="I14" s="65">
        <v>0.1</v>
      </c>
    </row>
    <row r="15" spans="1:9" ht="16.5" x14ac:dyDescent="0.3">
      <c r="A15" s="120"/>
      <c r="B15" s="185" t="s">
        <v>219</v>
      </c>
      <c r="C15" s="187">
        <v>0.8</v>
      </c>
      <c r="D15" s="187"/>
      <c r="F15" s="71"/>
      <c r="G15" s="71"/>
      <c r="H15" s="65" t="s">
        <v>160</v>
      </c>
      <c r="I15" s="65">
        <v>1.6</v>
      </c>
    </row>
    <row r="16" spans="1:9" ht="16.5" x14ac:dyDescent="0.3">
      <c r="A16" s="13"/>
      <c r="B16" s="188" t="s">
        <v>220</v>
      </c>
      <c r="C16" s="187">
        <v>8.1999999999999993</v>
      </c>
      <c r="D16" s="187"/>
      <c r="F16" s="71"/>
      <c r="G16" s="71"/>
      <c r="H16" s="65" t="s">
        <v>162</v>
      </c>
      <c r="I16" s="65">
        <v>2.4</v>
      </c>
    </row>
    <row r="17" spans="2:9" ht="16.5" x14ac:dyDescent="0.3">
      <c r="B17" s="188" t="s">
        <v>221</v>
      </c>
      <c r="C17" s="189">
        <f>1.75-1.2*G14*G16</f>
        <v>1.75</v>
      </c>
      <c r="D17" s="187"/>
      <c r="F17" s="56"/>
      <c r="G17" s="56"/>
      <c r="H17" s="65" t="s">
        <v>163</v>
      </c>
      <c r="I17" s="65">
        <v>1.1000000000000001</v>
      </c>
    </row>
    <row r="18" spans="2:9" ht="16.5" x14ac:dyDescent="0.3">
      <c r="B18" s="188" t="s">
        <v>222</v>
      </c>
      <c r="C18" s="189">
        <f>C17*C13</f>
        <v>0.67829970318657329</v>
      </c>
      <c r="D18" s="187" t="s">
        <v>224</v>
      </c>
    </row>
    <row r="19" spans="2:9" ht="16.5" x14ac:dyDescent="0.3">
      <c r="B19" s="188" t="s">
        <v>223</v>
      </c>
      <c r="C19" s="189">
        <f>C18</f>
        <v>0.67829970318657329</v>
      </c>
      <c r="D19" s="187" t="s">
        <v>224</v>
      </c>
      <c r="F19" s="57" t="s">
        <v>226</v>
      </c>
      <c r="G19" s="192" t="s">
        <v>227</v>
      </c>
    </row>
    <row r="20" spans="2:9" x14ac:dyDescent="0.25">
      <c r="F20" s="184">
        <v>1</v>
      </c>
      <c r="G20" s="184">
        <v>0.10197199999999999</v>
      </c>
    </row>
    <row r="21" spans="2:9" x14ac:dyDescent="0.25">
      <c r="B21" s="2"/>
      <c r="C21" s="2"/>
      <c r="D21" s="2"/>
    </row>
    <row r="22" spans="2:9" ht="16.5" x14ac:dyDescent="0.3">
      <c r="B22" s="420" t="s">
        <v>228</v>
      </c>
      <c r="C22" s="421"/>
      <c r="D22" s="366">
        <f>'PESO PROPIO '!K16</f>
        <v>1666.4183346612247</v>
      </c>
      <c r="E22" s="366"/>
      <c r="F22" s="366"/>
      <c r="G22" s="366"/>
    </row>
    <row r="23" spans="2:9" ht="16.5" x14ac:dyDescent="0.3">
      <c r="B23" s="420" t="s">
        <v>229</v>
      </c>
      <c r="C23" s="421"/>
      <c r="D23" s="366">
        <f>'PESO PROPIO '!K17</f>
        <v>4850.1808923697945</v>
      </c>
      <c r="E23" s="366"/>
      <c r="F23" s="366"/>
      <c r="G23" s="366"/>
    </row>
    <row r="25" spans="2:9" x14ac:dyDescent="0.25">
      <c r="C25" s="419" t="s">
        <v>235</v>
      </c>
      <c r="D25" s="419"/>
      <c r="E25" s="419"/>
    </row>
    <row r="26" spans="2:9" ht="16.5" x14ac:dyDescent="0.3">
      <c r="C26" s="191" t="s">
        <v>233</v>
      </c>
      <c r="D26" s="190">
        <f>D22*G20</f>
        <v>169.92801042207438</v>
      </c>
      <c r="E26" s="65" t="s">
        <v>225</v>
      </c>
    </row>
    <row r="27" spans="2:9" ht="16.5" x14ac:dyDescent="0.3">
      <c r="C27" s="191" t="s">
        <v>234</v>
      </c>
      <c r="D27" s="190">
        <f>D23*G20</f>
        <v>494.58264595673268</v>
      </c>
      <c r="E27" s="65" t="s">
        <v>225</v>
      </c>
    </row>
    <row r="28" spans="2:9" x14ac:dyDescent="0.25">
      <c r="D28" s="196"/>
    </row>
    <row r="29" spans="2:9" x14ac:dyDescent="0.25">
      <c r="C29" s="419" t="s">
        <v>236</v>
      </c>
      <c r="D29" s="419"/>
      <c r="E29" s="419"/>
    </row>
    <row r="30" spans="2:9" ht="16.5" x14ac:dyDescent="0.3">
      <c r="C30" s="365" t="s">
        <v>158</v>
      </c>
      <c r="D30" s="365"/>
      <c r="E30" s="145">
        <f>(1.2*I14*I17*I16)/C19</f>
        <v>0.46705018225971556</v>
      </c>
    </row>
    <row r="32" spans="2:9" x14ac:dyDescent="0.25">
      <c r="C32" s="419" t="s">
        <v>237</v>
      </c>
      <c r="D32" s="419"/>
      <c r="E32" s="419"/>
    </row>
    <row r="33" spans="2:8" ht="16.5" x14ac:dyDescent="0.3">
      <c r="C33" s="365" t="s">
        <v>238</v>
      </c>
      <c r="D33" s="365"/>
      <c r="E33" s="145">
        <f>E30*9.81*SUM(D26:D27)</f>
        <v>3044.6298653491544</v>
      </c>
    </row>
    <row r="35" spans="2:8" x14ac:dyDescent="0.25">
      <c r="C35" s="57" t="s">
        <v>239</v>
      </c>
      <c r="D35" s="183">
        <f>0.75+0.5*C19</f>
        <v>1.0891498515932867</v>
      </c>
    </row>
    <row r="38" spans="2:8" ht="16.5" x14ac:dyDescent="0.3">
      <c r="B38" s="418" t="s">
        <v>240</v>
      </c>
      <c r="C38" s="418"/>
      <c r="D38" s="418"/>
      <c r="E38" s="418"/>
      <c r="F38" s="418"/>
      <c r="G38" s="418"/>
      <c r="H38" s="418"/>
    </row>
    <row r="39" spans="2:8" ht="18" x14ac:dyDescent="0.3">
      <c r="B39" s="70" t="s">
        <v>241</v>
      </c>
      <c r="C39" s="70" t="s">
        <v>30</v>
      </c>
      <c r="D39" s="70" t="s">
        <v>142</v>
      </c>
      <c r="E39" s="70" t="s">
        <v>244</v>
      </c>
      <c r="F39" s="70" t="s">
        <v>245</v>
      </c>
      <c r="G39" s="70" t="s">
        <v>242</v>
      </c>
      <c r="H39" s="70" t="s">
        <v>243</v>
      </c>
    </row>
    <row r="40" spans="2:8" ht="16.5" x14ac:dyDescent="0.3">
      <c r="B40" s="65">
        <v>1</v>
      </c>
      <c r="C40" s="190">
        <f>D26/2</f>
        <v>84.96400521103719</v>
      </c>
      <c r="D40" s="65">
        <v>4.0999999999999996</v>
      </c>
      <c r="E40" s="193">
        <f>D40^D35</f>
        <v>4.6495770246291777</v>
      </c>
      <c r="F40" s="66">
        <f>E40*C40</f>
        <v>395.04668654971226</v>
      </c>
      <c r="G40" s="66">
        <f>F40/$F$42</f>
        <v>0.13904069995695345</v>
      </c>
      <c r="H40" s="66">
        <f>G40*$E$33</f>
        <v>423.32746758799135</v>
      </c>
    </row>
    <row r="41" spans="2:8" ht="16.5" x14ac:dyDescent="0.3">
      <c r="B41" s="65">
        <v>2</v>
      </c>
      <c r="C41" s="190">
        <f>D27/2</f>
        <v>247.29132297836634</v>
      </c>
      <c r="D41" s="65">
        <f>D40+D40</f>
        <v>8.1999999999999993</v>
      </c>
      <c r="E41" s="193">
        <f>D41^D35</f>
        <v>9.8919114887246842</v>
      </c>
      <c r="F41" s="66">
        <f>E41*C41</f>
        <v>2446.1838788316286</v>
      </c>
      <c r="G41" s="66">
        <f>F41/$F$42</f>
        <v>0.86095930004304655</v>
      </c>
      <c r="H41" s="66">
        <f>G41*$E$33</f>
        <v>2621.3023977611629</v>
      </c>
    </row>
    <row r="42" spans="2:8" ht="16.5" x14ac:dyDescent="0.3">
      <c r="B42" s="3"/>
      <c r="C42" s="194">
        <f>SUM(C40:C41)</f>
        <v>332.25532818940354</v>
      </c>
      <c r="D42" s="3"/>
      <c r="E42" s="3"/>
      <c r="F42" s="141">
        <f>SUM(F40:F41)</f>
        <v>2841.230565381341</v>
      </c>
      <c r="G42" s="3">
        <f>SUM(G40:G41)</f>
        <v>1</v>
      </c>
      <c r="H42" s="141">
        <f>SUM(H40:H41)</f>
        <v>3044.629865349154</v>
      </c>
    </row>
  </sheetData>
  <mergeCells count="26">
    <mergeCell ref="A6:H6"/>
    <mergeCell ref="A1:A5"/>
    <mergeCell ref="B1:G1"/>
    <mergeCell ref="H1:H5"/>
    <mergeCell ref="B2:G2"/>
    <mergeCell ref="B3:G5"/>
    <mergeCell ref="A10:H10"/>
    <mergeCell ref="F12:G12"/>
    <mergeCell ref="B12:D12"/>
    <mergeCell ref="H12:I12"/>
    <mergeCell ref="A7:C7"/>
    <mergeCell ref="D7:H7"/>
    <mergeCell ref="A8:C8"/>
    <mergeCell ref="D8:H8"/>
    <mergeCell ref="A9:C9"/>
    <mergeCell ref="D9:H9"/>
    <mergeCell ref="B22:C22"/>
    <mergeCell ref="D22:G22"/>
    <mergeCell ref="B23:C23"/>
    <mergeCell ref="D23:G23"/>
    <mergeCell ref="C25:E25"/>
    <mergeCell ref="B38:H38"/>
    <mergeCell ref="C29:E29"/>
    <mergeCell ref="C30:D30"/>
    <mergeCell ref="C32:E32"/>
    <mergeCell ref="C33:D3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31BAA-D5DC-4BB4-ADAC-771B09F9F249}">
  <dimension ref="A1:T141"/>
  <sheetViews>
    <sheetView topLeftCell="A7" workbookViewId="0">
      <selection activeCell="E19" sqref="E19:H19"/>
    </sheetView>
  </sheetViews>
  <sheetFormatPr baseColWidth="10" defaultRowHeight="15" x14ac:dyDescent="0.25"/>
  <cols>
    <col min="1" max="1" width="16.28515625" customWidth="1"/>
    <col min="8" max="8" width="15.7109375" customWidth="1"/>
  </cols>
  <sheetData>
    <row r="1" spans="1:20" ht="16.5" x14ac:dyDescent="0.3">
      <c r="A1" s="270"/>
      <c r="B1" s="306" t="s">
        <v>0</v>
      </c>
      <c r="C1" s="307"/>
      <c r="D1" s="307"/>
      <c r="E1" s="307"/>
      <c r="F1" s="307"/>
      <c r="G1" s="308"/>
      <c r="H1" s="364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0" ht="16.5" x14ac:dyDescent="0.3">
      <c r="A2" s="271"/>
      <c r="B2" s="309" t="s">
        <v>1</v>
      </c>
      <c r="C2" s="310"/>
      <c r="D2" s="310"/>
      <c r="E2" s="310"/>
      <c r="F2" s="310"/>
      <c r="G2" s="311"/>
      <c r="H2" s="364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16.5" x14ac:dyDescent="0.3">
      <c r="A3" s="271"/>
      <c r="B3" s="287"/>
      <c r="C3" s="290"/>
      <c r="D3" s="290"/>
      <c r="E3" s="290"/>
      <c r="F3" s="290"/>
      <c r="G3" s="303"/>
      <c r="H3" s="364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0" ht="16.5" x14ac:dyDescent="0.3">
      <c r="A4" s="271"/>
      <c r="B4" s="287"/>
      <c r="C4" s="290"/>
      <c r="D4" s="290"/>
      <c r="E4" s="290"/>
      <c r="F4" s="290"/>
      <c r="G4" s="303"/>
      <c r="H4" s="364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0" ht="16.5" x14ac:dyDescent="0.3">
      <c r="A5" s="272"/>
      <c r="B5" s="288"/>
      <c r="C5" s="304"/>
      <c r="D5" s="304"/>
      <c r="E5" s="304"/>
      <c r="F5" s="304"/>
      <c r="G5" s="305"/>
      <c r="H5" s="364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6.5" x14ac:dyDescent="0.3">
      <c r="A6" s="324" t="s">
        <v>15</v>
      </c>
      <c r="B6" s="324"/>
      <c r="C6" s="324"/>
      <c r="D6" s="324"/>
      <c r="E6" s="324"/>
      <c r="F6" s="324"/>
      <c r="G6" s="324"/>
      <c r="H6" s="324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20" ht="16.5" x14ac:dyDescent="0.3">
      <c r="A7" s="297" t="s">
        <v>2</v>
      </c>
      <c r="B7" s="297"/>
      <c r="C7" s="424"/>
      <c r="D7" s="286" t="s">
        <v>3</v>
      </c>
      <c r="E7" s="301"/>
      <c r="F7" s="301"/>
      <c r="G7" s="301"/>
      <c r="H7" s="302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20" ht="16.5" x14ac:dyDescent="0.3">
      <c r="A8" s="297" t="s">
        <v>4</v>
      </c>
      <c r="B8" s="297"/>
      <c r="C8" s="424"/>
      <c r="D8" s="287">
        <v>3142506648</v>
      </c>
      <c r="E8" s="290"/>
      <c r="F8" s="290"/>
      <c r="G8" s="290"/>
      <c r="H8" s="30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20" ht="16.5" x14ac:dyDescent="0.3">
      <c r="A9" s="297" t="s">
        <v>5</v>
      </c>
      <c r="B9" s="297"/>
      <c r="C9" s="424"/>
      <c r="D9" s="288" t="s">
        <v>247</v>
      </c>
      <c r="E9" s="304"/>
      <c r="F9" s="304"/>
      <c r="G9" s="304"/>
      <c r="H9" s="305"/>
      <c r="I9" s="3"/>
      <c r="J9" s="3"/>
      <c r="K9" s="428" t="s">
        <v>315</v>
      </c>
      <c r="L9" s="428"/>
      <c r="M9" s="428"/>
      <c r="N9" s="428"/>
      <c r="O9" s="428" t="s">
        <v>316</v>
      </c>
      <c r="P9" s="428"/>
      <c r="Q9" s="428"/>
      <c r="R9" s="428"/>
      <c r="S9" s="423" t="s">
        <v>294</v>
      </c>
      <c r="T9" s="423"/>
    </row>
    <row r="10" spans="1:20" ht="16.5" x14ac:dyDescent="0.3">
      <c r="A10" s="432" t="s">
        <v>246</v>
      </c>
      <c r="B10" s="432"/>
      <c r="C10" s="432"/>
      <c r="D10" s="432"/>
      <c r="E10" s="432"/>
      <c r="F10" s="432"/>
      <c r="G10" s="432"/>
      <c r="H10" s="432"/>
      <c r="I10" s="3"/>
      <c r="J10" s="3"/>
      <c r="K10" s="262" t="s">
        <v>295</v>
      </c>
      <c r="L10" s="262" t="s">
        <v>271</v>
      </c>
      <c r="M10" s="262" t="s">
        <v>272</v>
      </c>
      <c r="N10" s="262" t="s">
        <v>273</v>
      </c>
      <c r="O10" s="262" t="s">
        <v>9</v>
      </c>
      <c r="P10" s="262" t="s">
        <v>243</v>
      </c>
      <c r="Q10" s="262" t="s">
        <v>296</v>
      </c>
      <c r="R10" s="262" t="s">
        <v>297</v>
      </c>
      <c r="S10" s="262" t="s">
        <v>298</v>
      </c>
      <c r="T10" s="262" t="s">
        <v>299</v>
      </c>
    </row>
    <row r="11" spans="1:20" ht="21" customHeight="1" x14ac:dyDescent="0.3">
      <c r="A11" s="433" t="s">
        <v>248</v>
      </c>
      <c r="B11" s="433"/>
      <c r="C11" s="433"/>
      <c r="D11" s="433"/>
      <c r="E11" s="429" t="s">
        <v>249</v>
      </c>
      <c r="F11" s="430"/>
      <c r="G11" s="431" t="s">
        <v>252</v>
      </c>
      <c r="H11" s="431"/>
      <c r="I11" s="3"/>
      <c r="J11" s="191" t="s">
        <v>313</v>
      </c>
      <c r="K11" s="145">
        <f t="array" ref="K11:T11">'DATOS DE VIENTO'!V24:AE24</f>
        <v>0.57200000000000006</v>
      </c>
      <c r="L11" s="145">
        <v>-0.22600000000000001</v>
      </c>
      <c r="M11" s="145">
        <v>0.378</v>
      </c>
      <c r="N11" s="145">
        <v>-0.128</v>
      </c>
      <c r="O11" s="145">
        <v>-0.6</v>
      </c>
      <c r="P11" s="145">
        <v>-0.36</v>
      </c>
      <c r="Q11" s="145">
        <v>-0.41</v>
      </c>
      <c r="R11" s="145">
        <v>-0.28000000000000003</v>
      </c>
      <c r="S11" s="145">
        <v>-0.83</v>
      </c>
      <c r="T11" s="145">
        <v>-0.65</v>
      </c>
    </row>
    <row r="12" spans="1:20" ht="16.5" x14ac:dyDescent="0.3">
      <c r="A12" s="433"/>
      <c r="B12" s="433"/>
      <c r="C12" s="433"/>
      <c r="D12" s="433"/>
      <c r="E12" s="434" t="s">
        <v>250</v>
      </c>
      <c r="F12" s="434"/>
      <c r="G12" s="431" t="s">
        <v>253</v>
      </c>
      <c r="H12" s="431"/>
      <c r="I12" s="3"/>
      <c r="J12" s="191" t="s">
        <v>314</v>
      </c>
      <c r="K12" s="145">
        <f>$E$22*$E$23*$E$16*K11</f>
        <v>0.9342666666666668</v>
      </c>
      <c r="L12" s="145">
        <f t="shared" ref="L12:T12" si="0">$E$22*$E$23*$E$16*L11</f>
        <v>-0.36913333333333331</v>
      </c>
      <c r="M12" s="145">
        <f t="shared" si="0"/>
        <v>0.61739999999999995</v>
      </c>
      <c r="N12" s="145">
        <f t="shared" si="0"/>
        <v>-0.20906666666666668</v>
      </c>
      <c r="O12" s="145">
        <f t="shared" si="0"/>
        <v>-0.98</v>
      </c>
      <c r="P12" s="145">
        <f t="shared" si="0"/>
        <v>-0.58799999999999997</v>
      </c>
      <c r="Q12" s="145">
        <f t="shared" si="0"/>
        <v>-0.66966666666666663</v>
      </c>
      <c r="R12" s="145">
        <f t="shared" si="0"/>
        <v>-0.45733333333333337</v>
      </c>
      <c r="S12" s="145">
        <f t="shared" si="0"/>
        <v>-1.3556666666666666</v>
      </c>
      <c r="T12" s="145">
        <f t="shared" si="0"/>
        <v>-1.0616666666666668</v>
      </c>
    </row>
    <row r="13" spans="1:20" ht="16.5" x14ac:dyDescent="0.3">
      <c r="A13" s="433"/>
      <c r="B13" s="433"/>
      <c r="C13" s="433"/>
      <c r="D13" s="433"/>
      <c r="E13" s="434" t="s">
        <v>251</v>
      </c>
      <c r="F13" s="434"/>
      <c r="G13" s="431" t="s">
        <v>254</v>
      </c>
      <c r="H13" s="431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20" ht="16.5" x14ac:dyDescent="0.3">
      <c r="A14" s="425" t="s">
        <v>255</v>
      </c>
      <c r="B14" s="425"/>
      <c r="C14" s="425"/>
      <c r="D14" s="425"/>
      <c r="E14" s="365" t="s">
        <v>257</v>
      </c>
      <c r="F14" s="365"/>
      <c r="G14" s="365"/>
      <c r="H14" s="365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20" ht="16.5" x14ac:dyDescent="0.3">
      <c r="A15" s="425" t="s">
        <v>260</v>
      </c>
      <c r="B15" s="425"/>
      <c r="C15" s="425"/>
      <c r="D15" s="425"/>
      <c r="E15" s="426" t="s">
        <v>262</v>
      </c>
      <c r="F15" s="426"/>
      <c r="G15" s="426"/>
      <c r="H15" s="42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20" ht="16.5" x14ac:dyDescent="0.3">
      <c r="A16" s="425" t="s">
        <v>264</v>
      </c>
      <c r="B16" s="425"/>
      <c r="C16" s="425"/>
      <c r="D16" s="425"/>
      <c r="E16" s="426">
        <f>VLOOKUP(E14,'DATOS DE VIENTO'!B4:C13,2,FALSE)</f>
        <v>1</v>
      </c>
      <c r="F16" s="426"/>
      <c r="G16" s="426"/>
      <c r="H16" s="42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6.5" x14ac:dyDescent="0.3">
      <c r="A17" s="425" t="s">
        <v>265</v>
      </c>
      <c r="B17" s="425"/>
      <c r="C17" s="425"/>
      <c r="D17" s="425"/>
      <c r="E17" s="365">
        <v>5</v>
      </c>
      <c r="F17" s="365"/>
      <c r="G17" s="365"/>
      <c r="H17" s="365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6.5" x14ac:dyDescent="0.3">
      <c r="A18" s="425" t="s">
        <v>269</v>
      </c>
      <c r="B18" s="425"/>
      <c r="C18" s="425"/>
      <c r="D18" s="425"/>
      <c r="E18" s="426">
        <f>VLOOKUP(E17,'DATOS DE VIENTO'!B16:C20,2,FALSE)</f>
        <v>130</v>
      </c>
      <c r="F18" s="426"/>
      <c r="G18" s="426"/>
      <c r="H18" s="426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6.5" x14ac:dyDescent="0.3">
      <c r="A19" s="425" t="s">
        <v>304</v>
      </c>
      <c r="B19" s="425"/>
      <c r="C19" s="425"/>
      <c r="D19" s="425"/>
      <c r="E19" s="365" t="s">
        <v>273</v>
      </c>
      <c r="F19" s="365"/>
      <c r="G19" s="365"/>
      <c r="H19" s="365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6.5" x14ac:dyDescent="0.3">
      <c r="A20" s="425" t="s">
        <v>305</v>
      </c>
      <c r="B20" s="425"/>
      <c r="C20" s="425"/>
      <c r="D20" s="425"/>
      <c r="E20" s="365">
        <f>'DATOS DE VIENTO'!U24</f>
        <v>11</v>
      </c>
      <c r="F20" s="365"/>
      <c r="G20" s="365"/>
      <c r="H20" s="365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6.5" x14ac:dyDescent="0.3">
      <c r="A21" s="425" t="s">
        <v>306</v>
      </c>
      <c r="B21" s="425"/>
      <c r="C21" s="425"/>
      <c r="D21" s="425"/>
      <c r="E21" s="365">
        <f>'DATOS DE VIENTO'!N12</f>
        <v>8.1999999999999993</v>
      </c>
      <c r="F21" s="365"/>
      <c r="G21" s="365"/>
      <c r="H21" s="365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6.5" x14ac:dyDescent="0.3">
      <c r="A22" s="425" t="s">
        <v>318</v>
      </c>
      <c r="B22" s="425"/>
      <c r="C22" s="425"/>
      <c r="D22" s="425"/>
      <c r="E22" s="427">
        <f t="array" ref="E22">'DATOS DE VIENTO'!O12</f>
        <v>1.6333333333333333</v>
      </c>
      <c r="F22" s="427"/>
      <c r="G22" s="427"/>
      <c r="H22" s="427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6.5" x14ac:dyDescent="0.3">
      <c r="A23" s="425" t="s">
        <v>307</v>
      </c>
      <c r="B23" s="425"/>
      <c r="C23" s="425"/>
      <c r="D23" s="425"/>
      <c r="E23" s="365">
        <v>1</v>
      </c>
      <c r="F23" s="365"/>
      <c r="G23" s="365"/>
      <c r="H23" s="365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6.5" x14ac:dyDescent="0.3">
      <c r="A24" s="425" t="s">
        <v>308</v>
      </c>
      <c r="B24" s="425"/>
      <c r="C24" s="425"/>
      <c r="D24" s="425"/>
      <c r="E24" s="427">
        <f>MAX(K12,L12,M12,N12)</f>
        <v>0.9342666666666668</v>
      </c>
      <c r="F24" s="426"/>
      <c r="G24" s="426"/>
      <c r="H24" s="426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6.5" x14ac:dyDescent="0.3">
      <c r="A25" s="425" t="s">
        <v>309</v>
      </c>
      <c r="B25" s="425"/>
      <c r="C25" s="425"/>
      <c r="D25" s="425"/>
      <c r="E25" s="427">
        <f>MIN(O12:R12)</f>
        <v>-0.98</v>
      </c>
      <c r="F25" s="426"/>
      <c r="G25" s="426"/>
      <c r="H25" s="426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6.5" x14ac:dyDescent="0.3">
      <c r="A26" s="425" t="s">
        <v>310</v>
      </c>
      <c r="B26" s="425"/>
      <c r="C26" s="425"/>
      <c r="D26" s="425"/>
      <c r="E26" s="427">
        <f>MIN(S12:T12)</f>
        <v>-1.3556666666666666</v>
      </c>
      <c r="F26" s="426"/>
      <c r="G26" s="426"/>
      <c r="H26" s="426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6.5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6.5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6.5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6.5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6.5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6.5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6.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6.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6.5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6.5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6.5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6.5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6.5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6.5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6.5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6.5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16.5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16.5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16.5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6.5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6.5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6.5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16.5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16.5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16.5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16.5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16.5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16.5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16.5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16.5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16.5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16.5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16.5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6.5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6.5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16.5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6.5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6.5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6.5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6.5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6.5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6.5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6.5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6.5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6.5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6.5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6.5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6.5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6.5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6.5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6.5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6.5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6.5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6.5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6.5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6.5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6.5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6.5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6.5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6.5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6.5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6.5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6.5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6.5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6.5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6.5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6.5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6.5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6.5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6.5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6.5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6.5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6.5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6.5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6.5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6.5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6.5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6.5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6.5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6.5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6.5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6.5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6.5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6.5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6.5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6.5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6.5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6.5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6.5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6.5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6.5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6.5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6.5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6.5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6.5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6.5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6.5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6.5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6.5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6.5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6.5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6.5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6.5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6.5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6.5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6.5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6.5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6.5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6.5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6.5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6.5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6.5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6.5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6.5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6.5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</sheetData>
  <mergeCells count="49">
    <mergeCell ref="G12:H12"/>
    <mergeCell ref="G13:H13"/>
    <mergeCell ref="A10:H10"/>
    <mergeCell ref="A11:D13"/>
    <mergeCell ref="E12:F12"/>
    <mergeCell ref="E13:F13"/>
    <mergeCell ref="K9:N9"/>
    <mergeCell ref="O9:R9"/>
    <mergeCell ref="S9:T9"/>
    <mergeCell ref="E11:F11"/>
    <mergeCell ref="G11:H11"/>
    <mergeCell ref="A25:D25"/>
    <mergeCell ref="A21:D21"/>
    <mergeCell ref="A26:D26"/>
    <mergeCell ref="E20:H20"/>
    <mergeCell ref="E21:H21"/>
    <mergeCell ref="E22:H22"/>
    <mergeCell ref="E23:H23"/>
    <mergeCell ref="E24:H24"/>
    <mergeCell ref="E25:H25"/>
    <mergeCell ref="A24:D24"/>
    <mergeCell ref="E26:H26"/>
    <mergeCell ref="A19:D19"/>
    <mergeCell ref="E19:H19"/>
    <mergeCell ref="A20:D20"/>
    <mergeCell ref="A22:D22"/>
    <mergeCell ref="A23:D23"/>
    <mergeCell ref="A16:D16"/>
    <mergeCell ref="E16:H16"/>
    <mergeCell ref="A17:D17"/>
    <mergeCell ref="E17:H17"/>
    <mergeCell ref="A18:D18"/>
    <mergeCell ref="E18:H18"/>
    <mergeCell ref="A14:D14"/>
    <mergeCell ref="E14:H14"/>
    <mergeCell ref="A15:D15"/>
    <mergeCell ref="E15:H15"/>
    <mergeCell ref="H1:H5"/>
    <mergeCell ref="A9:C9"/>
    <mergeCell ref="D9:H9"/>
    <mergeCell ref="A8:C8"/>
    <mergeCell ref="D8:H8"/>
    <mergeCell ref="A7:C7"/>
    <mergeCell ref="D7:H7"/>
    <mergeCell ref="A6:H6"/>
    <mergeCell ref="B3:G5"/>
    <mergeCell ref="B2:G2"/>
    <mergeCell ref="A1:A5"/>
    <mergeCell ref="B1:G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98AAB885-BA1A-4F6A-B082-853CBAD97214}">
          <x14:formula1>
            <xm:f>'DATOS DE VIENTO'!$B$4:$B$7</xm:f>
          </x14:formula1>
          <xm:sqref>E14:H14</xm:sqref>
        </x14:dataValidation>
        <x14:dataValidation type="list" allowBlank="1" showInputMessage="1" showErrorMessage="1" xr:uid="{E3738836-5C3C-46EC-AC2F-3378BA97595A}">
          <x14:formula1>
            <xm:f>'DATOS DE VIENTO'!$E$10:$E$11</xm:f>
          </x14:formula1>
          <xm:sqref>E15</xm:sqref>
        </x14:dataValidation>
        <x14:dataValidation type="list" allowBlank="1" showInputMessage="1" showErrorMessage="1" xr:uid="{ADFA77A8-941D-45C0-BDF8-9BDFB4D78F68}">
          <x14:formula1>
            <xm:f>'DATOS DE VIENTO'!$C$10:$C$13</xm:f>
          </x14:formula1>
          <xm:sqref>E16</xm:sqref>
        </x14:dataValidation>
        <x14:dataValidation type="list" allowBlank="1" showInputMessage="1" showErrorMessage="1" xr:uid="{7A5B03DF-C222-44BC-900E-F78440ED6D98}">
          <x14:formula1>
            <xm:f>'DATOS DE VIENTO'!$B$16:$B$20</xm:f>
          </x14:formula1>
          <xm:sqref>E17:H17</xm:sqref>
        </x14:dataValidation>
        <x14:dataValidation type="list" allowBlank="1" showInputMessage="1" showErrorMessage="1" xr:uid="{D9BDDF92-E756-44A6-80C9-AD64E02E0A72}">
          <x14:formula1>
            <xm:f>'DATOS DE VIENTO'!$H$10:$J$10</xm:f>
          </x14:formula1>
          <xm:sqref>E19:H19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E6CB2-E2CD-46A3-AFB8-BD8DC3C6A6CD}">
  <dimension ref="A1:AE64"/>
  <sheetViews>
    <sheetView zoomScale="70" zoomScaleNormal="70" workbookViewId="0">
      <selection activeCell="P23" sqref="P23:Q23"/>
    </sheetView>
  </sheetViews>
  <sheetFormatPr baseColWidth="10" defaultRowHeight="15" x14ac:dyDescent="0.25"/>
  <cols>
    <col min="2" max="2" width="42" customWidth="1"/>
    <col min="3" max="3" width="29" customWidth="1"/>
    <col min="4" max="4" width="18.85546875" customWidth="1"/>
    <col min="5" max="5" width="34.28515625" customWidth="1"/>
    <col min="15" max="15" width="17.85546875" customWidth="1"/>
    <col min="17" max="17" width="14.42578125" customWidth="1"/>
    <col min="20" max="20" width="23.85546875" customWidth="1"/>
    <col min="21" max="21" width="16.140625" customWidth="1"/>
  </cols>
  <sheetData>
    <row r="1" spans="1:18" ht="15.75" thickBot="1" x14ac:dyDescent="0.3"/>
    <row r="2" spans="1:18" x14ac:dyDescent="0.25">
      <c r="B2" s="440" t="s">
        <v>279</v>
      </c>
      <c r="C2" s="441"/>
      <c r="D2" s="442"/>
    </row>
    <row r="3" spans="1:18" ht="81" customHeight="1" x14ac:dyDescent="0.25">
      <c r="B3" s="207" t="s">
        <v>280</v>
      </c>
      <c r="C3" s="200" t="s">
        <v>311</v>
      </c>
      <c r="D3" s="202" t="s">
        <v>281</v>
      </c>
    </row>
    <row r="4" spans="1:18" x14ac:dyDescent="0.25">
      <c r="B4" s="248" t="s">
        <v>256</v>
      </c>
      <c r="C4" s="198">
        <v>0.87</v>
      </c>
      <c r="D4" s="203">
        <v>0.77</v>
      </c>
    </row>
    <row r="5" spans="1:18" x14ac:dyDescent="0.25">
      <c r="B5" s="201" t="s">
        <v>257</v>
      </c>
      <c r="C5" s="198">
        <v>1</v>
      </c>
      <c r="D5" s="203">
        <v>1</v>
      </c>
    </row>
    <row r="6" spans="1:18" x14ac:dyDescent="0.25">
      <c r="B6" s="201" t="s">
        <v>258</v>
      </c>
      <c r="C6" s="198">
        <v>1.1499999999999999</v>
      </c>
      <c r="D6" s="203">
        <v>1.1499999999999999</v>
      </c>
    </row>
    <row r="7" spans="1:18" ht="15.75" thickBot="1" x14ac:dyDescent="0.3">
      <c r="B7" s="204" t="s">
        <v>259</v>
      </c>
      <c r="C7" s="205">
        <v>1.1499999999999999</v>
      </c>
      <c r="D7" s="206">
        <v>1.1499999999999999</v>
      </c>
    </row>
    <row r="8" spans="1:18" ht="15.75" thickBot="1" x14ac:dyDescent="0.3"/>
    <row r="9" spans="1:18" ht="15.75" thickBot="1" x14ac:dyDescent="0.3">
      <c r="A9" s="13"/>
      <c r="B9" s="435"/>
      <c r="C9" s="435"/>
      <c r="E9" s="253" t="s">
        <v>261</v>
      </c>
      <c r="F9" s="2"/>
      <c r="G9" s="436" t="s">
        <v>274</v>
      </c>
      <c r="H9" s="443" t="s">
        <v>270</v>
      </c>
      <c r="I9" s="441"/>
      <c r="J9" s="442"/>
      <c r="L9" s="438" t="s">
        <v>275</v>
      </c>
      <c r="M9" s="439"/>
      <c r="N9" s="439"/>
      <c r="O9" s="254" t="s">
        <v>317</v>
      </c>
      <c r="Q9" s="199"/>
      <c r="R9" s="197"/>
    </row>
    <row r="10" spans="1:18" ht="15.75" thickBot="1" x14ac:dyDescent="0.3">
      <c r="A10" s="13"/>
      <c r="B10" s="260"/>
      <c r="C10" s="13"/>
      <c r="E10" s="246" t="s">
        <v>262</v>
      </c>
      <c r="G10" s="437"/>
      <c r="H10" s="243" t="s">
        <v>271</v>
      </c>
      <c r="I10" s="243" t="s">
        <v>272</v>
      </c>
      <c r="J10" s="245" t="s">
        <v>273</v>
      </c>
      <c r="L10" s="444" t="s">
        <v>276</v>
      </c>
      <c r="M10" s="445"/>
      <c r="N10" s="213">
        <f>G13</f>
        <v>7.5</v>
      </c>
      <c r="O10" s="238">
        <f>J13</f>
        <v>1.61</v>
      </c>
      <c r="Q10" s="199"/>
      <c r="R10" s="197"/>
    </row>
    <row r="11" spans="1:18" ht="15.75" thickBot="1" x14ac:dyDescent="0.3">
      <c r="A11" s="13"/>
      <c r="B11" s="13"/>
      <c r="C11" s="13"/>
      <c r="E11" s="247" t="s">
        <v>263</v>
      </c>
      <c r="G11" s="216">
        <v>4.5</v>
      </c>
      <c r="H11" s="214">
        <v>1</v>
      </c>
      <c r="I11" s="214">
        <v>1.21</v>
      </c>
      <c r="J11" s="217">
        <v>1.47</v>
      </c>
      <c r="L11" s="460" t="s">
        <v>277</v>
      </c>
      <c r="M11" s="461"/>
      <c r="N11" s="121">
        <f>G14</f>
        <v>9</v>
      </c>
      <c r="O11" s="215">
        <f>J14</f>
        <v>1.66</v>
      </c>
      <c r="Q11" s="199"/>
      <c r="R11" s="197"/>
    </row>
    <row r="12" spans="1:18" ht="15.75" thickBot="1" x14ac:dyDescent="0.3">
      <c r="A12" s="261"/>
      <c r="B12" s="13"/>
      <c r="C12" s="13"/>
      <c r="E12" s="208"/>
      <c r="G12" s="201">
        <v>6</v>
      </c>
      <c r="H12" s="198">
        <v>1</v>
      </c>
      <c r="I12" s="198">
        <v>1.29</v>
      </c>
      <c r="J12" s="203">
        <v>1.55</v>
      </c>
      <c r="L12" s="462" t="s">
        <v>278</v>
      </c>
      <c r="M12" s="463"/>
      <c r="N12" s="232">
        <v>8.1999999999999993</v>
      </c>
      <c r="O12" s="259">
        <f>IF(N10=N11,O10,(($N$12-$N$10)*(O11-O10))/($N$11-$N$10)+O10)</f>
        <v>1.6333333333333333</v>
      </c>
      <c r="Q12" s="199"/>
      <c r="R12" s="197"/>
    </row>
    <row r="13" spans="1:18" x14ac:dyDescent="0.25">
      <c r="A13" s="13"/>
      <c r="B13" s="13"/>
      <c r="C13" s="13"/>
      <c r="D13" s="1"/>
      <c r="G13" s="201">
        <v>7.5</v>
      </c>
      <c r="H13" s="198">
        <v>1</v>
      </c>
      <c r="I13" s="198">
        <v>1.35</v>
      </c>
      <c r="J13" s="203">
        <v>1.61</v>
      </c>
      <c r="Q13" s="199"/>
      <c r="R13" s="197"/>
    </row>
    <row r="14" spans="1:18" ht="15.75" thickBot="1" x14ac:dyDescent="0.3">
      <c r="G14" s="201">
        <v>9</v>
      </c>
      <c r="H14" s="198">
        <v>1</v>
      </c>
      <c r="I14" s="198">
        <v>1.4</v>
      </c>
      <c r="J14" s="203">
        <v>1.66</v>
      </c>
      <c r="Q14" s="199"/>
      <c r="R14" s="197"/>
    </row>
    <row r="15" spans="1:18" ht="15.75" thickBot="1" x14ac:dyDescent="0.3">
      <c r="B15" s="252" t="s">
        <v>266</v>
      </c>
      <c r="C15" s="458" t="s">
        <v>267</v>
      </c>
      <c r="D15" s="459"/>
      <c r="G15" s="201">
        <v>10.5</v>
      </c>
      <c r="H15" s="198">
        <v>1.05</v>
      </c>
      <c r="I15" s="198">
        <v>1.45</v>
      </c>
      <c r="J15" s="203">
        <v>1.7</v>
      </c>
      <c r="Q15" s="199"/>
      <c r="R15" s="197"/>
    </row>
    <row r="16" spans="1:18" x14ac:dyDescent="0.25">
      <c r="B16" s="236">
        <v>1</v>
      </c>
      <c r="C16" s="251">
        <v>60</v>
      </c>
      <c r="D16" s="238" t="s">
        <v>268</v>
      </c>
      <c r="G16" s="201">
        <v>12</v>
      </c>
      <c r="H16" s="198">
        <v>1.0900000000000001</v>
      </c>
      <c r="I16" s="198">
        <v>1.49</v>
      </c>
      <c r="J16" s="203">
        <v>1.74</v>
      </c>
      <c r="Q16" s="199"/>
      <c r="R16" s="197"/>
    </row>
    <row r="17" spans="2:31" x14ac:dyDescent="0.25">
      <c r="B17" s="223">
        <v>2</v>
      </c>
      <c r="C17" s="249">
        <v>80</v>
      </c>
      <c r="D17" s="215" t="s">
        <v>268</v>
      </c>
      <c r="G17" s="201">
        <v>13.5</v>
      </c>
      <c r="H17" s="198">
        <v>1.1200000000000001</v>
      </c>
      <c r="I17" s="198">
        <v>1.53</v>
      </c>
      <c r="J17" s="203">
        <v>1.78</v>
      </c>
      <c r="Q17" s="199"/>
      <c r="R17" s="197"/>
    </row>
    <row r="18" spans="2:31" x14ac:dyDescent="0.25">
      <c r="B18" s="223">
        <v>3</v>
      </c>
      <c r="C18" s="249">
        <v>100</v>
      </c>
      <c r="D18" s="215" t="s">
        <v>268</v>
      </c>
      <c r="G18" s="201">
        <v>15</v>
      </c>
      <c r="H18" s="198">
        <v>1.1599999999999999</v>
      </c>
      <c r="I18" s="198">
        <v>1.56</v>
      </c>
      <c r="J18" s="203">
        <v>1.81</v>
      </c>
      <c r="Q18" s="199"/>
      <c r="R18" s="197"/>
    </row>
    <row r="19" spans="2:31" x14ac:dyDescent="0.25">
      <c r="B19" s="223">
        <v>4</v>
      </c>
      <c r="C19" s="249">
        <v>120</v>
      </c>
      <c r="D19" s="215" t="s">
        <v>268</v>
      </c>
      <c r="G19" s="201">
        <v>16.5</v>
      </c>
      <c r="H19" s="198">
        <v>1.19</v>
      </c>
      <c r="I19" s="198">
        <v>1.59</v>
      </c>
      <c r="J19" s="203">
        <v>1.84</v>
      </c>
      <c r="Q19" s="199"/>
      <c r="R19" s="197"/>
    </row>
    <row r="20" spans="2:31" ht="15.75" thickBot="1" x14ac:dyDescent="0.3">
      <c r="B20" s="231">
        <v>5</v>
      </c>
      <c r="C20" s="250">
        <v>130</v>
      </c>
      <c r="D20" s="233" t="s">
        <v>268</v>
      </c>
      <c r="G20" s="204">
        <v>18</v>
      </c>
      <c r="H20" s="205">
        <v>1.22</v>
      </c>
      <c r="I20" s="205">
        <v>1.62</v>
      </c>
      <c r="J20" s="206">
        <v>1.87</v>
      </c>
      <c r="Q20" s="199"/>
      <c r="R20" s="197"/>
      <c r="V20" s="455" t="s">
        <v>301</v>
      </c>
      <c r="W20" s="455"/>
      <c r="X20" s="455"/>
      <c r="Y20" s="455"/>
      <c r="Z20" s="455"/>
      <c r="AA20" s="455"/>
      <c r="AB20" s="455"/>
      <c r="AC20" s="455"/>
      <c r="AD20" s="455"/>
      <c r="AE20" s="455"/>
    </row>
    <row r="21" spans="2:31" ht="15.75" thickBot="1" x14ac:dyDescent="0.3">
      <c r="B21" s="210"/>
      <c r="C21" s="211"/>
      <c r="D21" s="1"/>
      <c r="G21" s="1"/>
      <c r="H21" s="1"/>
      <c r="I21" s="1"/>
      <c r="J21" s="1"/>
      <c r="Q21" s="209"/>
      <c r="R21" s="197"/>
      <c r="V21" s="244" t="s">
        <v>295</v>
      </c>
      <c r="W21" s="244" t="s">
        <v>271</v>
      </c>
      <c r="X21" s="244" t="s">
        <v>272</v>
      </c>
      <c r="Y21" s="244" t="s">
        <v>273</v>
      </c>
      <c r="Z21" s="244" t="s">
        <v>9</v>
      </c>
      <c r="AA21" s="244" t="s">
        <v>243</v>
      </c>
      <c r="AB21" s="244" t="s">
        <v>296</v>
      </c>
      <c r="AC21" s="244" t="s">
        <v>297</v>
      </c>
      <c r="AD21" s="244" t="s">
        <v>298</v>
      </c>
      <c r="AE21" s="244" t="s">
        <v>299</v>
      </c>
    </row>
    <row r="22" spans="2:31" x14ac:dyDescent="0.25">
      <c r="E22" s="466" t="s">
        <v>312</v>
      </c>
      <c r="F22" s="469" t="s">
        <v>282</v>
      </c>
      <c r="G22" s="472" t="s">
        <v>283</v>
      </c>
      <c r="H22" s="475" t="s">
        <v>291</v>
      </c>
      <c r="I22" s="475"/>
      <c r="J22" s="475"/>
      <c r="K22" s="475"/>
      <c r="L22" s="475"/>
      <c r="M22" s="475"/>
      <c r="N22" s="475"/>
      <c r="O22" s="475"/>
      <c r="P22" s="475"/>
      <c r="Q22" s="476"/>
      <c r="R22" s="197"/>
      <c r="S22" s="464" t="s">
        <v>276</v>
      </c>
      <c r="T22" s="465"/>
      <c r="U22" s="258">
        <v>10</v>
      </c>
      <c r="V22" s="219">
        <v>0.56000000000000005</v>
      </c>
      <c r="W22" s="212">
        <v>-0.23</v>
      </c>
      <c r="X22" s="212">
        <v>0.37</v>
      </c>
      <c r="Y22" s="220">
        <v>-0.13</v>
      </c>
      <c r="Z22" s="219">
        <v>-0.6</v>
      </c>
      <c r="AA22" s="221">
        <v>-0.36</v>
      </c>
      <c r="AB22" s="212">
        <v>-0.41</v>
      </c>
      <c r="AC22" s="220">
        <v>-0.28000000000000003</v>
      </c>
      <c r="AD22" s="221">
        <v>-0.83</v>
      </c>
      <c r="AE22" s="220">
        <v>-0.65</v>
      </c>
    </row>
    <row r="23" spans="2:31" x14ac:dyDescent="0.25">
      <c r="E23" s="467"/>
      <c r="F23" s="470"/>
      <c r="G23" s="473"/>
      <c r="H23" s="477" t="s">
        <v>292</v>
      </c>
      <c r="I23" s="478"/>
      <c r="J23" s="478"/>
      <c r="K23" s="479"/>
      <c r="L23" s="477" t="s">
        <v>293</v>
      </c>
      <c r="M23" s="478"/>
      <c r="N23" s="478"/>
      <c r="O23" s="479"/>
      <c r="P23" s="477" t="s">
        <v>294</v>
      </c>
      <c r="Q23" s="480"/>
      <c r="R23" s="197"/>
      <c r="S23" s="456" t="s">
        <v>277</v>
      </c>
      <c r="T23" s="457"/>
      <c r="U23" s="255">
        <v>15</v>
      </c>
      <c r="V23" s="223">
        <v>0.62</v>
      </c>
      <c r="W23" s="121">
        <v>-0.21</v>
      </c>
      <c r="X23" s="121">
        <v>0.41</v>
      </c>
      <c r="Y23" s="215">
        <v>-0.12</v>
      </c>
      <c r="Z23" s="223">
        <v>-0.6</v>
      </c>
      <c r="AA23" s="224">
        <v>-0.39</v>
      </c>
      <c r="AB23" s="121">
        <v>-0.41</v>
      </c>
      <c r="AC23" s="215">
        <v>-0.3</v>
      </c>
      <c r="AD23" s="224">
        <v>-0.83</v>
      </c>
      <c r="AE23" s="215">
        <v>-0.65</v>
      </c>
    </row>
    <row r="24" spans="2:31" ht="15.75" thickBot="1" x14ac:dyDescent="0.3">
      <c r="E24" s="468"/>
      <c r="F24" s="471"/>
      <c r="G24" s="474"/>
      <c r="H24" s="243" t="s">
        <v>295</v>
      </c>
      <c r="I24" s="243" t="s">
        <v>271</v>
      </c>
      <c r="J24" s="243" t="s">
        <v>272</v>
      </c>
      <c r="K24" s="243" t="s">
        <v>273</v>
      </c>
      <c r="L24" s="244" t="s">
        <v>9</v>
      </c>
      <c r="M24" s="244" t="s">
        <v>243</v>
      </c>
      <c r="N24" s="244" t="s">
        <v>296</v>
      </c>
      <c r="O24" s="244" t="s">
        <v>297</v>
      </c>
      <c r="P24" s="243" t="s">
        <v>298</v>
      </c>
      <c r="Q24" s="245" t="s">
        <v>299</v>
      </c>
      <c r="R24" s="197"/>
      <c r="S24" s="456" t="s">
        <v>302</v>
      </c>
      <c r="T24" s="457"/>
      <c r="U24" s="255">
        <v>11</v>
      </c>
      <c r="V24" s="231">
        <f>IF(U22=U23,V22,(($U$24-$U$22)*(V23-V22))/($U$23-$U$22)+V22)</f>
        <v>0.57200000000000006</v>
      </c>
      <c r="W24" s="232">
        <f t="shared" ref="W24:AE24" si="0">IF(V22=V23,W22,(($U$24-$U$22)*(W23-W22))/($U$23-$U$22)+W22)</f>
        <v>-0.22600000000000001</v>
      </c>
      <c r="X24" s="232">
        <f t="shared" si="0"/>
        <v>0.378</v>
      </c>
      <c r="Y24" s="233">
        <f t="shared" si="0"/>
        <v>-0.128</v>
      </c>
      <c r="Z24" s="231">
        <f t="shared" si="0"/>
        <v>-0.6</v>
      </c>
      <c r="AA24" s="256">
        <f t="shared" si="0"/>
        <v>-0.36</v>
      </c>
      <c r="AB24" s="232">
        <f t="shared" si="0"/>
        <v>-0.41</v>
      </c>
      <c r="AC24" s="233">
        <f t="shared" si="0"/>
        <v>-0.28000000000000003</v>
      </c>
      <c r="AD24" s="256">
        <f t="shared" si="0"/>
        <v>-0.83</v>
      </c>
      <c r="AE24" s="233">
        <f t="shared" si="0"/>
        <v>-0.65</v>
      </c>
    </row>
    <row r="25" spans="2:31" ht="15.75" thickBot="1" x14ac:dyDescent="0.3">
      <c r="E25" s="446" t="s">
        <v>286</v>
      </c>
      <c r="F25" s="212" t="s">
        <v>284</v>
      </c>
      <c r="G25" s="218">
        <v>1</v>
      </c>
      <c r="H25" s="219">
        <v>0.11</v>
      </c>
      <c r="I25" s="212">
        <v>-0.05</v>
      </c>
      <c r="J25" s="212">
        <v>7.0000000000000007E-2</v>
      </c>
      <c r="K25" s="218">
        <v>-0.03</v>
      </c>
      <c r="L25" s="219">
        <v>-0.13</v>
      </c>
      <c r="M25" s="212">
        <v>-7.0000000000000007E-2</v>
      </c>
      <c r="N25" s="212">
        <v>-0.09</v>
      </c>
      <c r="O25" s="220">
        <v>-0.06</v>
      </c>
      <c r="P25" s="221">
        <v>-0.18</v>
      </c>
      <c r="Q25" s="220">
        <v>-0.14000000000000001</v>
      </c>
      <c r="R25" s="197"/>
      <c r="S25" s="453" t="s">
        <v>303</v>
      </c>
      <c r="T25" s="454"/>
      <c r="U25" s="257">
        <f>C20</f>
        <v>130</v>
      </c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</row>
    <row r="26" spans="2:31" ht="15.75" thickBot="1" x14ac:dyDescent="0.3">
      <c r="E26" s="447"/>
      <c r="F26" s="121">
        <v>10</v>
      </c>
      <c r="G26" s="222">
        <v>1</v>
      </c>
      <c r="H26" s="223">
        <v>0.12</v>
      </c>
      <c r="I26" s="121">
        <v>-0.05</v>
      </c>
      <c r="J26" s="121">
        <v>0.08</v>
      </c>
      <c r="K26" s="222">
        <v>-0.03</v>
      </c>
      <c r="L26" s="223">
        <v>-0.13</v>
      </c>
      <c r="M26" s="121">
        <v>-0.08</v>
      </c>
      <c r="N26" s="121">
        <v>-0.09</v>
      </c>
      <c r="O26" s="215">
        <v>-0.06</v>
      </c>
      <c r="P26" s="221">
        <v>-0.18</v>
      </c>
      <c r="Q26" s="220">
        <v>-0.14000000000000001</v>
      </c>
      <c r="R26" s="197"/>
    </row>
    <row r="27" spans="2:31" ht="15.75" thickBot="1" x14ac:dyDescent="0.3">
      <c r="E27" s="447"/>
      <c r="F27" s="121">
        <v>15</v>
      </c>
      <c r="G27" s="222">
        <v>1</v>
      </c>
      <c r="H27" s="223">
        <v>0.13</v>
      </c>
      <c r="I27" s="121">
        <v>-0.04</v>
      </c>
      <c r="J27" s="121">
        <v>0.09</v>
      </c>
      <c r="K27" s="222">
        <v>-0.02</v>
      </c>
      <c r="L27" s="223">
        <v>-0.13</v>
      </c>
      <c r="M27" s="121">
        <v>-0.08</v>
      </c>
      <c r="N27" s="121">
        <v>-0.09</v>
      </c>
      <c r="O27" s="215">
        <v>-0.06</v>
      </c>
      <c r="P27" s="221">
        <v>-0.18</v>
      </c>
      <c r="Q27" s="220">
        <v>-0.14000000000000001</v>
      </c>
      <c r="R27" s="197"/>
    </row>
    <row r="28" spans="2:31" x14ac:dyDescent="0.25">
      <c r="E28" s="447"/>
      <c r="F28" s="121">
        <v>20</v>
      </c>
      <c r="G28" s="222">
        <v>1</v>
      </c>
      <c r="H28" s="223">
        <v>0.15</v>
      </c>
      <c r="I28" s="121">
        <v>-0.04</v>
      </c>
      <c r="J28" s="121">
        <v>0.1</v>
      </c>
      <c r="K28" s="222">
        <v>-0.02</v>
      </c>
      <c r="L28" s="223">
        <v>-0.13</v>
      </c>
      <c r="M28" s="121">
        <v>-0.09</v>
      </c>
      <c r="N28" s="121">
        <v>-0.09</v>
      </c>
      <c r="O28" s="215">
        <v>-7.0000000000000007E-2</v>
      </c>
      <c r="P28" s="221">
        <v>-0.18</v>
      </c>
      <c r="Q28" s="220">
        <v>-0.14000000000000001</v>
      </c>
      <c r="R28" s="197"/>
    </row>
    <row r="29" spans="2:31" x14ac:dyDescent="0.25">
      <c r="E29" s="447"/>
      <c r="F29" s="368">
        <v>25</v>
      </c>
      <c r="G29" s="222">
        <v>1</v>
      </c>
      <c r="H29" s="223">
        <v>0.13</v>
      </c>
      <c r="I29" s="121">
        <v>0.02</v>
      </c>
      <c r="J29" s="121">
        <v>0.1</v>
      </c>
      <c r="K29" s="222">
        <v>0.02</v>
      </c>
      <c r="L29" s="223">
        <v>-0.06</v>
      </c>
      <c r="M29" s="121">
        <v>-0.08</v>
      </c>
      <c r="N29" s="121">
        <v>-0.04</v>
      </c>
      <c r="O29" s="215">
        <v>-0.06</v>
      </c>
      <c r="P29" s="224">
        <v>-0.11</v>
      </c>
      <c r="Q29" s="215">
        <v>-0.09</v>
      </c>
      <c r="R29" s="197"/>
    </row>
    <row r="30" spans="2:31" x14ac:dyDescent="0.25">
      <c r="E30" s="447"/>
      <c r="F30" s="368"/>
      <c r="G30" s="222">
        <v>2</v>
      </c>
      <c r="H30" s="225" t="s">
        <v>300</v>
      </c>
      <c r="I30" s="226" t="s">
        <v>300</v>
      </c>
      <c r="J30" s="226" t="s">
        <v>300</v>
      </c>
      <c r="K30" s="227" t="s">
        <v>300</v>
      </c>
      <c r="L30" s="223">
        <v>-0.02</v>
      </c>
      <c r="M30" s="121">
        <v>-0.04</v>
      </c>
      <c r="N30" s="121">
        <v>-0.01</v>
      </c>
      <c r="O30" s="215">
        <v>-0.03</v>
      </c>
      <c r="P30" s="228" t="s">
        <v>300</v>
      </c>
      <c r="Q30" s="229" t="s">
        <v>300</v>
      </c>
      <c r="R30" s="197"/>
    </row>
    <row r="31" spans="2:31" x14ac:dyDescent="0.25">
      <c r="E31" s="447"/>
      <c r="F31" s="368" t="s">
        <v>285</v>
      </c>
      <c r="G31" s="222">
        <v>1</v>
      </c>
      <c r="H31" s="223">
        <v>0.12</v>
      </c>
      <c r="I31" s="121">
        <v>0.08</v>
      </c>
      <c r="J31" s="121">
        <v>0.09</v>
      </c>
      <c r="K31" s="222">
        <v>0.06</v>
      </c>
      <c r="L31" s="223">
        <v>0.01</v>
      </c>
      <c r="M31" s="121">
        <v>-7.0000000000000007E-2</v>
      </c>
      <c r="N31" s="121">
        <v>0</v>
      </c>
      <c r="O31" s="215">
        <v>-0.06</v>
      </c>
      <c r="P31" s="224">
        <v>-0.04</v>
      </c>
      <c r="Q31" s="215">
        <v>-0.05</v>
      </c>
      <c r="R31" s="197"/>
    </row>
    <row r="32" spans="2:31" ht="15.75" thickBot="1" x14ac:dyDescent="0.3">
      <c r="E32" s="448"/>
      <c r="F32" s="449"/>
      <c r="G32" s="230">
        <v>2</v>
      </c>
      <c r="H32" s="231">
        <v>0.12</v>
      </c>
      <c r="I32" s="232">
        <v>0.08</v>
      </c>
      <c r="J32" s="232">
        <v>0.09</v>
      </c>
      <c r="K32" s="230">
        <v>0.06</v>
      </c>
      <c r="L32" s="231">
        <v>0.05</v>
      </c>
      <c r="M32" s="232">
        <v>-0.04</v>
      </c>
      <c r="N32" s="232">
        <v>0.04</v>
      </c>
      <c r="O32" s="233">
        <v>-0.03</v>
      </c>
      <c r="P32" s="234">
        <v>-0.04</v>
      </c>
      <c r="Q32" s="235">
        <v>-0.05</v>
      </c>
      <c r="R32" s="197"/>
    </row>
    <row r="33" spans="5:18" x14ac:dyDescent="0.25">
      <c r="E33" s="446" t="s">
        <v>287</v>
      </c>
      <c r="F33" s="212" t="s">
        <v>284</v>
      </c>
      <c r="G33" s="218">
        <v>1</v>
      </c>
      <c r="H33" s="219">
        <v>0.19</v>
      </c>
      <c r="I33" s="212">
        <v>-0.1</v>
      </c>
      <c r="J33" s="212">
        <v>0.12</v>
      </c>
      <c r="K33" s="220">
        <v>-0.06</v>
      </c>
      <c r="L33" s="236">
        <v>-0.23</v>
      </c>
      <c r="M33" s="213">
        <v>-0.13</v>
      </c>
      <c r="N33" s="213">
        <v>-0.16</v>
      </c>
      <c r="O33" s="237">
        <v>-0.1</v>
      </c>
      <c r="P33" s="219">
        <v>-0.32</v>
      </c>
      <c r="Q33" s="220">
        <v>-0.25</v>
      </c>
      <c r="R33" s="197"/>
    </row>
    <row r="34" spans="5:18" x14ac:dyDescent="0.25">
      <c r="E34" s="447"/>
      <c r="F34" s="121">
        <v>10</v>
      </c>
      <c r="G34" s="222">
        <v>1</v>
      </c>
      <c r="H34" s="223">
        <v>0.21</v>
      </c>
      <c r="I34" s="121">
        <v>-0.09</v>
      </c>
      <c r="J34" s="121">
        <v>0.14000000000000001</v>
      </c>
      <c r="K34" s="215">
        <v>-0.05</v>
      </c>
      <c r="L34" s="223">
        <v>-0.23</v>
      </c>
      <c r="M34" s="121">
        <v>-0.14000000000000001</v>
      </c>
      <c r="N34" s="213">
        <v>-0.16</v>
      </c>
      <c r="O34" s="222">
        <v>-0.11</v>
      </c>
      <c r="P34" s="223">
        <v>-0.32</v>
      </c>
      <c r="Q34" s="215">
        <v>-0.25</v>
      </c>
      <c r="R34" s="197"/>
    </row>
    <row r="35" spans="5:18" x14ac:dyDescent="0.25">
      <c r="E35" s="447"/>
      <c r="F35" s="121">
        <v>15</v>
      </c>
      <c r="G35" s="222">
        <v>1</v>
      </c>
      <c r="H35" s="223">
        <v>0.24</v>
      </c>
      <c r="I35" s="121">
        <v>-0.08</v>
      </c>
      <c r="J35" s="121">
        <v>0.16</v>
      </c>
      <c r="K35" s="215">
        <v>-0.04</v>
      </c>
      <c r="L35" s="223">
        <v>-0.23</v>
      </c>
      <c r="M35" s="121">
        <v>-0.15</v>
      </c>
      <c r="N35" s="213">
        <v>-0.16</v>
      </c>
      <c r="O35" s="222">
        <v>-0.11</v>
      </c>
      <c r="P35" s="223">
        <v>-0.32</v>
      </c>
      <c r="Q35" s="215">
        <v>-0.25</v>
      </c>
      <c r="R35" s="197"/>
    </row>
    <row r="36" spans="5:18" x14ac:dyDescent="0.25">
      <c r="E36" s="447"/>
      <c r="F36" s="121">
        <v>20</v>
      </c>
      <c r="G36" s="222">
        <v>1</v>
      </c>
      <c r="H36" s="223">
        <v>0.26</v>
      </c>
      <c r="I36" s="121">
        <v>-7.0000000000000007E-2</v>
      </c>
      <c r="J36" s="121">
        <v>0.17</v>
      </c>
      <c r="K36" s="215">
        <v>-0.04</v>
      </c>
      <c r="L36" s="223">
        <v>-0.23</v>
      </c>
      <c r="M36" s="121">
        <v>-0.16</v>
      </c>
      <c r="N36" s="213">
        <v>-0.16</v>
      </c>
      <c r="O36" s="222">
        <v>-0.12</v>
      </c>
      <c r="P36" s="223">
        <v>-0.32</v>
      </c>
      <c r="Q36" s="215">
        <v>-0.25</v>
      </c>
      <c r="R36" s="197"/>
    </row>
    <row r="37" spans="5:18" x14ac:dyDescent="0.25">
      <c r="E37" s="447"/>
      <c r="F37" s="121"/>
      <c r="G37" s="222">
        <v>1</v>
      </c>
      <c r="H37" s="223">
        <v>0.24</v>
      </c>
      <c r="I37" s="121">
        <v>0.04</v>
      </c>
      <c r="J37" s="121">
        <v>0.17</v>
      </c>
      <c r="K37" s="215">
        <v>0.04</v>
      </c>
      <c r="L37" s="223">
        <v>-0.1</v>
      </c>
      <c r="M37" s="121">
        <v>-0.14000000000000001</v>
      </c>
      <c r="N37" s="121">
        <v>-0.08</v>
      </c>
      <c r="O37" s="222">
        <v>-0.11</v>
      </c>
      <c r="P37" s="223">
        <v>-0.19</v>
      </c>
      <c r="Q37" s="215">
        <v>-0.17</v>
      </c>
      <c r="R37" s="197"/>
    </row>
    <row r="38" spans="5:18" x14ac:dyDescent="0.25">
      <c r="E38" s="447"/>
      <c r="F38" s="121">
        <v>25</v>
      </c>
      <c r="G38" s="222">
        <v>2</v>
      </c>
      <c r="H38" s="225" t="s">
        <v>300</v>
      </c>
      <c r="I38" s="226" t="s">
        <v>300</v>
      </c>
      <c r="J38" s="226" t="s">
        <v>300</v>
      </c>
      <c r="K38" s="229" t="s">
        <v>300</v>
      </c>
      <c r="L38" s="223">
        <v>-0.04</v>
      </c>
      <c r="M38" s="121">
        <v>-0.08</v>
      </c>
      <c r="N38" s="121">
        <v>-0.01</v>
      </c>
      <c r="O38" s="222">
        <v>-0.05</v>
      </c>
      <c r="P38" s="225" t="s">
        <v>300</v>
      </c>
      <c r="Q38" s="229" t="s">
        <v>300</v>
      </c>
      <c r="R38" s="197"/>
    </row>
    <row r="39" spans="5:18" x14ac:dyDescent="0.25">
      <c r="E39" s="447"/>
      <c r="F39" s="450" t="s">
        <v>285</v>
      </c>
      <c r="G39" s="222">
        <v>1</v>
      </c>
      <c r="H39" s="223">
        <v>0.21</v>
      </c>
      <c r="I39" s="121">
        <v>0.14000000000000001</v>
      </c>
      <c r="J39" s="121">
        <v>0.17</v>
      </c>
      <c r="K39" s="215">
        <v>0.11</v>
      </c>
      <c r="L39" s="223">
        <v>0.02</v>
      </c>
      <c r="M39" s="121">
        <v>-0.13</v>
      </c>
      <c r="N39" s="121">
        <v>0</v>
      </c>
      <c r="O39" s="222">
        <v>-0.11</v>
      </c>
      <c r="P39" s="223">
        <v>-7.0000000000000007E-2</v>
      </c>
      <c r="Q39" s="215">
        <v>-0.09</v>
      </c>
      <c r="R39" s="197"/>
    </row>
    <row r="40" spans="5:18" ht="15.75" thickBot="1" x14ac:dyDescent="0.3">
      <c r="E40" s="448"/>
      <c r="F40" s="451"/>
      <c r="G40" s="230">
        <v>2</v>
      </c>
      <c r="H40" s="231">
        <v>0.21</v>
      </c>
      <c r="I40" s="232">
        <v>0.14000000000000001</v>
      </c>
      <c r="J40" s="232">
        <v>0.17</v>
      </c>
      <c r="K40" s="233">
        <v>0.11</v>
      </c>
      <c r="L40" s="231">
        <v>0.08</v>
      </c>
      <c r="M40" s="232">
        <v>-0.06</v>
      </c>
      <c r="N40" s="232">
        <v>7.0000000000000007E-2</v>
      </c>
      <c r="O40" s="230">
        <v>-0.05</v>
      </c>
      <c r="P40" s="231">
        <v>-7.0000000000000007E-2</v>
      </c>
      <c r="Q40" s="233">
        <v>-0.09</v>
      </c>
      <c r="R40" s="197"/>
    </row>
    <row r="41" spans="5:18" x14ac:dyDescent="0.25">
      <c r="E41" s="452" t="s">
        <v>288</v>
      </c>
      <c r="F41" s="213" t="s">
        <v>284</v>
      </c>
      <c r="G41" s="237">
        <v>1</v>
      </c>
      <c r="H41" s="236">
        <v>0.28999999999999998</v>
      </c>
      <c r="I41" s="213">
        <v>-0.15</v>
      </c>
      <c r="J41" s="213">
        <v>0.19</v>
      </c>
      <c r="K41" s="238">
        <v>-0.09</v>
      </c>
      <c r="L41" s="236">
        <v>-0.35</v>
      </c>
      <c r="M41" s="213">
        <v>-0.2</v>
      </c>
      <c r="N41" s="213">
        <v>-0.25</v>
      </c>
      <c r="O41" s="238">
        <v>-0.16</v>
      </c>
      <c r="P41" s="239">
        <v>-0.49</v>
      </c>
      <c r="Q41" s="238">
        <v>-0.39</v>
      </c>
      <c r="R41" s="197"/>
    </row>
    <row r="42" spans="5:18" x14ac:dyDescent="0.25">
      <c r="E42" s="447"/>
      <c r="F42" s="121">
        <v>10</v>
      </c>
      <c r="G42" s="222">
        <v>1</v>
      </c>
      <c r="H42" s="223">
        <v>0.33</v>
      </c>
      <c r="I42" s="121">
        <v>-0.14000000000000001</v>
      </c>
      <c r="J42" s="121">
        <v>0.22</v>
      </c>
      <c r="K42" s="215">
        <v>-0.08</v>
      </c>
      <c r="L42" s="236">
        <v>-0.35</v>
      </c>
      <c r="M42" s="121">
        <v>-0.21</v>
      </c>
      <c r="N42" s="121">
        <v>-0.25</v>
      </c>
      <c r="O42" s="215">
        <v>-0.17</v>
      </c>
      <c r="P42" s="239">
        <v>-0.49</v>
      </c>
      <c r="Q42" s="238">
        <v>-0.39</v>
      </c>
      <c r="R42" s="197"/>
    </row>
    <row r="43" spans="5:18" x14ac:dyDescent="0.25">
      <c r="E43" s="447"/>
      <c r="F43" s="121">
        <v>15</v>
      </c>
      <c r="G43" s="222">
        <v>1</v>
      </c>
      <c r="H43" s="223">
        <v>0.37</v>
      </c>
      <c r="I43" s="121">
        <v>-0.12</v>
      </c>
      <c r="J43" s="121">
        <v>0.25</v>
      </c>
      <c r="K43" s="215">
        <v>-7.0000000000000007E-2</v>
      </c>
      <c r="L43" s="236">
        <v>-0.35</v>
      </c>
      <c r="M43" s="121">
        <v>-0.23</v>
      </c>
      <c r="N43" s="121">
        <v>-0.25</v>
      </c>
      <c r="O43" s="215">
        <v>-0.18</v>
      </c>
      <c r="P43" s="239">
        <v>-0.49</v>
      </c>
      <c r="Q43" s="238">
        <v>-0.39</v>
      </c>
      <c r="R43" s="197"/>
    </row>
    <row r="44" spans="5:18" x14ac:dyDescent="0.25">
      <c r="E44" s="447"/>
      <c r="F44" s="121">
        <v>20</v>
      </c>
      <c r="G44" s="222">
        <v>1</v>
      </c>
      <c r="H44" s="223">
        <v>0.41</v>
      </c>
      <c r="I44" s="121">
        <v>-0.11</v>
      </c>
      <c r="J44" s="121">
        <v>0.27</v>
      </c>
      <c r="K44" s="215">
        <v>-0.06</v>
      </c>
      <c r="L44" s="236">
        <v>-0.35</v>
      </c>
      <c r="M44" s="121">
        <v>-0.25</v>
      </c>
      <c r="N44" s="121">
        <v>-0.25</v>
      </c>
      <c r="O44" s="215">
        <v>-0.19</v>
      </c>
      <c r="P44" s="239">
        <v>-0.49</v>
      </c>
      <c r="Q44" s="238">
        <v>-0.39</v>
      </c>
    </row>
    <row r="45" spans="5:18" x14ac:dyDescent="0.25">
      <c r="E45" s="447"/>
      <c r="F45" s="368">
        <v>25</v>
      </c>
      <c r="G45" s="222">
        <v>1</v>
      </c>
      <c r="H45" s="223">
        <v>0.37</v>
      </c>
      <c r="I45" s="121">
        <v>0.06</v>
      </c>
      <c r="J45" s="121">
        <v>0.27</v>
      </c>
      <c r="K45" s="215">
        <v>0.06</v>
      </c>
      <c r="L45" s="223">
        <v>-0.16</v>
      </c>
      <c r="M45" s="121">
        <v>-0.22</v>
      </c>
      <c r="N45" s="121">
        <v>-0.12</v>
      </c>
      <c r="O45" s="215">
        <v>-0.18</v>
      </c>
      <c r="P45" s="224">
        <v>-0.3</v>
      </c>
      <c r="Q45" s="215">
        <v>-0.26</v>
      </c>
    </row>
    <row r="46" spans="5:18" x14ac:dyDescent="0.25">
      <c r="E46" s="447"/>
      <c r="F46" s="368"/>
      <c r="G46" s="222">
        <v>2</v>
      </c>
      <c r="H46" s="225" t="s">
        <v>300</v>
      </c>
      <c r="I46" s="226" t="s">
        <v>300</v>
      </c>
      <c r="J46" s="226" t="s">
        <v>300</v>
      </c>
      <c r="K46" s="229" t="s">
        <v>300</v>
      </c>
      <c r="L46" s="223">
        <v>-0.06</v>
      </c>
      <c r="M46" s="121">
        <v>-0.12</v>
      </c>
      <c r="N46" s="121">
        <v>-0.02</v>
      </c>
      <c r="O46" s="215">
        <v>-0.06</v>
      </c>
      <c r="P46" s="228" t="s">
        <v>300</v>
      </c>
      <c r="Q46" s="229" t="s">
        <v>300</v>
      </c>
    </row>
    <row r="47" spans="5:18" x14ac:dyDescent="0.25">
      <c r="E47" s="447"/>
      <c r="F47" s="450" t="s">
        <v>285</v>
      </c>
      <c r="G47" s="222">
        <v>1</v>
      </c>
      <c r="H47" s="223">
        <v>0.33</v>
      </c>
      <c r="I47" s="121">
        <v>0.23</v>
      </c>
      <c r="J47" s="121">
        <v>0.26</v>
      </c>
      <c r="K47" s="215">
        <v>0.18</v>
      </c>
      <c r="L47" s="223">
        <v>0.03</v>
      </c>
      <c r="M47" s="121">
        <v>-0.2</v>
      </c>
      <c r="N47" s="121">
        <v>0.01</v>
      </c>
      <c r="O47" s="215">
        <v>-0.17</v>
      </c>
      <c r="P47" s="224">
        <v>-0.12</v>
      </c>
      <c r="Q47" s="215">
        <v>-0.13</v>
      </c>
    </row>
    <row r="48" spans="5:18" ht="15.75" thickBot="1" x14ac:dyDescent="0.3">
      <c r="E48" s="448"/>
      <c r="F48" s="451"/>
      <c r="G48" s="230">
        <v>2</v>
      </c>
      <c r="H48" s="231">
        <v>0.33</v>
      </c>
      <c r="I48" s="232">
        <v>0.23</v>
      </c>
      <c r="J48" s="232">
        <v>0.26</v>
      </c>
      <c r="K48" s="233">
        <v>0.18</v>
      </c>
      <c r="L48" s="231">
        <v>0.13</v>
      </c>
      <c r="M48" s="232">
        <v>-0.1</v>
      </c>
      <c r="N48" s="232">
        <v>0.11</v>
      </c>
      <c r="O48" s="233">
        <v>-7.0000000000000007E-2</v>
      </c>
      <c r="P48" s="234">
        <v>-0.12</v>
      </c>
      <c r="Q48" s="235">
        <v>-0.13</v>
      </c>
    </row>
    <row r="49" spans="5:17" x14ac:dyDescent="0.25">
      <c r="E49" s="446" t="s">
        <v>289</v>
      </c>
      <c r="F49" s="212" t="s">
        <v>284</v>
      </c>
      <c r="G49" s="218">
        <v>1</v>
      </c>
      <c r="H49" s="219">
        <v>0.42</v>
      </c>
      <c r="I49" s="212">
        <v>-0.22</v>
      </c>
      <c r="J49" s="212">
        <v>0.28000000000000003</v>
      </c>
      <c r="K49" s="220">
        <v>-0.13</v>
      </c>
      <c r="L49" s="219">
        <v>-0.51</v>
      </c>
      <c r="M49" s="212">
        <v>-0.28999999999999998</v>
      </c>
      <c r="N49" s="212">
        <v>-0.35</v>
      </c>
      <c r="O49" s="218">
        <v>-0.22</v>
      </c>
      <c r="P49" s="219">
        <v>-0.71</v>
      </c>
      <c r="Q49" s="220">
        <v>-0.56000000000000005</v>
      </c>
    </row>
    <row r="50" spans="5:17" x14ac:dyDescent="0.25">
      <c r="E50" s="447"/>
      <c r="F50" s="121">
        <v>10</v>
      </c>
      <c r="G50" s="222">
        <v>1</v>
      </c>
      <c r="H50" s="223">
        <v>0.48</v>
      </c>
      <c r="I50" s="121">
        <v>-0.2</v>
      </c>
      <c r="J50" s="121">
        <v>0.32</v>
      </c>
      <c r="K50" s="215">
        <v>-0.11</v>
      </c>
      <c r="L50" s="223">
        <v>-0.51</v>
      </c>
      <c r="M50" s="121">
        <v>-0.31</v>
      </c>
      <c r="N50" s="121">
        <v>-0.35</v>
      </c>
      <c r="O50" s="222">
        <v>-0.24</v>
      </c>
      <c r="P50" s="223">
        <v>-0.71</v>
      </c>
      <c r="Q50" s="215">
        <v>-0.56000000000000005</v>
      </c>
    </row>
    <row r="51" spans="5:17" x14ac:dyDescent="0.25">
      <c r="E51" s="447"/>
      <c r="F51" s="121">
        <v>15</v>
      </c>
      <c r="G51" s="222">
        <v>1</v>
      </c>
      <c r="H51" s="223">
        <v>0.53</v>
      </c>
      <c r="I51" s="121">
        <v>-0.18</v>
      </c>
      <c r="J51" s="121">
        <v>0.35</v>
      </c>
      <c r="K51" s="215">
        <v>-0.1</v>
      </c>
      <c r="L51" s="223">
        <v>-0.51</v>
      </c>
      <c r="M51" s="121">
        <v>-0.33</v>
      </c>
      <c r="N51" s="121">
        <v>-0.35</v>
      </c>
      <c r="O51" s="222">
        <v>-0.25</v>
      </c>
      <c r="P51" s="223">
        <v>-0.71</v>
      </c>
      <c r="Q51" s="215">
        <v>-0.56000000000000005</v>
      </c>
    </row>
    <row r="52" spans="5:17" x14ac:dyDescent="0.25">
      <c r="E52" s="447"/>
      <c r="F52" s="121">
        <v>20</v>
      </c>
      <c r="G52" s="222">
        <v>1</v>
      </c>
      <c r="H52" s="223">
        <v>0.59</v>
      </c>
      <c r="I52" s="121">
        <v>-0.15</v>
      </c>
      <c r="J52" s="121">
        <v>0.39</v>
      </c>
      <c r="K52" s="215">
        <v>-0.08</v>
      </c>
      <c r="L52" s="223">
        <v>-0.51</v>
      </c>
      <c r="M52" s="121">
        <v>-0.35</v>
      </c>
      <c r="N52" s="121">
        <v>-0.35</v>
      </c>
      <c r="O52" s="222">
        <v>-0.27</v>
      </c>
      <c r="P52" s="223">
        <v>-0.71</v>
      </c>
      <c r="Q52" s="215">
        <v>-0.56000000000000005</v>
      </c>
    </row>
    <row r="53" spans="5:17" x14ac:dyDescent="0.25">
      <c r="E53" s="447"/>
      <c r="F53" s="368">
        <v>25</v>
      </c>
      <c r="G53" s="222">
        <v>1</v>
      </c>
      <c r="H53" s="223">
        <v>0.53</v>
      </c>
      <c r="I53" s="121">
        <v>0.08</v>
      </c>
      <c r="J53" s="121">
        <v>0.38</v>
      </c>
      <c r="K53" s="215">
        <v>0.09</v>
      </c>
      <c r="L53" s="223">
        <v>-0.24</v>
      </c>
      <c r="M53" s="121">
        <v>-0.32</v>
      </c>
      <c r="N53" s="121">
        <v>-0.17</v>
      </c>
      <c r="O53" s="222">
        <v>-0.26</v>
      </c>
      <c r="P53" s="223">
        <v>-0.44</v>
      </c>
      <c r="Q53" s="215">
        <v>-0.37</v>
      </c>
    </row>
    <row r="54" spans="5:17" x14ac:dyDescent="0.25">
      <c r="E54" s="447"/>
      <c r="F54" s="368"/>
      <c r="G54" s="222">
        <v>2</v>
      </c>
      <c r="H54" s="225" t="s">
        <v>300</v>
      </c>
      <c r="I54" s="226" t="s">
        <v>300</v>
      </c>
      <c r="J54" s="226" t="s">
        <v>300</v>
      </c>
      <c r="K54" s="229" t="s">
        <v>300</v>
      </c>
      <c r="L54" s="223">
        <v>-0.09</v>
      </c>
      <c r="M54" s="121">
        <v>-0.17</v>
      </c>
      <c r="N54" s="121">
        <v>-0.03</v>
      </c>
      <c r="O54" s="222">
        <v>-0.11</v>
      </c>
      <c r="P54" s="225" t="s">
        <v>300</v>
      </c>
      <c r="Q54" s="229" t="s">
        <v>300</v>
      </c>
    </row>
    <row r="55" spans="5:17" x14ac:dyDescent="0.25">
      <c r="E55" s="447"/>
      <c r="F55" s="450" t="s">
        <v>285</v>
      </c>
      <c r="G55" s="222">
        <v>1</v>
      </c>
      <c r="H55" s="223">
        <v>0.48</v>
      </c>
      <c r="I55" s="121">
        <v>0.32</v>
      </c>
      <c r="J55" s="121">
        <v>0.38</v>
      </c>
      <c r="K55" s="215">
        <v>0.26</v>
      </c>
      <c r="L55" s="223">
        <v>0.04</v>
      </c>
      <c r="M55" s="121">
        <v>-0.28999999999999998</v>
      </c>
      <c r="N55" s="121">
        <v>0.01</v>
      </c>
      <c r="O55" s="222">
        <v>-0.25</v>
      </c>
      <c r="P55" s="223">
        <v>-0.17</v>
      </c>
      <c r="Q55" s="215">
        <v>-0.19</v>
      </c>
    </row>
    <row r="56" spans="5:17" ht="15.75" thickBot="1" x14ac:dyDescent="0.3">
      <c r="E56" s="448"/>
      <c r="F56" s="451"/>
      <c r="G56" s="230">
        <v>2</v>
      </c>
      <c r="H56" s="231">
        <v>0.48</v>
      </c>
      <c r="I56" s="232">
        <v>0.32</v>
      </c>
      <c r="J56" s="232">
        <v>0.38</v>
      </c>
      <c r="K56" s="233">
        <v>0.26</v>
      </c>
      <c r="L56" s="240">
        <v>0.18</v>
      </c>
      <c r="M56" s="241">
        <v>-0.14000000000000001</v>
      </c>
      <c r="N56" s="241">
        <v>0.16</v>
      </c>
      <c r="O56" s="242">
        <v>-0.1</v>
      </c>
      <c r="P56" s="240">
        <v>-0.17</v>
      </c>
      <c r="Q56" s="235">
        <v>-0.19</v>
      </c>
    </row>
    <row r="57" spans="5:17" x14ac:dyDescent="0.25">
      <c r="E57" s="446" t="s">
        <v>290</v>
      </c>
      <c r="F57" s="212" t="s">
        <v>284</v>
      </c>
      <c r="G57" s="218">
        <v>1</v>
      </c>
      <c r="H57" s="219">
        <v>0.5</v>
      </c>
      <c r="I57" s="212">
        <v>-0.26</v>
      </c>
      <c r="J57" s="212">
        <v>0.33</v>
      </c>
      <c r="K57" s="218">
        <v>-0.15</v>
      </c>
      <c r="L57" s="219">
        <v>-0.6</v>
      </c>
      <c r="M57" s="212">
        <v>-0.34</v>
      </c>
      <c r="N57" s="212">
        <v>-0.41</v>
      </c>
      <c r="O57" s="218">
        <v>-0.26</v>
      </c>
      <c r="P57" s="219">
        <v>-0.83</v>
      </c>
      <c r="Q57" s="220">
        <v>-0.65</v>
      </c>
    </row>
    <row r="58" spans="5:17" x14ac:dyDescent="0.25">
      <c r="E58" s="447"/>
      <c r="F58" s="121">
        <v>10</v>
      </c>
      <c r="G58" s="222">
        <v>1</v>
      </c>
      <c r="H58" s="223">
        <v>0.56000000000000005</v>
      </c>
      <c r="I58" s="121">
        <v>-0.23</v>
      </c>
      <c r="J58" s="121">
        <v>0.37</v>
      </c>
      <c r="K58" s="222">
        <v>-0.13</v>
      </c>
      <c r="L58" s="223">
        <v>-0.6</v>
      </c>
      <c r="M58" s="121">
        <v>-0.36</v>
      </c>
      <c r="N58" s="121">
        <v>-0.41</v>
      </c>
      <c r="O58" s="222">
        <v>-0.28000000000000003</v>
      </c>
      <c r="P58" s="223">
        <v>-0.83</v>
      </c>
      <c r="Q58" s="215">
        <v>-0.65</v>
      </c>
    </row>
    <row r="59" spans="5:17" x14ac:dyDescent="0.25">
      <c r="E59" s="447"/>
      <c r="F59" s="121">
        <v>15</v>
      </c>
      <c r="G59" s="222">
        <v>1</v>
      </c>
      <c r="H59" s="223">
        <v>0.62</v>
      </c>
      <c r="I59" s="121">
        <v>-0.21</v>
      </c>
      <c r="J59" s="121">
        <v>0.41</v>
      </c>
      <c r="K59" s="222">
        <v>-0.12</v>
      </c>
      <c r="L59" s="223">
        <v>-0.6</v>
      </c>
      <c r="M59" s="121">
        <v>-0.39</v>
      </c>
      <c r="N59" s="121">
        <v>-0.41</v>
      </c>
      <c r="O59" s="222">
        <v>-0.3</v>
      </c>
      <c r="P59" s="223">
        <v>-0.83</v>
      </c>
      <c r="Q59" s="215">
        <v>-0.65</v>
      </c>
    </row>
    <row r="60" spans="5:17" x14ac:dyDescent="0.25">
      <c r="E60" s="447"/>
      <c r="F60" s="121">
        <v>20</v>
      </c>
      <c r="G60" s="222">
        <v>1</v>
      </c>
      <c r="H60" s="223">
        <v>0.69</v>
      </c>
      <c r="I60" s="121">
        <v>-0.18</v>
      </c>
      <c r="J60" s="121">
        <v>0.46</v>
      </c>
      <c r="K60" s="222">
        <v>-0.1</v>
      </c>
      <c r="L60" s="223">
        <v>-0.6</v>
      </c>
      <c r="M60" s="121">
        <v>-0.41</v>
      </c>
      <c r="N60" s="121">
        <v>-0.41</v>
      </c>
      <c r="O60" s="222">
        <v>-0.32</v>
      </c>
      <c r="P60" s="223">
        <v>-0.83</v>
      </c>
      <c r="Q60" s="215">
        <v>-0.65</v>
      </c>
    </row>
    <row r="61" spans="5:17" x14ac:dyDescent="0.25">
      <c r="E61" s="447"/>
      <c r="F61" s="368">
        <v>25</v>
      </c>
      <c r="G61" s="222">
        <v>1</v>
      </c>
      <c r="H61" s="223">
        <v>0.62</v>
      </c>
      <c r="I61" s="121">
        <v>0.1</v>
      </c>
      <c r="J61" s="121">
        <v>0.45</v>
      </c>
      <c r="K61" s="222">
        <v>0.1</v>
      </c>
      <c r="L61" s="223">
        <v>-0.28000000000000003</v>
      </c>
      <c r="M61" s="121">
        <v>-0.38</v>
      </c>
      <c r="N61" s="121">
        <v>-0.2</v>
      </c>
      <c r="O61" s="222">
        <v>-0.3</v>
      </c>
      <c r="P61" s="223">
        <v>-0.51</v>
      </c>
      <c r="Q61" s="215">
        <v>-0.44</v>
      </c>
    </row>
    <row r="62" spans="5:17" x14ac:dyDescent="0.25">
      <c r="E62" s="447"/>
      <c r="F62" s="368"/>
      <c r="G62" s="222">
        <v>2</v>
      </c>
      <c r="H62" s="225" t="s">
        <v>300</v>
      </c>
      <c r="I62" s="226" t="s">
        <v>300</v>
      </c>
      <c r="J62" s="226" t="s">
        <v>300</v>
      </c>
      <c r="K62" s="227" t="s">
        <v>300</v>
      </c>
      <c r="L62" s="223">
        <v>-0.1</v>
      </c>
      <c r="M62" s="121">
        <v>-0.2</v>
      </c>
      <c r="N62" s="121">
        <v>-0.03</v>
      </c>
      <c r="O62" s="222">
        <v>-0.13</v>
      </c>
      <c r="P62" s="225" t="s">
        <v>300</v>
      </c>
      <c r="Q62" s="229" t="s">
        <v>300</v>
      </c>
    </row>
    <row r="63" spans="5:17" x14ac:dyDescent="0.25">
      <c r="E63" s="447"/>
      <c r="F63" s="450" t="s">
        <v>285</v>
      </c>
      <c r="G63" s="222">
        <v>1</v>
      </c>
      <c r="H63" s="223">
        <v>0.56000000000000005</v>
      </c>
      <c r="I63" s="121">
        <v>0.38</v>
      </c>
      <c r="J63" s="121">
        <v>0.44</v>
      </c>
      <c r="K63" s="222">
        <v>0.3</v>
      </c>
      <c r="L63" s="223">
        <v>0.04</v>
      </c>
      <c r="M63" s="121">
        <v>-0.34</v>
      </c>
      <c r="N63" s="121">
        <v>0.01</v>
      </c>
      <c r="O63" s="222">
        <v>-0.28999999999999998</v>
      </c>
      <c r="P63" s="223">
        <v>-0.19</v>
      </c>
      <c r="Q63" s="215">
        <v>-0.22</v>
      </c>
    </row>
    <row r="64" spans="5:17" ht="15.75" thickBot="1" x14ac:dyDescent="0.3">
      <c r="E64" s="448"/>
      <c r="F64" s="451"/>
      <c r="G64" s="230">
        <v>2</v>
      </c>
      <c r="H64" s="231">
        <v>0.56000000000000005</v>
      </c>
      <c r="I64" s="232">
        <v>0.38</v>
      </c>
      <c r="J64" s="232">
        <v>0.44</v>
      </c>
      <c r="K64" s="230">
        <v>0.3</v>
      </c>
      <c r="L64" s="231">
        <v>0.22</v>
      </c>
      <c r="M64" s="232">
        <v>-0.17</v>
      </c>
      <c r="N64" s="232">
        <v>0.19</v>
      </c>
      <c r="O64" s="230">
        <v>-0.12</v>
      </c>
      <c r="P64" s="231">
        <v>-0.19</v>
      </c>
      <c r="Q64" s="233">
        <v>-0.22</v>
      </c>
    </row>
  </sheetData>
  <mergeCells count="35">
    <mergeCell ref="S25:T25"/>
    <mergeCell ref="V20:AE20"/>
    <mergeCell ref="S23:T23"/>
    <mergeCell ref="C15:D15"/>
    <mergeCell ref="L11:M11"/>
    <mergeCell ref="L12:M12"/>
    <mergeCell ref="S22:T22"/>
    <mergeCell ref="E22:E24"/>
    <mergeCell ref="F22:F24"/>
    <mergeCell ref="G22:G24"/>
    <mergeCell ref="H22:Q22"/>
    <mergeCell ref="H23:K23"/>
    <mergeCell ref="L23:O23"/>
    <mergeCell ref="P23:Q23"/>
    <mergeCell ref="S24:T24"/>
    <mergeCell ref="E49:E56"/>
    <mergeCell ref="E57:E64"/>
    <mergeCell ref="F31:F32"/>
    <mergeCell ref="F63:F64"/>
    <mergeCell ref="F55:F56"/>
    <mergeCell ref="F47:F48"/>
    <mergeCell ref="F39:F40"/>
    <mergeCell ref="F61:F62"/>
    <mergeCell ref="F53:F54"/>
    <mergeCell ref="E25:E32"/>
    <mergeCell ref="E33:E40"/>
    <mergeCell ref="E41:E48"/>
    <mergeCell ref="F29:F30"/>
    <mergeCell ref="F45:F46"/>
    <mergeCell ref="B9:C9"/>
    <mergeCell ref="G9:G10"/>
    <mergeCell ref="L9:N9"/>
    <mergeCell ref="B2:D2"/>
    <mergeCell ref="H9:J9"/>
    <mergeCell ref="L10:M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PREDIMENSIONAMIENTO </vt:lpstr>
      <vt:lpstr>PESO PROPIO </vt:lpstr>
      <vt:lpstr>ESPECTRO</vt:lpstr>
      <vt:lpstr>IRREGULARIDADES</vt:lpstr>
      <vt:lpstr>FHE</vt:lpstr>
      <vt:lpstr>CARGA DE VIENTO</vt:lpstr>
      <vt:lpstr>DATOS DE VIENTO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2021-02-12T21:53:50Z</dcterms:created>
  <dcterms:modified xsi:type="dcterms:W3CDTF">2021-07-10T23:03:56Z</dcterms:modified>
</cp:coreProperties>
</file>