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Santiago\Downloads\"/>
    </mc:Choice>
  </mc:AlternateContent>
  <xr:revisionPtr revIDLastSave="0" documentId="13_ncr:1_{DE800D93-02E8-4D6D-AF55-31A342433D17}" xr6:coauthVersionLast="47" xr6:coauthVersionMax="47" xr10:uidLastSave="{00000000-0000-0000-0000-000000000000}"/>
  <bookViews>
    <workbookView xWindow="-120" yWindow="-120" windowWidth="20730" windowHeight="11160" firstSheet="22" activeTab="25" xr2:uid="{71365E59-CE4F-4439-83A9-A4999F87BB8E}"/>
  </bookViews>
  <sheets>
    <sheet name="Plan de Inversión" sheetId="1" r:id="rId1"/>
    <sheet name="Gastos" sheetId="3" r:id="rId2"/>
    <sheet name="Compras" sheetId="5" r:id="rId3"/>
    <sheet name="Costeo" sheetId="6" r:id="rId4"/>
    <sheet name="Proyección de ventas" sheetId="4" r:id="rId5"/>
    <sheet name="Margen bruto" sheetId="10" r:id="rId6"/>
    <sheet name="Plan de Producción" sheetId="9" r:id="rId7"/>
    <sheet name="Procesos" sheetId="2" r:id="rId8"/>
    <sheet name="Market Share Proveedor" sheetId="7" r:id="rId9"/>
    <sheet name="MS Clientes" sheetId="8" r:id="rId10"/>
    <sheet name="Punto de Equilibrio" sheetId="11" r:id="rId11"/>
    <sheet name="Financiero" sheetId="12" r:id="rId12"/>
    <sheet name="Flujo de Caja" sheetId="13" r:id="rId13"/>
    <sheet name="Hoja1" sheetId="32" r:id="rId14"/>
    <sheet name="Presupuesto" sheetId="15" r:id="rId15"/>
    <sheet name="Estados Finacieros" sheetId="14" r:id="rId16"/>
    <sheet name="HV SERV" sheetId="33" r:id="rId17"/>
    <sheet name="HV E1" sheetId="16" r:id="rId18"/>
    <sheet name="HV E2" sheetId="17" r:id="rId19"/>
    <sheet name="HV E3" sheetId="18" r:id="rId20"/>
    <sheet name="calculo WACC" sheetId="26" r:id="rId21"/>
    <sheet name="Calculo WACC 2" sheetId="27" r:id="rId22"/>
    <sheet name="Cálculo WACC 3" sheetId="28" r:id="rId23"/>
    <sheet name="Cálculo WACC 4" sheetId="29" r:id="rId24"/>
    <sheet name="Cálculo WACC 5" sheetId="31" r:id="rId25"/>
    <sheet name="Check list" sheetId="34" r:id="rId26"/>
  </sheets>
  <externalReferences>
    <externalReference r:id="rId27"/>
    <externalReference r:id="rId28"/>
    <externalReference r:id="rId29"/>
    <externalReference r:id="rId30"/>
    <externalReference r:id="rId31"/>
  </externalReferences>
  <definedNames>
    <definedName name="CC1C">'[1]4. PRESTAMO BANCARIO'!$L$10</definedName>
    <definedName name="CC2C">'[1]4. PRESTAMO BANCARIO'!$L$11</definedName>
    <definedName name="CC3C">'[1]4. PRESTAMO BANCARIO'!$L$12</definedName>
    <definedName name="CC4C">'[1]4. PRESTAMO BANCARIO'!$L$13</definedName>
    <definedName name="CC5C">'[1]4. PRESTAMO BANCARIO'!$L$14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34" l="1"/>
  <c r="D3" i="34" s="1"/>
  <c r="B15" i="3"/>
  <c r="B16" i="3" s="1"/>
  <c r="H10" i="32"/>
  <c r="J9" i="32"/>
  <c r="J8" i="32"/>
  <c r="H8" i="32"/>
  <c r="G16" i="10"/>
  <c r="G17" i="10" s="1"/>
  <c r="G18" i="10" s="1"/>
  <c r="G19" i="10" s="1"/>
  <c r="E14" i="10"/>
  <c r="E13" i="10"/>
  <c r="E12" i="10"/>
  <c r="E10" i="10"/>
  <c r="E11" i="10"/>
  <c r="E15" i="10"/>
  <c r="E16" i="10"/>
  <c r="H8" i="10"/>
  <c r="C38" i="13"/>
  <c r="F3" i="7"/>
  <c r="B11" i="31"/>
  <c r="B10" i="31"/>
  <c r="B1" i="31"/>
  <c r="B8" i="29"/>
  <c r="C3" i="29" a="1"/>
  <c r="C5" i="29" s="1"/>
  <c r="F37" i="28"/>
  <c r="F15" i="28"/>
  <c r="E15" i="28"/>
  <c r="D15" i="28"/>
  <c r="C15" i="28"/>
  <c r="B15" i="28"/>
  <c r="F53" i="27"/>
  <c r="E29" i="27"/>
  <c r="D29" i="27"/>
  <c r="C29" i="27"/>
  <c r="B29" i="27"/>
  <c r="F28" i="27"/>
  <c r="E28" i="27"/>
  <c r="D28" i="27"/>
  <c r="C28" i="27"/>
  <c r="B28" i="27"/>
  <c r="F27" i="27"/>
  <c r="E27" i="27"/>
  <c r="D27" i="27"/>
  <c r="C27" i="27"/>
  <c r="B27" i="27"/>
  <c r="F26" i="27"/>
  <c r="E26" i="27"/>
  <c r="D26" i="27"/>
  <c r="C26" i="27"/>
  <c r="B26" i="27"/>
  <c r="F25" i="27"/>
  <c r="E25" i="27"/>
  <c r="D25" i="27"/>
  <c r="C25" i="27"/>
  <c r="B25" i="27"/>
  <c r="F24" i="27"/>
  <c r="E24" i="27"/>
  <c r="D24" i="27"/>
  <c r="C24" i="27"/>
  <c r="B24" i="27"/>
  <c r="F23" i="27"/>
  <c r="E23" i="27"/>
  <c r="D23" i="27"/>
  <c r="C23" i="27"/>
  <c r="B23" i="27"/>
  <c r="F22" i="27"/>
  <c r="E22" i="27"/>
  <c r="D22" i="27"/>
  <c r="C22" i="27"/>
  <c r="B22" i="27"/>
  <c r="F21" i="27"/>
  <c r="E21" i="27"/>
  <c r="D21" i="27"/>
  <c r="C21" i="27"/>
  <c r="B21" i="27"/>
  <c r="F20" i="27"/>
  <c r="E20" i="27"/>
  <c r="D20" i="27"/>
  <c r="C20" i="27"/>
  <c r="B20" i="27"/>
  <c r="F19" i="27"/>
  <c r="E19" i="27"/>
  <c r="D19" i="27"/>
  <c r="C19" i="27"/>
  <c r="B19" i="27"/>
  <c r="F18" i="27"/>
  <c r="E18" i="27"/>
  <c r="D18" i="27"/>
  <c r="C18" i="27"/>
  <c r="P17" i="27"/>
  <c r="P16" i="27"/>
  <c r="P18" i="27" s="1"/>
  <c r="B8" i="26"/>
  <c r="C7" i="26"/>
  <c r="E7" i="26" s="1"/>
  <c r="E8" i="26" s="1"/>
  <c r="E10" i="26" s="1"/>
  <c r="B4" i="26"/>
  <c r="B16" i="28" l="1"/>
  <c r="C3" i="29"/>
  <c r="C7" i="29"/>
  <c r="C4" i="29"/>
  <c r="C6" i="29"/>
  <c r="C8" i="29" l="1"/>
  <c r="C11" i="29" s="1"/>
  <c r="C10" i="29"/>
  <c r="C13" i="29" l="1"/>
  <c r="F13" i="29" s="1"/>
  <c r="F18" i="3" l="1"/>
  <c r="E18" i="3" s="1"/>
  <c r="L15" i="14" l="1"/>
  <c r="D11" i="14"/>
  <c r="H6" i="14"/>
  <c r="E46" i="14"/>
  <c r="E49" i="14" s="1"/>
  <c r="E35" i="14"/>
  <c r="P15" i="14"/>
  <c r="O15" i="14"/>
  <c r="N15" i="14"/>
  <c r="M15" i="14"/>
  <c r="D10" i="15"/>
  <c r="E10" i="15"/>
  <c r="F10" i="15" s="1"/>
  <c r="G10" i="15" s="1"/>
  <c r="H10" i="15" s="1"/>
  <c r="D21" i="13"/>
  <c r="D30" i="13" s="1"/>
  <c r="F40" i="14" s="1"/>
  <c r="G40" i="14" s="1"/>
  <c r="C24" i="13"/>
  <c r="R26" i="13"/>
  <c r="Q26" i="13"/>
  <c r="P26" i="13"/>
  <c r="O26" i="13"/>
  <c r="N26" i="13"/>
  <c r="R25" i="13"/>
  <c r="Q25" i="13"/>
  <c r="P25" i="13"/>
  <c r="O25" i="13"/>
  <c r="N25" i="13"/>
  <c r="R24" i="13"/>
  <c r="Q24" i="13"/>
  <c r="P24" i="13"/>
  <c r="O24" i="13"/>
  <c r="N24" i="13"/>
  <c r="M24" i="13"/>
  <c r="R23" i="13"/>
  <c r="Q23" i="13"/>
  <c r="P23" i="13"/>
  <c r="O23" i="13"/>
  <c r="N23" i="13"/>
  <c r="N22" i="13"/>
  <c r="O22" i="13" s="1"/>
  <c r="P22" i="13" s="1"/>
  <c r="Q22" i="13" s="1"/>
  <c r="R22" i="13" s="1"/>
  <c r="M22" i="13"/>
  <c r="M21" i="13"/>
  <c r="N21" i="13" s="1"/>
  <c r="O21" i="13" s="1"/>
  <c r="P21" i="13" s="1"/>
  <c r="Q21" i="13" s="1"/>
  <c r="R21" i="13" s="1"/>
  <c r="M20" i="13"/>
  <c r="N20" i="13" s="1"/>
  <c r="O20" i="13" s="1"/>
  <c r="P20" i="13" s="1"/>
  <c r="Q20" i="13" s="1"/>
  <c r="R20" i="13" s="1"/>
  <c r="M19" i="13"/>
  <c r="N19" i="13" s="1"/>
  <c r="O19" i="13" s="1"/>
  <c r="P19" i="13" s="1"/>
  <c r="Q19" i="13" s="1"/>
  <c r="R19" i="13" s="1"/>
  <c r="M18" i="13"/>
  <c r="N18" i="13" s="1"/>
  <c r="O18" i="13" s="1"/>
  <c r="P18" i="13" s="1"/>
  <c r="Q18" i="13" s="1"/>
  <c r="R18" i="13" s="1"/>
  <c r="R9" i="13"/>
  <c r="Q9" i="13"/>
  <c r="P9" i="13"/>
  <c r="O9" i="13"/>
  <c r="N9" i="13"/>
  <c r="M9" i="13"/>
  <c r="H9" i="13"/>
  <c r="G9" i="13"/>
  <c r="F9" i="13"/>
  <c r="E9" i="13"/>
  <c r="D9" i="13"/>
  <c r="R8" i="13"/>
  <c r="Q8" i="13"/>
  <c r="P8" i="13"/>
  <c r="O8" i="13"/>
  <c r="N8" i="13"/>
  <c r="M8" i="13"/>
  <c r="R7" i="13"/>
  <c r="Q7" i="13"/>
  <c r="Q10" i="13" s="1"/>
  <c r="P7" i="13"/>
  <c r="O7" i="13"/>
  <c r="N7" i="13"/>
  <c r="M7" i="13"/>
  <c r="M10" i="13" s="1"/>
  <c r="R6" i="13"/>
  <c r="R10" i="13" s="1"/>
  <c r="Q6" i="13"/>
  <c r="P6" i="13"/>
  <c r="P10" i="13" s="1"/>
  <c r="O6" i="13"/>
  <c r="O10" i="13" s="1"/>
  <c r="N6" i="13"/>
  <c r="N10" i="13" s="1"/>
  <c r="M6" i="13"/>
  <c r="J9" i="4"/>
  <c r="E24" i="6"/>
  <c r="M16" i="12"/>
  <c r="L16" i="12"/>
  <c r="A9" i="12"/>
  <c r="L16" i="14" l="1"/>
  <c r="M16" i="14" s="1"/>
  <c r="N16" i="14" s="1"/>
  <c r="O16" i="14" s="1"/>
  <c r="P16" i="14" s="1"/>
  <c r="E21" i="13"/>
  <c r="H40" i="14"/>
  <c r="I40" i="14" s="1"/>
  <c r="J40" i="14" s="1"/>
  <c r="E30" i="13" l="1"/>
  <c r="F21" i="13"/>
  <c r="F30" i="13" l="1"/>
  <c r="G21" i="13"/>
  <c r="G30" i="13" l="1"/>
  <c r="H21" i="13"/>
  <c r="H30" i="13" s="1"/>
  <c r="J18" i="6" l="1"/>
  <c r="I10" i="6"/>
  <c r="I11" i="6"/>
  <c r="I12" i="6"/>
  <c r="I13" i="6"/>
  <c r="I9" i="6"/>
  <c r="C10" i="11"/>
  <c r="G5" i="3"/>
  <c r="G6" i="3"/>
  <c r="M5" i="2"/>
  <c r="Q3" i="2" s="1"/>
  <c r="L3" i="9" s="1"/>
  <c r="N4" i="2"/>
  <c r="O4" i="2" s="1"/>
  <c r="N3" i="2"/>
  <c r="O3" i="2" s="1"/>
  <c r="P3" i="2" s="1"/>
  <c r="M4" i="2"/>
  <c r="C18" i="6" s="1"/>
  <c r="E18" i="6" s="1"/>
  <c r="M3" i="2"/>
  <c r="C17" i="6" s="1"/>
  <c r="E17" i="6" s="1"/>
  <c r="C16" i="4"/>
  <c r="C13" i="4" s="1"/>
  <c r="L20" i="4" s="1"/>
  <c r="G3" i="7"/>
  <c r="E3" i="8"/>
  <c r="H3" i="8" s="1"/>
  <c r="I3" i="8" s="1"/>
  <c r="J8" i="6"/>
  <c r="D12" i="15" s="1"/>
  <c r="E12" i="15" s="1"/>
  <c r="F12" i="15" s="1"/>
  <c r="G12" i="15" s="1"/>
  <c r="H12" i="15" s="1"/>
  <c r="J7" i="6"/>
  <c r="D11" i="15" s="1"/>
  <c r="E11" i="15" s="1"/>
  <c r="F11" i="15" s="1"/>
  <c r="G11" i="15" s="1"/>
  <c r="H11" i="15" s="1"/>
  <c r="J5" i="6"/>
  <c r="D8" i="15" s="1"/>
  <c r="E8" i="15" s="1"/>
  <c r="F8" i="15" s="1"/>
  <c r="G8" i="15" s="1"/>
  <c r="H8" i="15" s="1"/>
  <c r="J4" i="6"/>
  <c r="E41" i="6"/>
  <c r="C25" i="6"/>
  <c r="D8" i="6"/>
  <c r="F8" i="6" s="1"/>
  <c r="E25" i="6"/>
  <c r="G4" i="3"/>
  <c r="E26" i="6"/>
  <c r="E11" i="6"/>
  <c r="G15" i="6" s="1"/>
  <c r="F10" i="6"/>
  <c r="G36" i="5"/>
  <c r="G35" i="5"/>
  <c r="G34" i="5"/>
  <c r="G33" i="5"/>
  <c r="G32" i="5"/>
  <c r="G31" i="5"/>
  <c r="G30" i="5"/>
  <c r="G29" i="5"/>
  <c r="G28" i="5"/>
  <c r="G27" i="5"/>
  <c r="G26" i="5"/>
  <c r="G25" i="5"/>
  <c r="G24" i="5"/>
  <c r="G37" i="5" s="1"/>
  <c r="D14" i="14" s="1"/>
  <c r="G22" i="5"/>
  <c r="G21" i="5"/>
  <c r="G20" i="5"/>
  <c r="G19" i="5"/>
  <c r="G18" i="5"/>
  <c r="G17" i="5"/>
  <c r="G16" i="5"/>
  <c r="G15" i="5"/>
  <c r="G14" i="5"/>
  <c r="G13" i="5"/>
  <c r="G12" i="5"/>
  <c r="G11" i="5"/>
  <c r="G10" i="5"/>
  <c r="G9" i="5"/>
  <c r="G8" i="5"/>
  <c r="G7" i="5"/>
  <c r="G23" i="5" s="1"/>
  <c r="G6" i="5"/>
  <c r="G5" i="5"/>
  <c r="G4" i="5"/>
  <c r="C5" i="4"/>
  <c r="D5" i="9" s="1"/>
  <c r="C4" i="4"/>
  <c r="C20" i="4" s="1"/>
  <c r="D30" i="4"/>
  <c r="D35" i="4" s="1"/>
  <c r="E4" i="10" s="1"/>
  <c r="E25" i="4"/>
  <c r="F25" i="4" s="1"/>
  <c r="G25" i="4" s="1"/>
  <c r="D16" i="4"/>
  <c r="C12" i="4"/>
  <c r="K20" i="4" s="1"/>
  <c r="C8" i="4"/>
  <c r="G20" i="4" s="1"/>
  <c r="C7" i="4"/>
  <c r="F20" i="4" s="1"/>
  <c r="C7" i="3"/>
  <c r="C5" i="1"/>
  <c r="D6" i="9" l="1"/>
  <c r="D7" i="9" s="1"/>
  <c r="K6" i="9"/>
  <c r="F6" i="9"/>
  <c r="N6" i="9"/>
  <c r="G6" i="9"/>
  <c r="C6" i="9"/>
  <c r="J6" i="9"/>
  <c r="D20" i="4"/>
  <c r="C15" i="13"/>
  <c r="J6" i="6"/>
  <c r="D9" i="15" s="1"/>
  <c r="E9" i="15" s="1"/>
  <c r="F9" i="15" s="1"/>
  <c r="G9" i="15" s="1"/>
  <c r="H9" i="15" s="1"/>
  <c r="L5" i="9"/>
  <c r="C28" i="11"/>
  <c r="D7" i="12"/>
  <c r="D11" i="12"/>
  <c r="D15" i="12"/>
  <c r="D8" i="12"/>
  <c r="D12" i="12"/>
  <c r="D4" i="12"/>
  <c r="D5" i="12"/>
  <c r="D9" i="12"/>
  <c r="D13" i="12"/>
  <c r="D6" i="12"/>
  <c r="D10" i="12"/>
  <c r="D14" i="12"/>
  <c r="D13" i="14"/>
  <c r="E39" i="14"/>
  <c r="G38" i="5"/>
  <c r="D10" i="14"/>
  <c r="E34" i="14" s="1"/>
  <c r="F34" i="14" s="1"/>
  <c r="G34" i="14" s="1"/>
  <c r="J9" i="6"/>
  <c r="J10" i="6" s="1"/>
  <c r="D7" i="15"/>
  <c r="F5" i="9"/>
  <c r="F7" i="9" s="1"/>
  <c r="C5" i="12"/>
  <c r="C9" i="12"/>
  <c r="C6" i="12"/>
  <c r="C4" i="12"/>
  <c r="C7" i="12"/>
  <c r="C8" i="12"/>
  <c r="C5" i="9"/>
  <c r="G5" i="9"/>
  <c r="K5" i="9"/>
  <c r="C25" i="12"/>
  <c r="C20" i="12"/>
  <c r="C26" i="12"/>
  <c r="C16" i="12"/>
  <c r="C19" i="12"/>
  <c r="C27" i="12"/>
  <c r="C24" i="12"/>
  <c r="J11" i="6"/>
  <c r="J12" i="6" s="1"/>
  <c r="J13" i="6" s="1"/>
  <c r="C3" i="12"/>
  <c r="D9" i="14"/>
  <c r="G4" i="10"/>
  <c r="E11" i="13" s="1"/>
  <c r="E12" i="13" s="1"/>
  <c r="M8" i="14" s="1"/>
  <c r="D11" i="13"/>
  <c r="D12" i="13" s="1"/>
  <c r="J19" i="6"/>
  <c r="J20" i="6" s="1"/>
  <c r="J21" i="6" s="1"/>
  <c r="J22" i="6" s="1"/>
  <c r="C8" i="11"/>
  <c r="C23" i="11"/>
  <c r="C22" i="11"/>
  <c r="C24" i="11"/>
  <c r="C27" i="11"/>
  <c r="C26" i="11"/>
  <c r="M6" i="9"/>
  <c r="I6" i="9"/>
  <c r="E6" i="9"/>
  <c r="L6" i="9"/>
  <c r="L7" i="9" s="1"/>
  <c r="H6" i="9"/>
  <c r="C11" i="4"/>
  <c r="B37" i="6"/>
  <c r="E19" i="6"/>
  <c r="C41" i="6" s="1"/>
  <c r="G8" i="3"/>
  <c r="E10" i="3" s="1"/>
  <c r="E27" i="6"/>
  <c r="C42" i="6" s="1"/>
  <c r="D9" i="6"/>
  <c r="E30" i="4"/>
  <c r="H25" i="4"/>
  <c r="C6" i="4"/>
  <c r="C10" i="4"/>
  <c r="C14" i="4"/>
  <c r="C15" i="4"/>
  <c r="C9" i="4"/>
  <c r="M20" i="4" l="1"/>
  <c r="M5" i="9"/>
  <c r="M7" i="9" s="1"/>
  <c r="H20" i="4"/>
  <c r="H5" i="9"/>
  <c r="H7" i="9" s="1"/>
  <c r="E20" i="4"/>
  <c r="E5" i="9"/>
  <c r="J20" i="4"/>
  <c r="J5" i="9"/>
  <c r="J7" i="9" s="1"/>
  <c r="L8" i="14"/>
  <c r="C18" i="12"/>
  <c r="C17" i="12"/>
  <c r="E7" i="15"/>
  <c r="D13" i="15"/>
  <c r="E41" i="14"/>
  <c r="H39" i="14"/>
  <c r="H41" i="14" s="1"/>
  <c r="G39" i="14"/>
  <c r="G41" i="14" s="1"/>
  <c r="I39" i="14"/>
  <c r="I41" i="14" s="1"/>
  <c r="F39" i="14"/>
  <c r="F41" i="14" s="1"/>
  <c r="J39" i="14"/>
  <c r="J41" i="14" s="1"/>
  <c r="E6" i="12"/>
  <c r="E8" i="12"/>
  <c r="C7" i="15"/>
  <c r="C13" i="15" s="1"/>
  <c r="C9" i="13"/>
  <c r="E9" i="10"/>
  <c r="C3" i="10" s="1"/>
  <c r="E7" i="9"/>
  <c r="C9" i="11"/>
  <c r="C13" i="12"/>
  <c r="E13" i="12" s="1"/>
  <c r="C14" i="12"/>
  <c r="C11" i="12"/>
  <c r="C15" i="12"/>
  <c r="C12" i="12"/>
  <c r="C10" i="12"/>
  <c r="E9" i="12"/>
  <c r="E15" i="12"/>
  <c r="C7" i="9"/>
  <c r="K7" i="9"/>
  <c r="F30" i="4"/>
  <c r="G30" i="4" s="1"/>
  <c r="H30" i="4" s="1"/>
  <c r="M5" i="12"/>
  <c r="D17" i="12" s="1"/>
  <c r="M9" i="12"/>
  <c r="D21" i="12" s="1"/>
  <c r="M13" i="12"/>
  <c r="D25" i="12" s="1"/>
  <c r="M6" i="12"/>
  <c r="D18" i="12" s="1"/>
  <c r="M10" i="12"/>
  <c r="D22" i="12" s="1"/>
  <c r="M14" i="12"/>
  <c r="D26" i="12" s="1"/>
  <c r="M7" i="12"/>
  <c r="D19" i="12" s="1"/>
  <c r="E19" i="12" s="1"/>
  <c r="M11" i="12"/>
  <c r="D23" i="12" s="1"/>
  <c r="M15" i="12"/>
  <c r="D27" i="12" s="1"/>
  <c r="E27" i="12" s="1"/>
  <c r="M8" i="12"/>
  <c r="D20" i="12" s="1"/>
  <c r="M12" i="12"/>
  <c r="D24" i="12" s="1"/>
  <c r="E24" i="12" s="1"/>
  <c r="M4" i="12"/>
  <c r="D16" i="12" s="1"/>
  <c r="Q5" i="12" s="1"/>
  <c r="Q6" i="12" s="1"/>
  <c r="Q7" i="12" s="1"/>
  <c r="Q8" i="12" s="1"/>
  <c r="I7" i="9"/>
  <c r="E26" i="12"/>
  <c r="E25" i="12"/>
  <c r="E14" i="12"/>
  <c r="E5" i="12"/>
  <c r="Q4" i="12"/>
  <c r="E4" i="12"/>
  <c r="E11" i="12"/>
  <c r="G7" i="9"/>
  <c r="N20" i="4"/>
  <c r="N5" i="9"/>
  <c r="N7" i="9" s="1"/>
  <c r="I20" i="4"/>
  <c r="I5" i="9"/>
  <c r="C23" i="12"/>
  <c r="E23" i="12" s="1"/>
  <c r="C22" i="12"/>
  <c r="E22" i="12" s="1"/>
  <c r="C21" i="12"/>
  <c r="E21" i="12" s="1"/>
  <c r="P4" i="12"/>
  <c r="E10" i="12"/>
  <c r="E12" i="12"/>
  <c r="E7" i="12"/>
  <c r="E20" i="12"/>
  <c r="E32" i="14"/>
  <c r="P3" i="12"/>
  <c r="R3" i="12" s="1"/>
  <c r="E3" i="12"/>
  <c r="I4" i="10"/>
  <c r="F11" i="13" s="1"/>
  <c r="F12" i="13" s="1"/>
  <c r="N8" i="14" s="1"/>
  <c r="K4" i="10"/>
  <c r="D28" i="11"/>
  <c r="C15" i="11"/>
  <c r="D25" i="11"/>
  <c r="D22" i="11"/>
  <c r="D23" i="11"/>
  <c r="D26" i="11"/>
  <c r="D27" i="11"/>
  <c r="D24" i="11"/>
  <c r="H35" i="4"/>
  <c r="F9" i="6"/>
  <c r="D11" i="6"/>
  <c r="F11" i="6" s="1"/>
  <c r="F35" i="4"/>
  <c r="E35" i="4"/>
  <c r="G35" i="4"/>
  <c r="O20" i="4"/>
  <c r="E18" i="12" l="1"/>
  <c r="E36" i="14"/>
  <c r="E43" i="14" s="1"/>
  <c r="E52" i="14" s="1"/>
  <c r="F33" i="14"/>
  <c r="E24" i="11"/>
  <c r="F24" i="11" s="1"/>
  <c r="G24" i="11" s="1"/>
  <c r="E27" i="11"/>
  <c r="E23" i="11"/>
  <c r="F23" i="11" s="1"/>
  <c r="G23" i="11" s="1"/>
  <c r="E26" i="11"/>
  <c r="F26" i="11" s="1"/>
  <c r="G26" i="11" s="1"/>
  <c r="E22" i="11"/>
  <c r="C16" i="11"/>
  <c r="C17" i="11" s="1"/>
  <c r="C19" i="11" s="1"/>
  <c r="E28" i="11"/>
  <c r="F28" i="11" s="1"/>
  <c r="G28" i="11" s="1"/>
  <c r="C5" i="10"/>
  <c r="E3" i="10"/>
  <c r="F27" i="11"/>
  <c r="G27" i="11" s="1"/>
  <c r="R4" i="12"/>
  <c r="E16" i="12"/>
  <c r="C35" i="13"/>
  <c r="C12" i="13"/>
  <c r="F7" i="15"/>
  <c r="E13" i="15"/>
  <c r="F22" i="11"/>
  <c r="G22" i="11" s="1"/>
  <c r="P5" i="12"/>
  <c r="E17" i="12"/>
  <c r="R5" i="12"/>
  <c r="P6" i="12"/>
  <c r="E55" i="14"/>
  <c r="E57" i="14" s="1"/>
  <c r="E59" i="14" s="1"/>
  <c r="F52" i="14"/>
  <c r="J3" i="12"/>
  <c r="F3" i="12"/>
  <c r="F5" i="12"/>
  <c r="G3" i="12"/>
  <c r="H3" i="12"/>
  <c r="H4" i="12" s="1"/>
  <c r="H5" i="12" s="1"/>
  <c r="H6" i="12" s="1"/>
  <c r="H7" i="12" s="1"/>
  <c r="H8" i="12" s="1"/>
  <c r="H9" i="12" s="1"/>
  <c r="H10" i="12" s="1"/>
  <c r="H11" i="12" s="1"/>
  <c r="H12" i="12" s="1"/>
  <c r="H13" i="12" s="1"/>
  <c r="M4" i="10"/>
  <c r="H11" i="13" s="1"/>
  <c r="H12" i="13" s="1"/>
  <c r="P8" i="14" s="1"/>
  <c r="G11" i="13"/>
  <c r="G12" i="13" s="1"/>
  <c r="O8" i="14" s="1"/>
  <c r="E25" i="11"/>
  <c r="F25" i="11" s="1"/>
  <c r="C25" i="11"/>
  <c r="F12" i="6"/>
  <c r="C40" i="6" s="1"/>
  <c r="C43" i="6" s="1"/>
  <c r="C44" i="6" s="1"/>
  <c r="K8" i="14" l="1"/>
  <c r="K9" i="14" s="1"/>
  <c r="K10" i="14" s="1"/>
  <c r="K13" i="14" s="1"/>
  <c r="K17" i="14" s="1"/>
  <c r="K20" i="14" s="1"/>
  <c r="C19" i="13"/>
  <c r="C26" i="13" s="1"/>
  <c r="C28" i="13" s="1"/>
  <c r="D18" i="13"/>
  <c r="G3" i="10"/>
  <c r="D19" i="13"/>
  <c r="L12" i="14" s="1"/>
  <c r="E20" i="10"/>
  <c r="E21" i="10" s="1"/>
  <c r="E5" i="10"/>
  <c r="F13" i="15"/>
  <c r="G7" i="15"/>
  <c r="P7" i="12"/>
  <c r="R6" i="12"/>
  <c r="G52" i="14"/>
  <c r="I3" i="12"/>
  <c r="H14" i="12"/>
  <c r="H15" i="12" s="1"/>
  <c r="H16" i="12" s="1"/>
  <c r="G25" i="11"/>
  <c r="E18" i="13" l="1"/>
  <c r="E19" i="13"/>
  <c r="M12" i="14" s="1"/>
  <c r="I3" i="10"/>
  <c r="G5" i="10"/>
  <c r="L9" i="14"/>
  <c r="L10" i="14" s="1"/>
  <c r="L13" i="14" s="1"/>
  <c r="L17" i="14" s="1"/>
  <c r="D26" i="13"/>
  <c r="D28" i="13" s="1"/>
  <c r="D32" i="13" s="1"/>
  <c r="H7" i="15"/>
  <c r="H13" i="15" s="1"/>
  <c r="G13" i="15"/>
  <c r="P8" i="12"/>
  <c r="R8" i="12" s="1"/>
  <c r="R7" i="12"/>
  <c r="T3" i="12" s="1"/>
  <c r="H52" i="14"/>
  <c r="I52" i="14" s="1"/>
  <c r="J52" i="14" s="1"/>
  <c r="C32" i="6"/>
  <c r="S3" i="12" l="1"/>
  <c r="F19" i="13"/>
  <c r="N12" i="14" s="1"/>
  <c r="K3" i="10"/>
  <c r="F18" i="13"/>
  <c r="I5" i="10"/>
  <c r="D35" i="13"/>
  <c r="F32" i="14" s="1"/>
  <c r="G33" i="14" s="1"/>
  <c r="D34" i="13"/>
  <c r="M13" i="14"/>
  <c r="M17" i="14" s="1"/>
  <c r="L19" i="14"/>
  <c r="F47" i="14" s="1"/>
  <c r="F49" i="14" s="1"/>
  <c r="L20" i="14"/>
  <c r="F53" i="14" s="1"/>
  <c r="F55" i="14" s="1"/>
  <c r="F57" i="14" s="1"/>
  <c r="M9" i="14"/>
  <c r="M10" i="14" s="1"/>
  <c r="E26" i="13"/>
  <c r="E28" i="13" s="1"/>
  <c r="E32" i="13" s="1"/>
  <c r="C37" i="6"/>
  <c r="D32" i="6"/>
  <c r="E32" i="6" s="1"/>
  <c r="E37" i="6" s="1"/>
  <c r="E35" i="13" l="1"/>
  <c r="G32" i="14" s="1"/>
  <c r="H33" i="14" s="1"/>
  <c r="E34" i="13"/>
  <c r="M19" i="14"/>
  <c r="G47" i="14" s="1"/>
  <c r="G49" i="14" s="1"/>
  <c r="N9" i="14"/>
  <c r="N10" i="14" s="1"/>
  <c r="F26" i="13"/>
  <c r="F28" i="13" s="1"/>
  <c r="F32" i="13" s="1"/>
  <c r="G19" i="13"/>
  <c r="O12" i="14" s="1"/>
  <c r="M3" i="10"/>
  <c r="G18" i="13"/>
  <c r="K5" i="10"/>
  <c r="N13" i="14"/>
  <c r="N17" i="14" s="1"/>
  <c r="D37" i="6"/>
  <c r="F32" i="6"/>
  <c r="F37" i="6" s="1"/>
  <c r="N19" i="14" l="1"/>
  <c r="H47" i="14" s="1"/>
  <c r="H49" i="14" s="1"/>
  <c r="N20" i="14"/>
  <c r="H53" i="14" s="1"/>
  <c r="H55" i="14" s="1"/>
  <c r="H57" i="14" s="1"/>
  <c r="H18" i="13"/>
  <c r="M5" i="10"/>
  <c r="H19" i="13"/>
  <c r="P12" i="14" s="1"/>
  <c r="M20" i="14"/>
  <c r="G53" i="14" s="1"/>
  <c r="G55" i="14" s="1"/>
  <c r="G57" i="14" s="1"/>
  <c r="F35" i="13"/>
  <c r="F34" i="13"/>
  <c r="H32" i="14" s="1"/>
  <c r="I33" i="14" s="1"/>
  <c r="O9" i="14"/>
  <c r="O10" i="14" s="1"/>
  <c r="O13" i="14" s="1"/>
  <c r="O17" i="14" s="1"/>
  <c r="G26" i="13"/>
  <c r="G28" i="13" s="1"/>
  <c r="G32" i="13" s="1"/>
  <c r="G32" i="6"/>
  <c r="G37" i="6" s="1"/>
  <c r="G34" i="13" l="1"/>
  <c r="I32" i="14" s="1"/>
  <c r="J33" i="14" s="1"/>
  <c r="G35" i="13"/>
  <c r="P9" i="14"/>
  <c r="P10" i="14" s="1"/>
  <c r="H26" i="13"/>
  <c r="H28" i="13" s="1"/>
  <c r="H32" i="13" s="1"/>
  <c r="O19" i="14"/>
  <c r="I47" i="14" s="1"/>
  <c r="I49" i="14" s="1"/>
  <c r="O20" i="14"/>
  <c r="I53" i="14" s="1"/>
  <c r="I55" i="14" s="1"/>
  <c r="I57" i="14" s="1"/>
  <c r="P13" i="14"/>
  <c r="P17" i="14" s="1"/>
  <c r="D7" i="14"/>
  <c r="D6" i="14" s="1"/>
  <c r="H10" i="14" s="1"/>
  <c r="H9" i="14" s="1"/>
  <c r="H14" i="14" s="1"/>
  <c r="F36" i="14"/>
  <c r="H34" i="14"/>
  <c r="H35" i="13" l="1"/>
  <c r="C37" i="13" s="1"/>
  <c r="H34" i="13"/>
  <c r="J32" i="14" s="1"/>
  <c r="P19" i="14"/>
  <c r="J47" i="14" s="1"/>
  <c r="J49" i="14" s="1"/>
  <c r="F43" i="14"/>
  <c r="F59" i="14" s="1"/>
  <c r="H36" i="14"/>
  <c r="H43" i="14" s="1"/>
  <c r="H59" i="14" s="1"/>
  <c r="I34" i="14"/>
  <c r="G36" i="14"/>
  <c r="G43" i="14" s="1"/>
  <c r="G59" i="14" s="1"/>
  <c r="P20" i="14" l="1"/>
  <c r="J53" i="14" s="1"/>
  <c r="J55" i="14" s="1"/>
  <c r="J57" i="14" s="1"/>
  <c r="J34" i="14"/>
  <c r="J36" i="14" s="1"/>
  <c r="I36" i="14"/>
  <c r="I43" i="14" l="1"/>
  <c r="I59" i="14" s="1"/>
  <c r="J43" i="14"/>
  <c r="J59" i="14" s="1"/>
  <c r="B7" i="31"/>
  <c r="B12" i="31" s="1"/>
  <c r="B13" i="31" s="1"/>
  <c r="B16" i="31" s="1"/>
  <c r="E39" i="13" l="1"/>
  <c r="C39" i="13"/>
  <c r="D3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Santiago</author>
  </authors>
  <commentList>
    <comment ref="B4" authorId="0" shapeId="0" xr:uid="{3B985461-AD1F-4E4D-9663-7A839183F2AC}">
      <text>
        <r>
          <rPr>
            <b/>
            <sz val="9"/>
            <color indexed="81"/>
            <rFont val="Tahoma"/>
            <charset val="1"/>
          </rPr>
          <t>Santiago:</t>
        </r>
        <r>
          <rPr>
            <sz val="9"/>
            <color indexed="81"/>
            <rFont val="Tahoma"/>
            <charset val="1"/>
          </rPr>
          <t xml:space="preserve">
No se contempla financiamiento debido al aumento de tasas de mercado y a perspectiva de aumento continuo de las mismas.
El capital es 100% propio, se obtiene del trabajo como empleado.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Santiago</author>
  </authors>
  <commentList>
    <comment ref="G4" authorId="0" shapeId="0" xr:uid="{073474BF-DC23-47A3-965E-3C8A1913AB6F}">
      <text>
        <r>
          <rPr>
            <b/>
            <sz val="9"/>
            <color indexed="81"/>
            <rFont val="Tahoma"/>
            <family val="2"/>
          </rPr>
          <t>Santiago:</t>
        </r>
        <r>
          <rPr>
            <sz val="9"/>
            <color indexed="81"/>
            <rFont val="Tahoma"/>
            <family val="2"/>
          </rPr>
          <t xml:space="preserve">
Calculado a 6 meses base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32" authorId="0" shapeId="0" xr:uid="{809B1FEF-2550-43DE-B8C5-4D89BC32E434}">
      <text>
        <r>
          <rPr>
            <sz val="11"/>
            <color theme="1"/>
            <rFont val="Calibri"/>
            <family val="2"/>
            <scheme val="minor"/>
          </rPr>
          <t>======
ID#AAAAWzQahnw
INGRID GINETH GOMEZ GARZON    (2022-02-16 16:10:29)
Inflación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F8D73D7F-2194-4940-8F46-A75173D75364}">
      <text>
        <r>
          <rPr>
            <sz val="11"/>
            <color theme="1"/>
            <rFont val="Calibri"/>
            <family val="2"/>
            <scheme val="minor"/>
          </rPr>
          <t>======
ID#AAAAWzLIl2A
tc={38937659-5771-4FE8-859F-257E4F18625C}    (2022-01-31 12:29:34)
[Comentario encadenado]
Su versión de Excel le permite leer este comentario encadenado; sin embargo, las ediciones que se apliquen se quitarán si el archivo se abre en una versión más reciente de Excel. Más información: https://go.microsoft.com/fwlink/?linkid=870924
Comentario:
    Se esta proyectando en unidades.</t>
        </r>
      </text>
    </comment>
    <comment ref="C16" authorId="0" shapeId="0" xr:uid="{16D53099-E38A-42F4-B764-6EF573F5DE21}">
      <text>
        <r>
          <rPr>
            <sz val="11"/>
            <color theme="1"/>
            <rFont val="Calibri"/>
            <family val="2"/>
            <scheme val="minor"/>
          </rPr>
          <t>======
ID#AAAAWzLITHU
tc={1B84920C-31C4-46F4-A9EF-203F4C263A65}    (2022-01-31 12:29:34)
[Comentario encadenado]
Su versión de Excel le permite leer este comentario encadenado; sin embargo, las ediciones que se apliquen se quitarán si el archivo se abre en una versión más reciente de Excel. Más información: https://go.microsoft.com/fwlink/?linkid=870924
Comentario:
    Definir cuantas unidades se van a preparar al año.</t>
        </r>
      </text>
    </comment>
    <comment ref="B23" authorId="0" shapeId="0" xr:uid="{187250D9-5FAF-4C3F-BB57-0257F0C3C67D}">
      <text>
        <r>
          <rPr>
            <sz val="11"/>
            <color theme="1"/>
            <rFont val="Calibri"/>
            <family val="2"/>
            <scheme val="minor"/>
          </rPr>
          <t>======
ID#AAAAWzLIl1Y
tc={D9647C92-2A1B-4074-BBB5-BE0CF88F643A}    (2022-01-31 12:29:34)
[Comentario encadenado]
Su versión de Excel le permite leer este comentario encadenado; sin embargo, las ediciones que se apliquen se quitarán si el archivo se abre en una versión más reciente de Excel. Más información: https://go.microsoft.com/fwlink/?linkid=870924
Comentario:
    Se define por demanda, competencia o costo.</t>
        </r>
      </text>
    </comment>
    <comment ref="B25" authorId="0" shapeId="0" xr:uid="{44F20D87-2C63-4EB2-B24B-12FD8A3907E5}">
      <text>
        <r>
          <rPr>
            <sz val="11"/>
            <color theme="1"/>
            <rFont val="Calibri"/>
            <family val="2"/>
            <scheme val="minor"/>
          </rPr>
          <t>======
ID#AAAAWzQahoM
David Alejandro Solis Rodriguez    (2022-02-15 23:14:46)
https://tazaspublicidad.es/botellas-personalizadas/aluminio/botella-uptown.html Valor bidon</t>
        </r>
      </text>
    </comment>
    <comment ref="C25" authorId="0" shapeId="0" xr:uid="{FE8607F8-1237-45F6-813C-DAC85EECA487}">
      <text>
        <r>
          <rPr>
            <sz val="11"/>
            <color theme="1"/>
            <rFont val="Calibri"/>
            <family val="2"/>
            <scheme val="minor"/>
          </rPr>
          <t>======
ID#AAAAWzLITHQ
tc={3594D487-EC90-423B-94EE-F4A2D9F6491C}    (2022-01-31 12:29:34)
[Comentario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el precio con las estrategias de precio planteadas.</t>
        </r>
      </text>
    </comment>
  </commentList>
</comments>
</file>

<file path=xl/sharedStrings.xml><?xml version="1.0" encoding="utf-8"?>
<sst xmlns="http://schemas.openxmlformats.org/spreadsheetml/2006/main" count="844" uniqueCount="503">
  <si>
    <t>Distancia  (m)</t>
  </si>
  <si>
    <t>Tiempo (min)</t>
  </si>
  <si>
    <t>Operación</t>
  </si>
  <si>
    <t>Transporte</t>
  </si>
  <si>
    <t>Inspección</t>
  </si>
  <si>
    <t>Demora</t>
  </si>
  <si>
    <t>Almacena</t>
  </si>
  <si>
    <t>Actual</t>
  </si>
  <si>
    <t>Facturación de 
cliente</t>
  </si>
  <si>
    <t xml:space="preserve">Envío de
Requisición a Proveedor </t>
  </si>
  <si>
    <t>Inspección Virtual
de calidad</t>
  </si>
  <si>
    <t>Registro de cliente</t>
  </si>
  <si>
    <t>Tratamiento y 
almacenaje de datos 
de cliente</t>
  </si>
  <si>
    <t>Indagación de cliente</t>
  </si>
  <si>
    <t>Envío de autorización
 de despacho</t>
  </si>
  <si>
    <t>Transporte de
mercancía (tercero)</t>
  </si>
  <si>
    <t>Generación de 
chequeo de recibido</t>
  </si>
  <si>
    <t>Consumo de cliente</t>
  </si>
  <si>
    <t>Contacto postventa</t>
  </si>
  <si>
    <t>Generación de Feedback</t>
  </si>
  <si>
    <t>Retroalimentación 
y mejora (empresa y
 proveedores)</t>
  </si>
  <si>
    <t>Variable</t>
  </si>
  <si>
    <t>Obtención</t>
  </si>
  <si>
    <t>Recursos Propios</t>
  </si>
  <si>
    <t>Monto</t>
  </si>
  <si>
    <t>Plan de Inversión</t>
  </si>
  <si>
    <t>Total Capital</t>
  </si>
  <si>
    <t>Gastos de constitución</t>
  </si>
  <si>
    <t>Registro Mercantil</t>
  </si>
  <si>
    <t>Acta de constitución</t>
  </si>
  <si>
    <t>Libro de Actas</t>
  </si>
  <si>
    <t>Apertura SAS</t>
  </si>
  <si>
    <t>Gastos de funcionamiento/apertura</t>
  </si>
  <si>
    <t>Compra de Activos</t>
  </si>
  <si>
    <t>Nómina Técnica</t>
  </si>
  <si>
    <t>Arriendo</t>
  </si>
  <si>
    <t>Servicios</t>
  </si>
  <si>
    <t>Total</t>
  </si>
  <si>
    <t>Gastos Totales</t>
  </si>
  <si>
    <t>MES</t>
  </si>
  <si>
    <t>UNIDADES</t>
  </si>
  <si>
    <t>TENDENCIAS DE CONSUMO</t>
  </si>
  <si>
    <t>Enero</t>
  </si>
  <si>
    <t xml:space="preserve">Febrero </t>
  </si>
  <si>
    <t>Marzo</t>
  </si>
  <si>
    <t>Abril</t>
  </si>
  <si>
    <t>Mayo</t>
  </si>
  <si>
    <t>Junio</t>
  </si>
  <si>
    <t>Julio</t>
  </si>
  <si>
    <t>Agosto</t>
  </si>
  <si>
    <t>Septiembre</t>
  </si>
  <si>
    <t>Octubre</t>
  </si>
  <si>
    <t>Noviembre</t>
  </si>
  <si>
    <t>Diciembre</t>
  </si>
  <si>
    <t>TOTAL</t>
  </si>
  <si>
    <t>Venta Market Place</t>
  </si>
  <si>
    <t>VENTAS EN UNIDADES PRIMER AÑO</t>
  </si>
  <si>
    <t>Producto</t>
  </si>
  <si>
    <t>Febrero</t>
  </si>
  <si>
    <t>Servicio</t>
  </si>
  <si>
    <t>Inflación Promedio
 Colombia</t>
  </si>
  <si>
    <t>Año</t>
  </si>
  <si>
    <t>Venta MKP</t>
  </si>
  <si>
    <t>PROYECCIÓN DE VENTAS EN UNIDADES DE LOS PROXIMOS AÑOS</t>
  </si>
  <si>
    <t>VENTAS TOTALES EN PESOS</t>
  </si>
  <si>
    <t>Ticket Promedio</t>
  </si>
  <si>
    <t>PayBack</t>
  </si>
  <si>
    <t>Aumento Vtas Anual  Compuesto</t>
  </si>
  <si>
    <t>Plan de compras</t>
  </si>
  <si>
    <t xml:space="preserve">Requerimientos </t>
  </si>
  <si>
    <t>Descripción</t>
  </si>
  <si>
    <t>Valor unitario</t>
  </si>
  <si>
    <t>Cantidad requerida</t>
  </si>
  <si>
    <t>Unidad de medida</t>
  </si>
  <si>
    <t>Valor total</t>
  </si>
  <si>
    <t>Insumos</t>
  </si>
  <si>
    <t>Paños para limpieza</t>
  </si>
  <si>
    <t>un</t>
  </si>
  <si>
    <t xml:space="preserve">Bolsas para la basura </t>
  </si>
  <si>
    <t>Cja Tapabocas</t>
  </si>
  <si>
    <t xml:space="preserve">Bombillos Led </t>
  </si>
  <si>
    <t>Escoba</t>
  </si>
  <si>
    <t>Trapero</t>
  </si>
  <si>
    <t>Chupa</t>
  </si>
  <si>
    <t>Cepillo para inodoro</t>
  </si>
  <si>
    <t>Recogedor</t>
  </si>
  <si>
    <t xml:space="preserve">Jabon lavamanos </t>
  </si>
  <si>
    <t>Caja de esferos</t>
  </si>
  <si>
    <t xml:space="preserve">Señalización </t>
  </si>
  <si>
    <t>Limpia Pisos</t>
  </si>
  <si>
    <t xml:space="preserve">Tapetes </t>
  </si>
  <si>
    <t>Gel antibacterial</t>
  </si>
  <si>
    <t>Alcohol</t>
  </si>
  <si>
    <t>Dotación de empleados (Camiseta+Gorra)</t>
  </si>
  <si>
    <t xml:space="preserve">Resma de papel Reciclado tamaño carta </t>
  </si>
  <si>
    <t>Papel higiénico 12 rollos</t>
  </si>
  <si>
    <t xml:space="preserve">Activos </t>
  </si>
  <si>
    <t>Estantería para almacenaje de documentos</t>
  </si>
  <si>
    <t>Mesa escritorio</t>
  </si>
  <si>
    <t>Silla Ergonómica</t>
  </si>
  <si>
    <t>Computador portatil</t>
  </si>
  <si>
    <t>Computador de mesa</t>
  </si>
  <si>
    <t>Cafetera</t>
  </si>
  <si>
    <t>Caneca de residuos (orgánicos e inorgánicos)</t>
  </si>
  <si>
    <t xml:space="preserve">Extintor </t>
  </si>
  <si>
    <t xml:space="preserve">Botiquín de primeros auxilios </t>
  </si>
  <si>
    <t>Impresora</t>
  </si>
  <si>
    <t>Televisor</t>
  </si>
  <si>
    <t>plg</t>
  </si>
  <si>
    <t>Flangers y publicidad</t>
  </si>
  <si>
    <t>Camaras</t>
  </si>
  <si>
    <t xml:space="preserve">Total </t>
  </si>
  <si>
    <t>Costeo por ordenes de Producción (Servicios Prestados)</t>
  </si>
  <si>
    <t>Consumo</t>
  </si>
  <si>
    <t>Host o Dominio</t>
  </si>
  <si>
    <t>Internet</t>
  </si>
  <si>
    <t>Papelería</t>
  </si>
  <si>
    <t>Internet Movil</t>
  </si>
  <si>
    <t>Mensualidad</t>
  </si>
  <si>
    <t>Hoja</t>
  </si>
  <si>
    <t>Programador</t>
  </si>
  <si>
    <t>Administrador</t>
  </si>
  <si>
    <t>Tiempo de trabajo h</t>
  </si>
  <si>
    <t>Mano de obra directa</t>
  </si>
  <si>
    <t>Asignación salarial</t>
  </si>
  <si>
    <t>Valor total MO</t>
  </si>
  <si>
    <t>Agua</t>
  </si>
  <si>
    <t>Costos Indirectos de Fabricación CIF</t>
  </si>
  <si>
    <t>Luz</t>
  </si>
  <si>
    <t>Total MOD</t>
  </si>
  <si>
    <t>Total CIF</t>
  </si>
  <si>
    <t>Costo Total</t>
  </si>
  <si>
    <t>Costo Unitario</t>
  </si>
  <si>
    <t>Costos totales</t>
  </si>
  <si>
    <t>Cedula costo unitario</t>
  </si>
  <si>
    <t>Aproximado
 1 año</t>
  </si>
  <si>
    <t>Sueldos</t>
  </si>
  <si>
    <t>Implementos</t>
  </si>
  <si>
    <t>Causal</t>
  </si>
  <si>
    <t>Valor Mensual</t>
  </si>
  <si>
    <t>Publicidad</t>
  </si>
  <si>
    <t xml:space="preserve">Sueldos </t>
  </si>
  <si>
    <t>Gastos de ventas</t>
  </si>
  <si>
    <t>Arriendo valor representativo  Inmueble Familiar</t>
  </si>
  <si>
    <t>Luz+Agua+Internet fijo+ Internet Móvil+Host</t>
  </si>
  <si>
    <t xml:space="preserve">Papelería </t>
  </si>
  <si>
    <t xml:space="preserve">Paños de limpieza+Gel+Alcohol+Tapabocas+
Papel higienico+Bolsas de basura+Limpia pisos+ Jabón
</t>
  </si>
  <si>
    <t>Asesor de ventas (inicialmente 1)</t>
  </si>
  <si>
    <t>Se define un monto mensual fijo hasta aumentar 
la disponibilidad de capital de reinversión, será distribuido entre publicidad digital y material físico</t>
  </si>
  <si>
    <t>Población</t>
  </si>
  <si>
    <t>%Aceptación</t>
  </si>
  <si>
    <t>Demanda
Potencial</t>
  </si>
  <si>
    <t>Ventas Anuales</t>
  </si>
  <si>
    <t>%P 
Mercado</t>
  </si>
  <si>
    <t>Servicio
intermediación
Comercial</t>
  </si>
  <si>
    <t>Mercado
Potencial</t>
  </si>
  <si>
    <t>Proceso Comercial Agrostore</t>
  </si>
  <si>
    <t>Según Layout</t>
  </si>
  <si>
    <t>Recursos</t>
  </si>
  <si>
    <t xml:space="preserve">Programador 
Soporte Web 
Internet </t>
  </si>
  <si>
    <t>Programador
Internet
Plataforma de almacenaje (Drive)</t>
  </si>
  <si>
    <t>Soporte Web
Internet
Facebook Pixel</t>
  </si>
  <si>
    <t>Facebook Pixel 
Soporte Web en pasarela de pagos
Internet</t>
  </si>
  <si>
    <t xml:space="preserve">Administrador
Internet
Correo electrónico </t>
  </si>
  <si>
    <t>Administrador
Hoja check list de calidad
Teléfono corportivo
Internet</t>
  </si>
  <si>
    <t>Administrador
Correo Electrónico 
Internet</t>
  </si>
  <si>
    <t xml:space="preserve">Teléfono corporativo
Internet
</t>
  </si>
  <si>
    <t xml:space="preserve">Soporte Web
Internet
</t>
  </si>
  <si>
    <t>Administrador
Teléfono corporativo
Correo electrónico
Internet
+J3</t>
  </si>
  <si>
    <t>Administrador 
Formato de Feed back 
Internet
Teléfono corpoativo</t>
  </si>
  <si>
    <t>Gerente General
Programador
Administrador</t>
  </si>
  <si>
    <t>Espera</t>
  </si>
  <si>
    <t>Oferta Potencial</t>
  </si>
  <si>
    <t>Población
Productora 
Agro</t>
  </si>
  <si>
    <t>Frutas, Verduras,  Insumos, etc</t>
  </si>
  <si>
    <t>Mercado
Proveedor
Potencial</t>
  </si>
  <si>
    <t>Consumo 
Segmento</t>
  </si>
  <si>
    <t>No 
Consumos</t>
  </si>
  <si>
    <t>No. trabajador:</t>
  </si>
  <si>
    <t>Meses</t>
  </si>
  <si>
    <t>marzo</t>
  </si>
  <si>
    <t>abril</t>
  </si>
  <si>
    <t>mayo</t>
  </si>
  <si>
    <t>junio</t>
  </si>
  <si>
    <t>julio</t>
  </si>
  <si>
    <t>agosto</t>
  </si>
  <si>
    <t>septiembre</t>
  </si>
  <si>
    <t>octubre</t>
  </si>
  <si>
    <t>noviembre</t>
  </si>
  <si>
    <t>diciembre</t>
  </si>
  <si>
    <t>Demanda</t>
  </si>
  <si>
    <t>Capacidad</t>
  </si>
  <si>
    <t>Recurso</t>
  </si>
  <si>
    <t>Minutos laborados</t>
  </si>
  <si>
    <t>Servicios diarios</t>
  </si>
  <si>
    <t>Ponderado de servicios diarios/trabajador</t>
  </si>
  <si>
    <t>PROMEDIOS</t>
  </si>
  <si>
    <t>TiempoxServicio MIN</t>
  </si>
  <si>
    <t>Horas por servicio</t>
  </si>
  <si>
    <t>Tiempo promedio de preparación en horas:</t>
  </si>
  <si>
    <t>Servicios de intermediación comercial</t>
  </si>
  <si>
    <t>Unidades a completar(+) o 
capacidad sobrante(-)</t>
  </si>
  <si>
    <t>Costos Totales Anuales</t>
  </si>
  <si>
    <t>Ingresos Brutos anuales</t>
  </si>
  <si>
    <t>Margen Bruto</t>
  </si>
  <si>
    <t>Margen Bruto Año 1</t>
  </si>
  <si>
    <t>Total MP I</t>
  </si>
  <si>
    <t xml:space="preserve">Punto de equilibrio financiero </t>
  </si>
  <si>
    <t>Criterio</t>
  </si>
  <si>
    <t>Valor</t>
  </si>
  <si>
    <t>Costos fijos</t>
  </si>
  <si>
    <t>Costos variable unitario</t>
  </si>
  <si>
    <t>Precio de venta unitario</t>
  </si>
  <si>
    <t>Punto de equilibrio en unidad =</t>
  </si>
  <si>
    <t>Costo fijo</t>
  </si>
  <si>
    <t>Precio de venta unitario-Costo variable unitario</t>
  </si>
  <si>
    <t>Punto de equilibrio en PESOS =</t>
  </si>
  <si>
    <t>Unidades</t>
  </si>
  <si>
    <t>Ventas</t>
  </si>
  <si>
    <t>Costo variable</t>
  </si>
  <si>
    <t>Costo total</t>
  </si>
  <si>
    <t>Utilidad</t>
  </si>
  <si>
    <t>Punto de equilibrio Servicio Comercial</t>
  </si>
  <si>
    <t>85000*0,2</t>
  </si>
  <si>
    <t>Ticket x Comisión%</t>
  </si>
  <si>
    <t>Punto de equilibrio en unidades*Precio de venta unitario</t>
  </si>
  <si>
    <t>Año 1</t>
  </si>
  <si>
    <t>Año 2</t>
  </si>
  <si>
    <t>Total Mes/Año 1</t>
  </si>
  <si>
    <t>Total Mes/Año 2</t>
  </si>
  <si>
    <t>Total Mes/Año 3</t>
  </si>
  <si>
    <t>Total Mes/Año 4</t>
  </si>
  <si>
    <t>Total Mes/Año 5</t>
  </si>
  <si>
    <t>tasa Inflación E Mensual</t>
  </si>
  <si>
    <t>NPER</t>
  </si>
  <si>
    <t>FNC egresos</t>
  </si>
  <si>
    <t>FNC Ingresos</t>
  </si>
  <si>
    <t>FNC</t>
  </si>
  <si>
    <t>VNA 12M</t>
  </si>
  <si>
    <t>VNA 18 M</t>
  </si>
  <si>
    <t>Pay Back</t>
  </si>
  <si>
    <t>Pay Back en meses</t>
  </si>
  <si>
    <t>TIRM</t>
  </si>
  <si>
    <t>VNA</t>
  </si>
  <si>
    <t>Vtas</t>
  </si>
  <si>
    <t>Rendimiento esperado EA</t>
  </si>
  <si>
    <t>VNA General</t>
  </si>
  <si>
    <t>Rendimiento esperado EM</t>
  </si>
  <si>
    <t>Tasa General EM</t>
  </si>
  <si>
    <t>Compra de Eq</t>
  </si>
  <si>
    <t>TD</t>
  </si>
  <si>
    <t>Incremental Ingresos</t>
  </si>
  <si>
    <t>Incremental Egresos</t>
  </si>
  <si>
    <t>Ticket Prom</t>
  </si>
  <si>
    <t>Margen Bruto Año 2</t>
  </si>
  <si>
    <t>Margen Bruto Año 3</t>
  </si>
  <si>
    <t>Margen Bruto Año 4</t>
  </si>
  <si>
    <t>Margen Bruto Año 5</t>
  </si>
  <si>
    <t>Nper</t>
  </si>
  <si>
    <t>TIR</t>
  </si>
  <si>
    <t>TIO</t>
  </si>
  <si>
    <t>FLUJO DE INGRESOS eCol Delicias S.A.S</t>
  </si>
  <si>
    <t>CÉDULA #5: VENTAS TOTALES POR AÑO</t>
  </si>
  <si>
    <t>Bandeja paisa</t>
  </si>
  <si>
    <t>Cazuela de mariscos</t>
  </si>
  <si>
    <t>ENTRADAS</t>
  </si>
  <si>
    <t>Pez gamitana</t>
  </si>
  <si>
    <t>Aporte social</t>
  </si>
  <si>
    <t>Chiguiro a la brasa</t>
  </si>
  <si>
    <t>Prestamo bancario</t>
  </si>
  <si>
    <t>Ingresos( ventas)</t>
  </si>
  <si>
    <t>TOTAL ENTRADAS</t>
  </si>
  <si>
    <t>FLUJO DE EGRESOS eCol Delicias S.A.S</t>
  </si>
  <si>
    <t>SALIDAS</t>
  </si>
  <si>
    <t>Gastos de constitucion</t>
  </si>
  <si>
    <t>Gastos de adecuacion</t>
  </si>
  <si>
    <t>Inflación</t>
  </si>
  <si>
    <t>Gastos de apertura</t>
  </si>
  <si>
    <t>Costos</t>
  </si>
  <si>
    <t xml:space="preserve">Gastos de Constitución                  </t>
  </si>
  <si>
    <t>Gastos administrativos y de ventas</t>
  </si>
  <si>
    <t>Gastos de Adecuación</t>
  </si>
  <si>
    <t>Intereses</t>
  </si>
  <si>
    <t>Gastos de Apertura</t>
  </si>
  <si>
    <t>Depreciacion</t>
  </si>
  <si>
    <t>Abono a capital</t>
  </si>
  <si>
    <t>Gastos adm y de ventas</t>
  </si>
  <si>
    <t>Inventario</t>
  </si>
  <si>
    <t>Maquinaria y equipo</t>
  </si>
  <si>
    <t>Depreciación</t>
  </si>
  <si>
    <t>Tasa Impositiva</t>
  </si>
  <si>
    <t>Amortización</t>
  </si>
  <si>
    <t>TOTAL SALIDAS</t>
  </si>
  <si>
    <t>Tasa impositiva (34%)</t>
  </si>
  <si>
    <t>SALDO</t>
  </si>
  <si>
    <t>(+)</t>
  </si>
  <si>
    <t>FFN</t>
  </si>
  <si>
    <t>tir</t>
  </si>
  <si>
    <t>SIREM</t>
  </si>
  <si>
    <t>Ut Neta/Patrimonio</t>
  </si>
  <si>
    <t>VPN</t>
  </si>
  <si>
    <t>TIR Bruto</t>
  </si>
  <si>
    <t>VAN Bruto</t>
  </si>
  <si>
    <t>FLUJO DE CAJA AGROSTORE S.A.S</t>
  </si>
  <si>
    <t>Periodos del 2022 al 2027</t>
  </si>
  <si>
    <t>Margen Bruto Año 0</t>
  </si>
  <si>
    <t>VARIABLE</t>
  </si>
  <si>
    <t>INFLACIÓN</t>
  </si>
  <si>
    <t>SUELDOS</t>
  </si>
  <si>
    <t>ARRIENDOS</t>
  </si>
  <si>
    <t>SERVICIOS PÚBLICOS</t>
  </si>
  <si>
    <t>PÚBLICIDAD</t>
  </si>
  <si>
    <t>PAPELERIA</t>
  </si>
  <si>
    <t>Aporte Sociales</t>
  </si>
  <si>
    <t>OTROS IMPLEMENTOS
(ASEO, ETC)</t>
  </si>
  <si>
    <t>-</t>
  </si>
  <si>
    <t>PRESUPUESTO ADMON+VENTAS+OTROS</t>
  </si>
  <si>
    <t>Activo corriente</t>
  </si>
  <si>
    <t>PASIVO</t>
  </si>
  <si>
    <t>Caja</t>
  </si>
  <si>
    <t>Obligación financiera</t>
  </si>
  <si>
    <t>Inventarios</t>
  </si>
  <si>
    <t>PATRIMONIO</t>
  </si>
  <si>
    <t>Gastos preoperativos</t>
  </si>
  <si>
    <t>Capital</t>
  </si>
  <si>
    <t>Activos fijos</t>
  </si>
  <si>
    <t>TOTAL ACTIVOS</t>
  </si>
  <si>
    <t>TOTAL PASIVO Y PATRIMONIO</t>
  </si>
  <si>
    <t xml:space="preserve">Estado de resultados </t>
  </si>
  <si>
    <t>Períodos del 2023 al 2027</t>
  </si>
  <si>
    <t>Años - períodos</t>
  </si>
  <si>
    <t>Ingresos</t>
  </si>
  <si>
    <t xml:space="preserve">(-) Costos </t>
  </si>
  <si>
    <t>Utilidad bruta</t>
  </si>
  <si>
    <t>(-) Gastos de Adminis y ventas</t>
  </si>
  <si>
    <t>Utilidad operacional</t>
  </si>
  <si>
    <t xml:space="preserve">(-) Intereses </t>
  </si>
  <si>
    <t xml:space="preserve">(-) Depreciación </t>
  </si>
  <si>
    <t>Utilidad antes de impuestos</t>
  </si>
  <si>
    <t xml:space="preserve">Utilidad Neta </t>
  </si>
  <si>
    <t xml:space="preserve">Agrostore S.A.S </t>
  </si>
  <si>
    <t>Balance General</t>
  </si>
  <si>
    <t>Períodos del 2022 al 2027</t>
  </si>
  <si>
    <t>ACTIVOS</t>
  </si>
  <si>
    <t>AÑO 0</t>
  </si>
  <si>
    <t>AÑO 1</t>
  </si>
  <si>
    <t>AÑO 2</t>
  </si>
  <si>
    <t>AÑO 3</t>
  </si>
  <si>
    <t>AÑO 4</t>
  </si>
  <si>
    <t>AÑO 5</t>
  </si>
  <si>
    <t>ACTIVO CORRIENTE</t>
  </si>
  <si>
    <t>Gastos preoperativos (Diferidos)</t>
  </si>
  <si>
    <t>TOTAL ACTIVO CORRIENTE</t>
  </si>
  <si>
    <t>ACTIVO NO CORRIENTE</t>
  </si>
  <si>
    <t>(-)</t>
  </si>
  <si>
    <t>Depreciación acumulada</t>
  </si>
  <si>
    <t>TOTAL ACTIVO NO CORRIENTE</t>
  </si>
  <si>
    <t>PASIVOS</t>
  </si>
  <si>
    <t>Obligacion financiera</t>
  </si>
  <si>
    <t>Impuestos por pagar(tasa impositiva)</t>
  </si>
  <si>
    <t>TOTAL PASIVOS</t>
  </si>
  <si>
    <t>Resultado del ejercicio</t>
  </si>
  <si>
    <t>TOTAL PATRIMONIO</t>
  </si>
  <si>
    <t>TOTAL PASIVO + PATRIMONIO</t>
  </si>
  <si>
    <t>DIFERENCIA</t>
  </si>
  <si>
    <t>BALANCE INICIAL</t>
  </si>
  <si>
    <t>caja</t>
  </si>
  <si>
    <t>inventarios</t>
  </si>
  <si>
    <t>Agrostore S.A.S.</t>
  </si>
  <si>
    <t>(-) Tasa impositiva (33%)</t>
  </si>
  <si>
    <t>HOJA DE VIDA</t>
  </si>
  <si>
    <t>Elemento</t>
  </si>
  <si>
    <t>Estantería para almacenaje
de documentos</t>
  </si>
  <si>
    <t>Color</t>
  </si>
  <si>
    <t>Hoja de vida de Equipo</t>
  </si>
  <si>
    <t>Tamaño</t>
  </si>
  <si>
    <t>Estantería para documentos</t>
  </si>
  <si>
    <t>Material</t>
  </si>
  <si>
    <t>Peso</t>
  </si>
  <si>
    <t>Estantería con múltiples cajones
y secciones para almacenamiento
sectorizado de documentación y 
papelería</t>
  </si>
  <si>
    <t>Gris</t>
  </si>
  <si>
    <t>Almacenaje de documentos
e información física</t>
  </si>
  <si>
    <t>Aluminio</t>
  </si>
  <si>
    <t>Especificaciones Técnicas</t>
  </si>
  <si>
    <t>Mesa Escritorio</t>
  </si>
  <si>
    <t>Mesa metálica con apoyo de vidrio par trabajo de computo</t>
  </si>
  <si>
    <t>1,1m * 1,8m (alto* largo)</t>
  </si>
  <si>
    <t>1m * 1,5m (alto* largo)</t>
  </si>
  <si>
    <t>Negro</t>
  </si>
  <si>
    <t>Trabajo de computo, labores de programación y revisión de plataforma</t>
  </si>
  <si>
    <t>Aluminio - Vidrio</t>
  </si>
  <si>
    <t>25kg</t>
  </si>
  <si>
    <t>20kg</t>
  </si>
  <si>
    <t xml:space="preserve">Silla Ergonómica con espaldar y posa brazos </t>
  </si>
  <si>
    <t>0,6m * 0,7m (alto* ancho)</t>
  </si>
  <si>
    <t>Trabajo en oficina, labores de computo, diseño, gestión documental, etc.</t>
  </si>
  <si>
    <t>Polímeros - Aluminio - Textil</t>
  </si>
  <si>
    <t>8kg</t>
  </si>
  <si>
    <t>0,3m * 0,3m (alto* ancho)</t>
  </si>
  <si>
    <t>1kg</t>
  </si>
  <si>
    <t>3kg</t>
  </si>
  <si>
    <t>Caneca de Residuos</t>
  </si>
  <si>
    <t>Extintor</t>
  </si>
  <si>
    <t>Botiquín</t>
  </si>
  <si>
    <t>Caneca Vanyplas con capacidad de 65 lts, con tapa y soporte para doble agarre</t>
  </si>
  <si>
    <t>0,7m * 0,5m (alto* largo)</t>
  </si>
  <si>
    <t>Deposito de residuos generales de la operación, papelería y similares</t>
  </si>
  <si>
    <t>Polímeros</t>
  </si>
  <si>
    <t>0,5kg</t>
  </si>
  <si>
    <t>Extintor amarillo básico, con capacidad de 10lbs, válvula y seguro manual</t>
  </si>
  <si>
    <t>Amarilo</t>
  </si>
  <si>
    <t>0,5m * 0,2m (alto * ancho)</t>
  </si>
  <si>
    <t xml:space="preserve">Elemento de seguridad y protección personal, cumple con protocolos de  prevención y seguridad exigidos </t>
  </si>
  <si>
    <t>Acero</t>
  </si>
  <si>
    <t>Rojo</t>
  </si>
  <si>
    <t>0,5m * 0,3m (alto* ancho)</t>
  </si>
  <si>
    <t xml:space="preserve">Elemento de seguridad y protección personal, cumple con  protocolos de prevención y seguridad exigidos </t>
  </si>
  <si>
    <t>Textil</t>
  </si>
  <si>
    <t>Botiquín de primeros auxilios rojo, contiene medicamentos, curas y elementos de esterilización</t>
  </si>
  <si>
    <t>Cámaras</t>
  </si>
  <si>
    <t>Impresora BN y Color, co cartuchos reemplazables y/o recargables marca HP</t>
  </si>
  <si>
    <t>0,5m * 0,5m (alto* largo)</t>
  </si>
  <si>
    <t>Impresión de documentación, procedimientos, check lists, etc</t>
  </si>
  <si>
    <t>Polímeros - Varios</t>
  </si>
  <si>
    <t>3,5kg</t>
  </si>
  <si>
    <t>Televisor Samsung 42", smart TV</t>
  </si>
  <si>
    <t>1m * 0,7m (alto * ancho)</t>
  </si>
  <si>
    <t>Proyección de informes, socialización de resultados, entrega de capacitaciones</t>
  </si>
  <si>
    <t>Polímeros - Vidrio</t>
  </si>
  <si>
    <t>Polímeros - vidrio</t>
  </si>
  <si>
    <t xml:space="preserve">Flangers y elementos publicitarios </t>
  </si>
  <si>
    <t>Elementos publicitarios y de identificación de marca</t>
  </si>
  <si>
    <t>0,1Kg</t>
  </si>
  <si>
    <t>Verde - blanco</t>
  </si>
  <si>
    <t>Sistema de seguridad Hikvision de cámaras, imagen calidad HD con micrófono y transmisión vía WIFI</t>
  </si>
  <si>
    <t>0,15m * 0,15m (alto* ancho)</t>
  </si>
  <si>
    <t xml:space="preserve"> Seguridad de las instalaciones, control de tiempos y ejecución de labores</t>
  </si>
  <si>
    <t>Bancos</t>
  </si>
  <si>
    <t>Nómina Admin y Operacional</t>
  </si>
  <si>
    <t>Programador+ Operacional Gerencia</t>
  </si>
  <si>
    <t>Gastos de Administración (operatividad)</t>
  </si>
  <si>
    <t>I</t>
  </si>
  <si>
    <t>P</t>
  </si>
  <si>
    <t>Q</t>
  </si>
  <si>
    <t>Prestamo A</t>
  </si>
  <si>
    <t>TEA</t>
  </si>
  <si>
    <t>Tasa impuesto</t>
  </si>
  <si>
    <t>Kd</t>
  </si>
  <si>
    <t>Participacion</t>
  </si>
  <si>
    <t>Ponderado</t>
  </si>
  <si>
    <t>kd</t>
  </si>
  <si>
    <t>Valor indice general de precios acciones mercado X</t>
  </si>
  <si>
    <t>Indice de precios al consumidor IPC</t>
  </si>
  <si>
    <t xml:space="preserve">Abril </t>
  </si>
  <si>
    <t>IPC Acumulado</t>
  </si>
  <si>
    <t>Rentabilidad mensual</t>
  </si>
  <si>
    <t>Rentabilidad Promedio BV (Indice)</t>
  </si>
  <si>
    <t>IPC Promedio</t>
  </si>
  <si>
    <t>Riesgo de mercado esperado (Rm)</t>
  </si>
  <si>
    <t>Rendimiento Acumulado</t>
  </si>
  <si>
    <t>Rent. Promedio Esperado</t>
  </si>
  <si>
    <t>Tasa de interes anualizada TES Banco Central</t>
  </si>
  <si>
    <t>Rentabilidad promedio mensual</t>
  </si>
  <si>
    <t>Rentabilidad promedio anual (Rf)</t>
  </si>
  <si>
    <t>Indice de crecimiento industrial</t>
  </si>
  <si>
    <t xml:space="preserve">Año </t>
  </si>
  <si>
    <t>Ri</t>
  </si>
  <si>
    <t>Rm</t>
  </si>
  <si>
    <t xml:space="preserve">Promedio </t>
  </si>
  <si>
    <t>Covarianza (Ri,Rm)</t>
  </si>
  <si>
    <t>(variación del promedio aritmético entre dos parámetros de variables) + crece (relacion directa) - decrece</t>
  </si>
  <si>
    <t>Varianza (Rm)</t>
  </si>
  <si>
    <t>(nivel de dispersión entre los datos / desviación)</t>
  </si>
  <si>
    <t xml:space="preserve">Beta = </t>
  </si>
  <si>
    <t>1-beta (Industria)</t>
  </si>
  <si>
    <t>veces menos volatil</t>
  </si>
  <si>
    <t>Beta apalacando</t>
  </si>
  <si>
    <t>Pasivos</t>
  </si>
  <si>
    <t>Patrimonio</t>
  </si>
  <si>
    <t>Beta desapalancado</t>
  </si>
  <si>
    <t>Rf</t>
  </si>
  <si>
    <t>Ke</t>
  </si>
  <si>
    <t>WACC</t>
  </si>
  <si>
    <t>Habilitados</t>
  </si>
  <si>
    <t>Rentabilidad minima EA Total Esperada</t>
  </si>
  <si>
    <t>IPC   Year To date</t>
  </si>
  <si>
    <t>&gt;10,9%</t>
  </si>
  <si>
    <t>Costo Medio Ponderado WACC</t>
  </si>
  <si>
    <t>Comportamiento</t>
  </si>
  <si>
    <t>19% Compuesto anualizado</t>
  </si>
  <si>
    <t>350*</t>
  </si>
  <si>
    <t>Servidor Web</t>
  </si>
  <si>
    <t>Programa informatico que almacenará y procesará una aplicación de información,
 soportará la conexión bidireccional con el cliente que utilice la
 página, manteniendo un entorno estable dentro de la página web, es el sistema encargado de despachar todos los archivos de la página, textos, imagen, videos de ser necesario</t>
  </si>
  <si>
    <t>No</t>
  </si>
  <si>
    <t>Calificación 1-10</t>
  </si>
  <si>
    <t xml:space="preserve">Manchas </t>
  </si>
  <si>
    <t>Olor</t>
  </si>
  <si>
    <t>Textura</t>
  </si>
  <si>
    <t>Check list de alistamiento</t>
  </si>
  <si>
    <t>Nivel de Madurez</t>
  </si>
  <si>
    <t>Si</t>
  </si>
  <si>
    <t>Ptos Extra</t>
  </si>
  <si>
    <t>In Full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</si>
</sst>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
    <numFmt numFmtId="165" formatCode="[$ $]#,##0"/>
    <numFmt numFmtId="166" formatCode="[$ $]#,##0.00"/>
    <numFmt numFmtId="167" formatCode="0.000%"/>
    <numFmt numFmtId="168" formatCode="_-&quot;$&quot;* #,##0_-;\-&quot;$&quot;* #,##0_-;_-&quot;$&quot;* &quot;-&quot;??_-;_-@_-"/>
    <numFmt numFmtId="169" formatCode="&quot;$&quot;\ #,##0.00_);[Red]\(&quot;$&quot;\ #,##0.00\)"/>
    <numFmt numFmtId="170" formatCode="_-[$$-240A]* #,##0_-;\-[$$-240A]* #,##0_-;_-[$$-240A]* &quot;-&quot;_-;_-@_-"/>
    <numFmt numFmtId="171" formatCode="&quot;$&quot;#,##0_);[Red]\(&quot;$&quot;#,##0\)"/>
    <numFmt numFmtId="172" formatCode="_(* #,##0_);_(* \(#,##0\);_(* &quot;-&quot;??_);_(@_)"/>
    <numFmt numFmtId="173" formatCode="0.0000%"/>
    <numFmt numFmtId="174" formatCode="0.0000"/>
    <numFmt numFmtId="175" formatCode="0.00000"/>
    <numFmt numFmtId="176" formatCode="0.000"/>
    <numFmt numFmtId="177" formatCode="_(* #,##0.000_);_(* \(#,##0.000\);_(* &quot;-&quot;??_);_(@_)"/>
    <numFmt numFmtId="178"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2"/>
      <name val="Calibri"/>
      <family val="2"/>
      <scheme val="minor"/>
    </font>
    <font>
      <sz val="10"/>
      <color theme="1"/>
      <name val="Arial"/>
      <family val="2"/>
    </font>
    <font>
      <sz val="11"/>
      <name val="Calibri"/>
      <family val="2"/>
    </font>
    <font>
      <b/>
      <sz val="10"/>
      <color theme="1"/>
      <name val="Arial"/>
      <family val="2"/>
    </font>
    <font>
      <b/>
      <sz val="11"/>
      <name val="Calibri"/>
      <family val="2"/>
    </font>
    <font>
      <sz val="10"/>
      <color rgb="FF000000"/>
      <name val="Arial"/>
      <family val="2"/>
    </font>
    <font>
      <sz val="11"/>
      <color rgb="FF006100"/>
      <name val="Calibri"/>
      <family val="2"/>
      <scheme val="minor"/>
    </font>
    <font>
      <sz val="11"/>
      <color theme="0"/>
      <name val="Calibri"/>
      <family val="2"/>
      <scheme val="minor"/>
    </font>
    <font>
      <sz val="8"/>
      <name val="Calibri"/>
      <family val="2"/>
      <scheme val="minor"/>
    </font>
    <font>
      <sz val="11"/>
      <name val="Calibri"/>
      <family val="2"/>
      <scheme val="minor"/>
    </font>
    <font>
      <b/>
      <sz val="10"/>
      <color rgb="FF000000"/>
      <name val="Arial"/>
      <family val="2"/>
    </font>
    <font>
      <b/>
      <sz val="11"/>
      <color rgb="FF006100"/>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Arial"/>
      <family val="2"/>
    </font>
    <font>
      <b/>
      <sz val="11"/>
      <color theme="1"/>
      <name val="Arial"/>
      <family val="2"/>
    </font>
    <font>
      <b/>
      <u/>
      <sz val="12"/>
      <color theme="0"/>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b/>
      <sz val="12"/>
      <color theme="0"/>
      <name val="Calibri"/>
      <family val="2"/>
      <scheme val="minor"/>
    </font>
    <font>
      <sz val="10"/>
      <color theme="1"/>
      <name val="Calibri"/>
      <family val="2"/>
      <scheme val="minor"/>
    </font>
    <font>
      <b/>
      <sz val="12"/>
      <color theme="0"/>
      <name val="Arial"/>
      <family val="2"/>
    </font>
    <font>
      <sz val="12"/>
      <color theme="1"/>
      <name val="Arial"/>
      <family val="2"/>
    </font>
    <font>
      <b/>
      <sz val="12"/>
      <color theme="1"/>
      <name val="Arial"/>
      <family val="2"/>
    </font>
  </fonts>
  <fills count="21">
    <fill>
      <patternFill patternType="none"/>
    </fill>
    <fill>
      <patternFill patternType="gray125"/>
    </fill>
    <fill>
      <patternFill patternType="solid">
        <fgColor theme="7" tint="0.59999389629810485"/>
        <bgColor indexed="64"/>
      </patternFill>
    </fill>
    <fill>
      <patternFill patternType="solid">
        <fgColor rgb="FFF9CB9C"/>
        <bgColor rgb="FFF9CB9C"/>
      </patternFill>
    </fill>
    <fill>
      <patternFill patternType="solid">
        <fgColor theme="0"/>
        <bgColor theme="0"/>
      </patternFill>
    </fill>
    <fill>
      <patternFill patternType="solid">
        <fgColor theme="7" tint="0.59999389629810485"/>
        <bgColor rgb="FFF9CB9C"/>
      </patternFill>
    </fill>
    <fill>
      <patternFill patternType="solid">
        <fgColor rgb="FFFCE5CD"/>
        <bgColor rgb="FFFCE5CD"/>
      </patternFill>
    </fill>
    <fill>
      <patternFill patternType="solid">
        <fgColor theme="0"/>
        <bgColor indexed="64"/>
      </patternFill>
    </fill>
    <fill>
      <patternFill patternType="solid">
        <fgColor theme="0"/>
        <bgColor rgb="FFFCE5CD"/>
      </patternFill>
    </fill>
    <fill>
      <patternFill patternType="solid">
        <fgColor theme="5" tint="0.39997558519241921"/>
        <bgColor indexed="64"/>
      </patternFill>
    </fill>
    <fill>
      <patternFill patternType="solid">
        <fgColor theme="5" tint="0.59999389629810485"/>
        <bgColor indexed="64"/>
      </patternFill>
    </fill>
    <fill>
      <patternFill patternType="solid">
        <fgColor rgb="FFC6EFCE"/>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6B26B"/>
        <bgColor rgb="FFF6B26B"/>
      </patternFill>
    </fill>
    <fill>
      <patternFill patternType="solid">
        <fgColor rgb="FFFFC000"/>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FF99"/>
        <bgColor indexed="64"/>
      </patternFill>
    </fill>
    <fill>
      <patternFill patternType="solid">
        <fgColor theme="1"/>
        <bgColor indexed="64"/>
      </patternFill>
    </fill>
  </fills>
  <borders count="9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diagonal/>
    </border>
    <border>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right/>
      <top/>
      <bottom style="medium">
        <color indexed="64"/>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theme="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right/>
      <top/>
      <bottom style="double">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10" fillId="11" borderId="0" applyNumberFormat="0" applyBorder="0" applyAlignment="0" applyProtection="0"/>
  </cellStyleXfs>
  <cellXfs count="586">
    <xf numFmtId="0" fontId="0" fillId="0" borderId="0" xfId="0"/>
    <xf numFmtId="9" fontId="0" fillId="0" borderId="0" xfId="0" applyNumberFormat="1"/>
    <xf numFmtId="0" fontId="0" fillId="0" borderId="0" xfId="0"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44" fontId="0" fillId="0" borderId="6" xfId="2" applyFont="1" applyBorder="1" applyAlignment="1">
      <alignment horizontal="center" vertical="center"/>
    </xf>
    <xf numFmtId="44" fontId="0" fillId="0" borderId="8" xfId="2" applyFont="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5" xfId="0" applyBorder="1"/>
    <xf numFmtId="0" fontId="0" fillId="0" borderId="7" xfId="0" applyBorder="1"/>
    <xf numFmtId="0" fontId="0" fillId="0" borderId="20" xfId="0" applyBorder="1"/>
    <xf numFmtId="0" fontId="0" fillId="0" borderId="20" xfId="0" applyFill="1" applyBorder="1"/>
    <xf numFmtId="0" fontId="2" fillId="2" borderId="1" xfId="0" applyFont="1" applyFill="1" applyBorder="1"/>
    <xf numFmtId="44" fontId="0" fillId="0" borderId="21" xfId="2" applyFont="1" applyBorder="1"/>
    <xf numFmtId="44" fontId="0" fillId="0" borderId="6" xfId="2" applyFont="1" applyBorder="1"/>
    <xf numFmtId="44" fontId="0" fillId="0" borderId="8" xfId="2" applyFont="1" applyBorder="1"/>
    <xf numFmtId="0" fontId="5" fillId="0" borderId="25" xfId="0" applyFont="1" applyBorder="1"/>
    <xf numFmtId="1" fontId="5" fillId="0" borderId="25" xfId="0" applyNumberFormat="1" applyFont="1" applyBorder="1"/>
    <xf numFmtId="9" fontId="5" fillId="0" borderId="25" xfId="0" applyNumberFormat="1" applyFont="1" applyBorder="1"/>
    <xf numFmtId="1" fontId="0" fillId="0" borderId="0" xfId="0" applyNumberFormat="1"/>
    <xf numFmtId="9" fontId="0" fillId="0" borderId="27" xfId="0" applyNumberFormat="1" applyBorder="1" applyAlignment="1">
      <alignment horizontal="center" vertical="center"/>
    </xf>
    <xf numFmtId="0" fontId="2" fillId="2" borderId="1" xfId="0" applyFont="1" applyFill="1" applyBorder="1" applyAlignment="1">
      <alignment horizontal="center" vertical="center" wrapText="1"/>
    </xf>
    <xf numFmtId="164" fontId="0" fillId="0" borderId="0" xfId="0" applyNumberFormat="1"/>
    <xf numFmtId="0" fontId="0" fillId="0" borderId="0" xfId="0" applyBorder="1" applyAlignment="1">
      <alignment wrapText="1"/>
    </xf>
    <xf numFmtId="164" fontId="0" fillId="0" borderId="27" xfId="0" applyNumberFormat="1" applyBorder="1"/>
    <xf numFmtId="0" fontId="0" fillId="2" borderId="20" xfId="0" applyFill="1" applyBorder="1"/>
    <xf numFmtId="0" fontId="7" fillId="5" borderId="25" xfId="0" applyFont="1" applyFill="1" applyBorder="1" applyAlignment="1">
      <alignment horizontal="center" vertical="center" wrapText="1"/>
    </xf>
    <xf numFmtId="0" fontId="7" fillId="5" borderId="25" xfId="0" applyFont="1" applyFill="1" applyBorder="1"/>
    <xf numFmtId="9" fontId="7" fillId="5" borderId="25" xfId="0" applyNumberFormat="1" applyFont="1" applyFill="1" applyBorder="1"/>
    <xf numFmtId="0" fontId="7" fillId="0" borderId="32" xfId="0" applyFont="1" applyBorder="1"/>
    <xf numFmtId="0" fontId="5" fillId="0" borderId="33" xfId="0" applyFont="1" applyBorder="1"/>
    <xf numFmtId="0" fontId="7" fillId="0" borderId="34" xfId="0" applyFont="1" applyBorder="1"/>
    <xf numFmtId="1" fontId="5" fillId="0" borderId="35" xfId="0" applyNumberFormat="1" applyFont="1" applyBorder="1"/>
    <xf numFmtId="1" fontId="5" fillId="0" borderId="36" xfId="0" applyNumberFormat="1" applyFont="1" applyBorder="1"/>
    <xf numFmtId="164" fontId="5" fillId="0" borderId="35" xfId="0" applyNumberFormat="1" applyFont="1" applyBorder="1"/>
    <xf numFmtId="164" fontId="5" fillId="0" borderId="36" xfId="0" applyNumberFormat="1" applyFont="1" applyBorder="1"/>
    <xf numFmtId="3" fontId="5" fillId="4" borderId="35" xfId="0" applyNumberFormat="1" applyFont="1" applyFill="1" applyBorder="1"/>
    <xf numFmtId="3" fontId="9" fillId="4" borderId="35" xfId="0" applyNumberFormat="1" applyFont="1" applyFill="1" applyBorder="1" applyAlignment="1">
      <alignment horizontal="right"/>
    </xf>
    <xf numFmtId="3" fontId="5" fillId="0" borderId="35" xfId="0" applyNumberFormat="1" applyFont="1" applyBorder="1"/>
    <xf numFmtId="3" fontId="5" fillId="0" borderId="36" xfId="0" applyNumberFormat="1" applyFont="1" applyBorder="1"/>
    <xf numFmtId="0" fontId="2" fillId="2" borderId="7" xfId="0" applyFont="1" applyFill="1" applyBorder="1"/>
    <xf numFmtId="164" fontId="0" fillId="0" borderId="37" xfId="0" applyNumberFormat="1" applyBorder="1"/>
    <xf numFmtId="0" fontId="5" fillId="0" borderId="35" xfId="0" applyFont="1" applyBorder="1"/>
    <xf numFmtId="0" fontId="7" fillId="6"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165" fontId="7" fillId="6" borderId="35" xfId="0" applyNumberFormat="1" applyFont="1" applyFill="1" applyBorder="1" applyAlignment="1">
      <alignment horizontal="center" vertical="center" wrapText="1"/>
    </xf>
    <xf numFmtId="165" fontId="7" fillId="6" borderId="36" xfId="0" applyNumberFormat="1" applyFont="1" applyFill="1" applyBorder="1" applyAlignment="1">
      <alignment horizontal="center" vertical="center" wrapText="1"/>
    </xf>
    <xf numFmtId="0" fontId="5" fillId="0" borderId="38" xfId="0" applyFont="1" applyBorder="1" applyAlignment="1">
      <alignment horizontal="center" vertical="center" wrapText="1"/>
    </xf>
    <xf numFmtId="165" fontId="5" fillId="0" borderId="39" xfId="0" applyNumberFormat="1" applyFont="1" applyBorder="1" applyAlignment="1">
      <alignment horizontal="center" vertical="center" wrapText="1"/>
    </xf>
    <xf numFmtId="0" fontId="5" fillId="0" borderId="39" xfId="0" applyFont="1" applyBorder="1" applyAlignment="1">
      <alignment horizontal="center" vertical="center" wrapText="1"/>
    </xf>
    <xf numFmtId="165" fontId="5" fillId="0" borderId="40" xfId="0" applyNumberFormat="1" applyFont="1" applyBorder="1" applyAlignment="1">
      <alignment horizontal="center" vertical="center" wrapText="1"/>
    </xf>
    <xf numFmtId="0" fontId="5" fillId="0" borderId="0" xfId="0" applyFont="1" applyAlignment="1">
      <alignment horizontal="center" vertical="center" wrapText="1"/>
    </xf>
    <xf numFmtId="165" fontId="5" fillId="0" borderId="25" xfId="0" applyNumberFormat="1" applyFont="1" applyBorder="1" applyAlignment="1">
      <alignment horizontal="center" vertical="center" wrapText="1"/>
    </xf>
    <xf numFmtId="0" fontId="5" fillId="0" borderId="25" xfId="0" applyFont="1" applyBorder="1" applyAlignment="1">
      <alignment horizontal="center" vertical="center" wrapText="1"/>
    </xf>
    <xf numFmtId="165" fontId="5" fillId="0" borderId="33" xfId="0" applyNumberFormat="1"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28" xfId="0" applyFont="1" applyBorder="1" applyAlignment="1">
      <alignment horizontal="center" vertical="center" wrapText="1"/>
    </xf>
    <xf numFmtId="165" fontId="5" fillId="0" borderId="42" xfId="0" applyNumberFormat="1" applyFont="1" applyBorder="1" applyAlignment="1">
      <alignment horizontal="center" vertical="center" wrapText="1"/>
    </xf>
    <xf numFmtId="165" fontId="7" fillId="6" borderId="45" xfId="0" applyNumberFormat="1" applyFont="1" applyFill="1" applyBorder="1" applyAlignment="1">
      <alignment horizontal="center" vertical="center" wrapText="1"/>
    </xf>
    <xf numFmtId="0" fontId="5" fillId="0" borderId="46" xfId="0" applyFont="1" applyBorder="1" applyAlignment="1">
      <alignment horizontal="center" vertical="center" wrapText="1"/>
    </xf>
    <xf numFmtId="0" fontId="5" fillId="0" borderId="32" xfId="0" applyFont="1" applyBorder="1" applyAlignment="1">
      <alignment horizontal="center" vertical="center" wrapText="1"/>
    </xf>
    <xf numFmtId="0" fontId="5" fillId="4" borderId="32" xfId="0" applyFont="1" applyFill="1" applyBorder="1" applyAlignment="1">
      <alignment horizontal="center" vertical="center" wrapText="1"/>
    </xf>
    <xf numFmtId="0" fontId="5" fillId="0" borderId="34" xfId="0" applyFont="1" applyBorder="1" applyAlignment="1">
      <alignment horizontal="center" vertical="center" wrapText="1"/>
    </xf>
    <xf numFmtId="165" fontId="5" fillId="0" borderId="35" xfId="0" applyNumberFormat="1" applyFont="1" applyBorder="1" applyAlignment="1">
      <alignment horizontal="center" vertical="center" wrapText="1"/>
    </xf>
    <xf numFmtId="0" fontId="5" fillId="0" borderId="35" xfId="0" applyFont="1" applyBorder="1" applyAlignment="1">
      <alignment horizontal="center" vertical="center" wrapText="1"/>
    </xf>
    <xf numFmtId="165" fontId="5" fillId="0" borderId="36" xfId="0" applyNumberFormat="1" applyFont="1" applyBorder="1" applyAlignment="1">
      <alignment horizontal="center" vertical="center" wrapText="1"/>
    </xf>
    <xf numFmtId="165" fontId="7" fillId="6" borderId="47" xfId="0" applyNumberFormat="1" applyFont="1" applyFill="1" applyBorder="1" applyAlignment="1">
      <alignment horizontal="center" vertical="center" wrapText="1"/>
    </xf>
    <xf numFmtId="165" fontId="7" fillId="3" borderId="36" xfId="0" applyNumberFormat="1" applyFont="1" applyFill="1" applyBorder="1" applyAlignment="1">
      <alignment horizontal="center" vertical="center" wrapText="1"/>
    </xf>
    <xf numFmtId="165" fontId="5" fillId="0" borderId="25" xfId="0" applyNumberFormat="1" applyFont="1" applyBorder="1" applyAlignment="1">
      <alignment vertical="center" wrapText="1"/>
    </xf>
    <xf numFmtId="0" fontId="5" fillId="0" borderId="25" xfId="0" applyFont="1" applyBorder="1" applyAlignment="1">
      <alignment vertical="center" wrapText="1"/>
    </xf>
    <xf numFmtId="3" fontId="5" fillId="0" borderId="25" xfId="0" applyNumberFormat="1" applyFont="1" applyBorder="1" applyAlignment="1">
      <alignment vertical="center" wrapText="1"/>
    </xf>
    <xf numFmtId="0" fontId="9" fillId="0" borderId="32" xfId="0" applyFont="1" applyBorder="1" applyAlignment="1">
      <alignment vertical="center" wrapText="1"/>
    </xf>
    <xf numFmtId="165" fontId="5" fillId="0" borderId="33" xfId="0" applyNumberFormat="1" applyFont="1" applyBorder="1" applyAlignment="1">
      <alignment vertical="center" wrapText="1"/>
    </xf>
    <xf numFmtId="3" fontId="7" fillId="5" borderId="36" xfId="0" applyNumberFormat="1" applyFont="1" applyFill="1" applyBorder="1" applyAlignment="1">
      <alignment vertical="center" wrapText="1"/>
    </xf>
    <xf numFmtId="0" fontId="5" fillId="6" borderId="51" xfId="0" applyFont="1" applyFill="1" applyBorder="1" applyAlignment="1">
      <alignment vertical="center" wrapText="1"/>
    </xf>
    <xf numFmtId="0" fontId="5" fillId="6" borderId="52" xfId="0" applyFont="1" applyFill="1" applyBorder="1" applyAlignment="1">
      <alignment vertical="center" wrapText="1"/>
    </xf>
    <xf numFmtId="0" fontId="5" fillId="6" borderId="53" xfId="0" applyFont="1" applyFill="1" applyBorder="1" applyAlignment="1">
      <alignment vertical="center" wrapText="1"/>
    </xf>
    <xf numFmtId="0" fontId="5" fillId="6" borderId="52" xfId="0" applyFont="1" applyFill="1" applyBorder="1" applyAlignment="1">
      <alignment horizontal="center" vertical="center" wrapText="1"/>
    </xf>
    <xf numFmtId="0" fontId="5" fillId="6" borderId="51" xfId="0" applyFont="1" applyFill="1" applyBorder="1" applyAlignment="1">
      <alignment horizontal="center" vertical="center" wrapText="1"/>
    </xf>
    <xf numFmtId="1" fontId="5" fillId="6" borderId="53" xfId="0" applyNumberFormat="1" applyFont="1" applyFill="1" applyBorder="1" applyAlignment="1">
      <alignment horizontal="center" vertical="center" wrapText="1"/>
    </xf>
    <xf numFmtId="0" fontId="5" fillId="0" borderId="32" xfId="0" applyFont="1" applyBorder="1" applyAlignment="1">
      <alignment vertical="center" wrapText="1"/>
    </xf>
    <xf numFmtId="1" fontId="5" fillId="0" borderId="33" xfId="0" applyNumberFormat="1"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3" fontId="5" fillId="0" borderId="35" xfId="0" applyNumberFormat="1" applyFont="1" applyBorder="1" applyAlignment="1">
      <alignment vertical="center" wrapText="1"/>
    </xf>
    <xf numFmtId="1" fontId="5" fillId="0" borderId="36" xfId="0" applyNumberFormat="1" applyFont="1" applyBorder="1" applyAlignment="1">
      <alignment vertical="center" wrapText="1"/>
    </xf>
    <xf numFmtId="1" fontId="0" fillId="0" borderId="21" xfId="0" applyNumberFormat="1" applyBorder="1"/>
    <xf numFmtId="165" fontId="5" fillId="3" borderId="36" xfId="0" applyNumberFormat="1" applyFont="1" applyFill="1" applyBorder="1" applyAlignment="1">
      <alignment vertical="center" wrapText="1"/>
    </xf>
    <xf numFmtId="0" fontId="5" fillId="0" borderId="51" xfId="0" applyFont="1" applyBorder="1" applyAlignment="1">
      <alignment vertical="center" wrapText="1"/>
    </xf>
    <xf numFmtId="0" fontId="5" fillId="0" borderId="52" xfId="0" applyFont="1" applyBorder="1" applyAlignment="1">
      <alignment vertical="center" wrapText="1"/>
    </xf>
    <xf numFmtId="165" fontId="5" fillId="0" borderId="52" xfId="0" applyNumberFormat="1" applyFont="1" applyBorder="1" applyAlignment="1">
      <alignment vertical="center" wrapText="1"/>
    </xf>
    <xf numFmtId="165" fontId="5" fillId="0" borderId="53" xfId="0" applyNumberFormat="1" applyFont="1" applyBorder="1" applyAlignment="1">
      <alignment vertical="center" wrapText="1"/>
    </xf>
    <xf numFmtId="0" fontId="9" fillId="6" borderId="54" xfId="0" applyFont="1" applyFill="1" applyBorder="1" applyAlignment="1">
      <alignment horizontal="center" vertical="center" wrapText="1"/>
    </xf>
    <xf numFmtId="0" fontId="9" fillId="6" borderId="55"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0" fillId="0" borderId="2" xfId="0" applyBorder="1"/>
    <xf numFmtId="44" fontId="0" fillId="0" borderId="4" xfId="2" applyFont="1" applyBorder="1"/>
    <xf numFmtId="44" fontId="0" fillId="2" borderId="21" xfId="0" applyNumberFormat="1" applyFill="1" applyBorder="1"/>
    <xf numFmtId="43" fontId="5" fillId="0" borderId="52" xfId="1" applyFont="1" applyBorder="1" applyAlignment="1">
      <alignment vertical="center" wrapText="1"/>
    </xf>
    <xf numFmtId="0" fontId="5" fillId="0" borderId="0" xfId="0" applyFont="1" applyFill="1" applyBorder="1" applyAlignment="1">
      <alignment horizontal="center" vertical="center" wrapText="1"/>
    </xf>
    <xf numFmtId="165" fontId="0" fillId="0" borderId="6" xfId="2" applyNumberFormat="1" applyFont="1" applyBorder="1"/>
    <xf numFmtId="44" fontId="0" fillId="0" borderId="0" xfId="0" applyNumberFormat="1"/>
    <xf numFmtId="165" fontId="0" fillId="0" borderId="0" xfId="0" applyNumberFormat="1"/>
    <xf numFmtId="0" fontId="0" fillId="0" borderId="0" xfId="0" applyAlignment="1">
      <alignment horizontal="center"/>
    </xf>
    <xf numFmtId="0" fontId="0" fillId="10" borderId="1" xfId="0" applyFill="1" applyBorder="1" applyAlignment="1">
      <alignment horizontal="center" vertical="center"/>
    </xf>
    <xf numFmtId="0" fontId="0" fillId="10" borderId="21" xfId="0" applyFill="1" applyBorder="1" applyAlignment="1">
      <alignment horizontal="center" vertical="center"/>
    </xf>
    <xf numFmtId="0" fontId="0" fillId="7" borderId="37" xfId="0" applyFill="1" applyBorder="1" applyAlignment="1">
      <alignment horizontal="center" vertical="center"/>
    </xf>
    <xf numFmtId="44" fontId="0" fillId="0" borderId="37" xfId="2" applyFont="1" applyBorder="1" applyAlignment="1">
      <alignment horizontal="center" vertical="center"/>
    </xf>
    <xf numFmtId="0" fontId="0" fillId="0" borderId="6" xfId="0" applyBorder="1" applyAlignment="1">
      <alignment horizontal="center" vertical="center"/>
    </xf>
    <xf numFmtId="0" fontId="5" fillId="8" borderId="37" xfId="0" applyFont="1" applyFill="1" applyBorder="1" applyAlignment="1">
      <alignment horizontal="center" vertical="center" wrapText="1"/>
    </xf>
    <xf numFmtId="0" fontId="0" fillId="7" borderId="27" xfId="0" applyFill="1" applyBorder="1" applyAlignment="1">
      <alignment horizontal="center" vertical="center"/>
    </xf>
    <xf numFmtId="44" fontId="0" fillId="0" borderId="27" xfId="2" applyFont="1" applyBorder="1" applyAlignment="1">
      <alignment horizontal="center" vertical="center"/>
    </xf>
    <xf numFmtId="0" fontId="0" fillId="0" borderId="8" xfId="0" applyBorder="1" applyAlignment="1">
      <alignment horizontal="center" vertical="center" wrapText="1"/>
    </xf>
    <xf numFmtId="0" fontId="0" fillId="10" borderId="20" xfId="0" applyFill="1" applyBorder="1" applyAlignment="1">
      <alignment horizontal="center" vertical="center"/>
    </xf>
    <xf numFmtId="44" fontId="0" fillId="0" borderId="1" xfId="0" applyNumberFormat="1"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xf>
    <xf numFmtId="0" fontId="0" fillId="0" borderId="26" xfId="0" applyBorder="1" applyAlignment="1">
      <alignment horizontal="center" vertical="center"/>
    </xf>
    <xf numFmtId="9" fontId="0" fillId="0" borderId="0" xfId="3" applyFont="1"/>
    <xf numFmtId="10" fontId="0" fillId="0" borderId="0" xfId="3" applyNumberFormat="1" applyFont="1"/>
    <xf numFmtId="0" fontId="0" fillId="0" borderId="0" xfId="0" applyAlignment="1">
      <alignment wrapText="1"/>
    </xf>
    <xf numFmtId="9" fontId="0" fillId="0" borderId="0" xfId="0" applyNumberFormat="1" applyAlignment="1">
      <alignment horizontal="center" vertical="center"/>
    </xf>
    <xf numFmtId="0" fontId="2" fillId="12" borderId="20" xfId="0" applyFont="1" applyFill="1" applyBorder="1" applyAlignment="1">
      <alignment horizontal="center" vertical="center"/>
    </xf>
    <xf numFmtId="0" fontId="2" fillId="12" borderId="43" xfId="0" applyFont="1" applyFill="1" applyBorder="1" applyAlignment="1">
      <alignment horizontal="center" vertical="center"/>
    </xf>
    <xf numFmtId="0" fontId="2" fillId="12" borderId="43" xfId="0" applyFont="1" applyFill="1" applyBorder="1" applyAlignment="1">
      <alignment horizontal="center" vertical="center" wrapText="1"/>
    </xf>
    <xf numFmtId="0" fontId="2" fillId="12" borderId="21" xfId="0"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56" xfId="0" applyFill="1" applyBorder="1" applyAlignment="1">
      <alignment horizontal="center" vertical="center"/>
    </xf>
    <xf numFmtId="9" fontId="0" fillId="0" borderId="56" xfId="0" applyNumberFormat="1" applyFill="1" applyBorder="1" applyAlignment="1">
      <alignment horizontal="center" vertical="center"/>
    </xf>
    <xf numFmtId="9" fontId="0" fillId="0" borderId="8" xfId="0" applyNumberFormat="1" applyFill="1" applyBorder="1" applyAlignment="1">
      <alignment horizontal="center" vertical="center"/>
    </xf>
    <xf numFmtId="2" fontId="5" fillId="3" borderId="25" xfId="0" applyNumberFormat="1" applyFont="1" applyFill="1" applyBorder="1"/>
    <xf numFmtId="0" fontId="5" fillId="3" borderId="25" xfId="0" applyFont="1" applyFill="1" applyBorder="1"/>
    <xf numFmtId="0" fontId="5" fillId="6" borderId="25" xfId="0" applyFont="1" applyFill="1" applyBorder="1"/>
    <xf numFmtId="0" fontId="4" fillId="2" borderId="0" xfId="0" applyFont="1" applyFill="1" applyBorder="1" applyAlignment="1">
      <alignment horizontal="center" vertical="center"/>
    </xf>
    <xf numFmtId="0" fontId="5" fillId="0" borderId="25" xfId="0" applyFont="1" applyBorder="1" applyAlignment="1">
      <alignment wrapText="1"/>
    </xf>
    <xf numFmtId="0" fontId="7" fillId="3" borderId="25" xfId="0" applyFont="1" applyFill="1" applyBorder="1"/>
    <xf numFmtId="44" fontId="0" fillId="0" borderId="0" xfId="2" applyFont="1"/>
    <xf numFmtId="44" fontId="0" fillId="0" borderId="6" xfId="0" applyNumberFormat="1" applyBorder="1"/>
    <xf numFmtId="44" fontId="0" fillId="0" borderId="8" xfId="0" applyNumberFormat="1" applyBorder="1"/>
    <xf numFmtId="44" fontId="0" fillId="0" borderId="4" xfId="0" applyNumberFormat="1" applyBorder="1"/>
    <xf numFmtId="0" fontId="0" fillId="0" borderId="26" xfId="0" applyBorder="1"/>
    <xf numFmtId="0" fontId="0" fillId="0" borderId="37" xfId="0" applyBorder="1"/>
    <xf numFmtId="0" fontId="0" fillId="0" borderId="27" xfId="0" applyBorder="1"/>
    <xf numFmtId="0" fontId="0" fillId="13" borderId="26" xfId="0" applyFill="1" applyBorder="1"/>
    <xf numFmtId="0" fontId="0" fillId="13" borderId="37" xfId="0" applyFill="1" applyBorder="1"/>
    <xf numFmtId="0" fontId="0" fillId="13" borderId="27" xfId="0" applyFill="1" applyBorder="1"/>
    <xf numFmtId="0" fontId="5" fillId="0" borderId="0" xfId="0" applyFont="1"/>
    <xf numFmtId="0" fontId="5" fillId="0" borderId="0" xfId="0" applyFont="1" applyAlignment="1">
      <alignment wrapText="1"/>
    </xf>
    <xf numFmtId="0" fontId="7" fillId="0" borderId="0" xfId="0" applyFont="1" applyAlignment="1">
      <alignment horizontal="center"/>
    </xf>
    <xf numFmtId="0" fontId="7" fillId="4" borderId="0" xfId="0" applyFont="1" applyFill="1" applyAlignment="1">
      <alignment horizontal="center"/>
    </xf>
    <xf numFmtId="0" fontId="7" fillId="4" borderId="0" xfId="0" applyFont="1" applyFill="1" applyAlignment="1">
      <alignment horizontal="center" vertical="top"/>
    </xf>
    <xf numFmtId="0" fontId="5" fillId="4" borderId="0" xfId="0" applyFont="1" applyFill="1" applyAlignment="1">
      <alignment vertical="top"/>
    </xf>
    <xf numFmtId="0" fontId="5" fillId="4" borderId="0" xfId="0" applyFont="1" applyFill="1"/>
    <xf numFmtId="0" fontId="7" fillId="3" borderId="25" xfId="0" applyFont="1" applyFill="1" applyBorder="1" applyAlignment="1">
      <alignment horizontal="left" wrapText="1"/>
    </xf>
    <xf numFmtId="0" fontId="7" fillId="4" borderId="0" xfId="0" applyFont="1" applyFill="1" applyAlignment="1">
      <alignment horizontal="left"/>
    </xf>
    <xf numFmtId="0" fontId="5" fillId="4" borderId="25" xfId="0" applyFont="1" applyFill="1" applyBorder="1" applyAlignment="1">
      <alignment horizontal="left" wrapText="1"/>
    </xf>
    <xf numFmtId="0" fontId="5" fillId="4" borderId="0" xfId="0" applyFont="1" applyFill="1" applyAlignment="1">
      <alignment horizontal="left"/>
    </xf>
    <xf numFmtId="0" fontId="5" fillId="14" borderId="25" xfId="0" applyFont="1" applyFill="1" applyBorder="1" applyAlignment="1">
      <alignment horizontal="center" vertical="top" wrapText="1"/>
    </xf>
    <xf numFmtId="0" fontId="5" fillId="14" borderId="24" xfId="0" applyFont="1" applyFill="1" applyBorder="1" applyAlignment="1">
      <alignment horizontal="center" vertical="top"/>
    </xf>
    <xf numFmtId="165" fontId="5" fillId="0" borderId="25" xfId="0" applyNumberFormat="1" applyFont="1" applyBorder="1"/>
    <xf numFmtId="3" fontId="5" fillId="0" borderId="25" xfId="0" applyNumberFormat="1" applyFont="1" applyBorder="1" applyAlignment="1">
      <alignment wrapText="1"/>
    </xf>
    <xf numFmtId="0" fontId="6" fillId="0" borderId="24" xfId="0" applyFont="1" applyBorder="1" applyAlignment="1"/>
    <xf numFmtId="0" fontId="5" fillId="14" borderId="21" xfId="0" applyFont="1" applyFill="1" applyBorder="1" applyAlignment="1">
      <alignment wrapText="1"/>
    </xf>
    <xf numFmtId="0" fontId="5" fillId="6" borderId="51" xfId="0" applyFont="1" applyFill="1" applyBorder="1" applyAlignment="1">
      <alignment horizontal="center" vertical="top" wrapText="1"/>
    </xf>
    <xf numFmtId="0" fontId="5" fillId="6" borderId="59" xfId="0" applyFont="1" applyFill="1" applyBorder="1" applyAlignment="1">
      <alignment horizontal="center" vertical="top"/>
    </xf>
    <xf numFmtId="0" fontId="5" fillId="0" borderId="51" xfId="0" applyFont="1" applyBorder="1" applyAlignment="1">
      <alignment vertical="top" wrapText="1"/>
    </xf>
    <xf numFmtId="44" fontId="5" fillId="0" borderId="59" xfId="0" applyNumberFormat="1" applyFont="1" applyBorder="1" applyAlignment="1">
      <alignment horizontal="center" vertical="top"/>
    </xf>
    <xf numFmtId="165" fontId="5" fillId="0" borderId="59" xfId="0" applyNumberFormat="1" applyFont="1" applyBorder="1" applyAlignment="1">
      <alignment horizontal="center" vertical="top"/>
    </xf>
    <xf numFmtId="0" fontId="5" fillId="0" borderId="54" xfId="0" applyFont="1" applyBorder="1" applyAlignment="1">
      <alignment vertical="top" wrapText="1"/>
    </xf>
    <xf numFmtId="165" fontId="5" fillId="0" borderId="8" xfId="0" applyNumberFormat="1" applyFont="1" applyBorder="1" applyAlignment="1">
      <alignment horizontal="center" vertical="top"/>
    </xf>
    <xf numFmtId="0" fontId="5" fillId="0" borderId="1" xfId="0" applyFont="1" applyBorder="1"/>
    <xf numFmtId="44" fontId="0" fillId="0" borderId="37" xfId="0" applyNumberFormat="1" applyBorder="1"/>
    <xf numFmtId="44" fontId="0" fillId="0" borderId="27" xfId="0" applyNumberFormat="1" applyBorder="1"/>
    <xf numFmtId="44" fontId="0" fillId="0" borderId="1" xfId="0" applyNumberFormat="1" applyBorder="1"/>
    <xf numFmtId="44" fontId="0" fillId="0" borderId="21" xfId="0" applyNumberFormat="1" applyBorder="1" applyAlignment="1">
      <alignment horizontal="center" vertical="center"/>
    </xf>
    <xf numFmtId="0" fontId="0" fillId="10" borderId="26" xfId="0" applyFill="1" applyBorder="1" applyAlignment="1">
      <alignment horizontal="center" vertical="center"/>
    </xf>
    <xf numFmtId="44" fontId="0" fillId="0" borderId="4" xfId="0" applyNumberFormat="1" applyBorder="1" applyAlignment="1">
      <alignment horizontal="center" vertical="center"/>
    </xf>
    <xf numFmtId="0" fontId="0" fillId="10" borderId="7" xfId="0" applyFill="1" applyBorder="1" applyAlignment="1">
      <alignment horizontal="center" vertical="center"/>
    </xf>
    <xf numFmtId="0" fontId="0" fillId="10" borderId="27" xfId="0" applyFill="1" applyBorder="1" applyAlignment="1">
      <alignment horizontal="center" vertical="center"/>
    </xf>
    <xf numFmtId="0" fontId="0" fillId="10" borderId="8" xfId="0" applyFill="1" applyBorder="1" applyAlignment="1">
      <alignment horizontal="center" vertical="center"/>
    </xf>
    <xf numFmtId="0" fontId="2" fillId="10" borderId="2" xfId="0" applyFont="1" applyFill="1" applyBorder="1" applyAlignment="1">
      <alignment horizontal="center" vertical="center"/>
    </xf>
    <xf numFmtId="0" fontId="2" fillId="10" borderId="20" xfId="0" applyFont="1" applyFill="1" applyBorder="1" applyAlignment="1">
      <alignment horizontal="center" vertical="center"/>
    </xf>
    <xf numFmtId="0" fontId="2" fillId="10" borderId="43" xfId="0" applyFont="1" applyFill="1" applyBorder="1" applyAlignment="1">
      <alignment horizontal="center" vertical="center"/>
    </xf>
    <xf numFmtId="0" fontId="2" fillId="10" borderId="21" xfId="0" applyFont="1" applyFill="1" applyBorder="1" applyAlignment="1">
      <alignment horizontal="center" vertical="center"/>
    </xf>
    <xf numFmtId="0" fontId="2" fillId="10" borderId="26" xfId="0" applyFont="1" applyFill="1" applyBorder="1" applyAlignment="1">
      <alignment horizontal="center" vertical="center"/>
    </xf>
    <xf numFmtId="0" fontId="2" fillId="10" borderId="1" xfId="0" applyFont="1" applyFill="1" applyBorder="1" applyAlignment="1">
      <alignment horizontal="center" vertical="center"/>
    </xf>
    <xf numFmtId="0" fontId="2" fillId="10" borderId="4" xfId="0" applyFont="1" applyFill="1" applyBorder="1" applyAlignment="1">
      <alignment horizontal="center" vertical="center"/>
    </xf>
    <xf numFmtId="0" fontId="0" fillId="0" borderId="20" xfId="0" applyBorder="1" applyAlignment="1">
      <alignment horizontal="center"/>
    </xf>
    <xf numFmtId="0" fontId="0" fillId="0" borderId="21" xfId="0" applyBorder="1" applyAlignment="1">
      <alignment horizontal="center"/>
    </xf>
    <xf numFmtId="167" fontId="2" fillId="0" borderId="7" xfId="0" applyNumberFormat="1" applyFont="1" applyBorder="1" applyAlignment="1">
      <alignment horizontal="center" vertical="center"/>
    </xf>
    <xf numFmtId="44" fontId="0" fillId="0" borderId="27" xfId="0" applyNumberFormat="1" applyBorder="1" applyAlignment="1">
      <alignment horizontal="center" vertical="center"/>
    </xf>
    <xf numFmtId="44" fontId="0" fillId="0" borderId="7" xfId="0" applyNumberFormat="1" applyBorder="1" applyAlignment="1">
      <alignment horizontal="center" vertical="center"/>
    </xf>
    <xf numFmtId="43" fontId="0" fillId="0" borderId="8" xfId="1" applyFont="1" applyBorder="1" applyAlignment="1">
      <alignment horizontal="center" vertical="center"/>
    </xf>
    <xf numFmtId="9" fontId="0" fillId="0" borderId="27" xfId="1" applyNumberFormat="1" applyFont="1" applyBorder="1" applyAlignment="1">
      <alignment horizontal="center" vertical="center"/>
    </xf>
    <xf numFmtId="0" fontId="0" fillId="15" borderId="26" xfId="0" applyFill="1" applyBorder="1" applyAlignment="1">
      <alignment horizontal="center" vertical="center"/>
    </xf>
    <xf numFmtId="0" fontId="0" fillId="0" borderId="2" xfId="0" applyBorder="1" applyAlignment="1">
      <alignment vertical="center"/>
    </xf>
    <xf numFmtId="44" fontId="0" fillId="0" borderId="3" xfId="0" applyNumberFormat="1" applyBorder="1" applyAlignment="1">
      <alignment vertical="center"/>
    </xf>
    <xf numFmtId="0" fontId="0" fillId="0" borderId="3" xfId="0" applyBorder="1" applyAlignment="1">
      <alignment vertical="center"/>
    </xf>
    <xf numFmtId="44" fontId="0" fillId="0" borderId="4" xfId="0" applyNumberFormat="1" applyBorder="1" applyAlignment="1">
      <alignment vertical="center"/>
    </xf>
    <xf numFmtId="44" fontId="0" fillId="0" borderId="5" xfId="0" applyNumberFormat="1" applyBorder="1"/>
    <xf numFmtId="9" fontId="0" fillId="0" borderId="6" xfId="0" applyNumberFormat="1" applyBorder="1"/>
    <xf numFmtId="44" fontId="0" fillId="0" borderId="0" xfId="2" applyFont="1" applyBorder="1"/>
    <xf numFmtId="0" fontId="0" fillId="0" borderId="37" xfId="0" applyBorder="1" applyAlignment="1">
      <alignment horizontal="center" vertical="center"/>
    </xf>
    <xf numFmtId="0" fontId="0" fillId="0" borderId="6" xfId="0" applyBorder="1"/>
    <xf numFmtId="9" fontId="2" fillId="0" borderId="7" xfId="0" applyNumberFormat="1" applyFont="1" applyBorder="1" applyAlignment="1">
      <alignment horizontal="center" vertical="center"/>
    </xf>
    <xf numFmtId="10" fontId="2" fillId="0" borderId="7" xfId="0" applyNumberFormat="1" applyFont="1" applyBorder="1" applyAlignment="1">
      <alignment horizontal="center" vertical="center"/>
    </xf>
    <xf numFmtId="0" fontId="2" fillId="10" borderId="5" xfId="0" applyFont="1" applyFill="1" applyBorder="1" applyAlignment="1">
      <alignment horizontal="center" vertical="center"/>
    </xf>
    <xf numFmtId="44" fontId="0" fillId="0" borderId="56" xfId="0" applyNumberFormat="1" applyBorder="1"/>
    <xf numFmtId="44" fontId="0" fillId="0" borderId="56" xfId="2" applyFont="1" applyBorder="1"/>
    <xf numFmtId="0" fontId="0" fillId="0" borderId="8" xfId="0" applyBorder="1"/>
    <xf numFmtId="167" fontId="2" fillId="0" borderId="5" xfId="0" applyNumberFormat="1" applyFont="1" applyBorder="1" applyAlignment="1">
      <alignment horizontal="center" vertical="center"/>
    </xf>
    <xf numFmtId="0" fontId="2" fillId="0" borderId="7" xfId="0" applyFont="1" applyBorder="1" applyAlignment="1">
      <alignment horizontal="center" vertical="center"/>
    </xf>
    <xf numFmtId="0" fontId="0" fillId="0" borderId="21" xfId="0" applyBorder="1"/>
    <xf numFmtId="44" fontId="0" fillId="0" borderId="0" xfId="0" applyNumberFormat="1" applyBorder="1"/>
    <xf numFmtId="0" fontId="0" fillId="13" borderId="0" xfId="0" applyFill="1" applyBorder="1"/>
    <xf numFmtId="0" fontId="0" fillId="0" borderId="60" xfId="0" applyBorder="1"/>
    <xf numFmtId="0" fontId="0" fillId="0" borderId="61" xfId="0" applyBorder="1"/>
    <xf numFmtId="0" fontId="0" fillId="0" borderId="62" xfId="0" applyBorder="1"/>
    <xf numFmtId="0" fontId="0" fillId="0" borderId="64" xfId="0" applyBorder="1"/>
    <xf numFmtId="0" fontId="0" fillId="0" borderId="65" xfId="0" applyBorder="1"/>
    <xf numFmtId="0" fontId="0" fillId="0" borderId="60" xfId="0" applyBorder="1" applyAlignment="1">
      <alignment horizontal="center" vertical="center"/>
    </xf>
    <xf numFmtId="0" fontId="0" fillId="0" borderId="61" xfId="0" applyBorder="1" applyAlignment="1">
      <alignment horizontal="center" vertical="center"/>
    </xf>
    <xf numFmtId="0" fontId="0" fillId="0" borderId="69" xfId="0" applyBorder="1"/>
    <xf numFmtId="0" fontId="0" fillId="7" borderId="0" xfId="0" applyFill="1"/>
    <xf numFmtId="10" fontId="0" fillId="7" borderId="0" xfId="0" applyNumberFormat="1" applyFill="1" applyAlignment="1">
      <alignment horizontal="center"/>
    </xf>
    <xf numFmtId="9" fontId="0" fillId="7" borderId="0" xfId="0" applyNumberFormat="1" applyFill="1" applyAlignment="1">
      <alignment horizontal="center"/>
    </xf>
    <xf numFmtId="0" fontId="0" fillId="0" borderId="63" xfId="0" applyBorder="1"/>
    <xf numFmtId="0" fontId="2" fillId="16" borderId="9" xfId="0" applyFont="1" applyFill="1" applyBorder="1" applyAlignment="1">
      <alignment horizontal="center" vertical="center"/>
    </xf>
    <xf numFmtId="0" fontId="2" fillId="16" borderId="70" xfId="0" applyFont="1" applyFill="1" applyBorder="1" applyAlignment="1">
      <alignment horizontal="center" vertical="center"/>
    </xf>
    <xf numFmtId="0" fontId="2" fillId="16" borderId="10" xfId="0" applyFont="1" applyFill="1" applyBorder="1" applyAlignment="1">
      <alignment horizontal="center" vertical="center"/>
    </xf>
    <xf numFmtId="0" fontId="0" fillId="7" borderId="0" xfId="0" applyFill="1" applyAlignment="1">
      <alignment horizontal="center"/>
    </xf>
    <xf numFmtId="0" fontId="0" fillId="7" borderId="9" xfId="0" applyFill="1" applyBorder="1" applyAlignment="1">
      <alignment horizontal="center" vertical="center"/>
    </xf>
    <xf numFmtId="42" fontId="0" fillId="7" borderId="70" xfId="5" applyFont="1" applyFill="1" applyBorder="1" applyAlignment="1">
      <alignment horizontal="center" vertical="center"/>
    </xf>
    <xf numFmtId="42" fontId="0" fillId="7" borderId="10" xfId="5" applyFont="1" applyFill="1" applyBorder="1" applyAlignment="1">
      <alignment horizontal="center" vertical="center"/>
    </xf>
    <xf numFmtId="0" fontId="2" fillId="7" borderId="0" xfId="0" applyFont="1" applyFill="1" applyAlignment="1">
      <alignment horizontal="center" vertical="center"/>
    </xf>
    <xf numFmtId="0" fontId="0" fillId="0" borderId="9" xfId="0" applyBorder="1" applyAlignment="1">
      <alignment horizontal="center" vertical="center" wrapText="1"/>
    </xf>
    <xf numFmtId="42" fontId="0" fillId="0" borderId="70" xfId="5" applyFont="1" applyBorder="1" applyAlignment="1">
      <alignment horizontal="center" vertical="center"/>
    </xf>
    <xf numFmtId="42" fontId="0" fillId="0" borderId="10" xfId="5" applyFont="1" applyBorder="1" applyAlignment="1">
      <alignment horizontal="center" vertical="center"/>
    </xf>
    <xf numFmtId="0" fontId="2" fillId="7" borderId="0" xfId="0" applyFont="1" applyFill="1"/>
    <xf numFmtId="42" fontId="0" fillId="7" borderId="0" xfId="5" applyFont="1" applyFill="1"/>
    <xf numFmtId="42" fontId="13" fillId="7" borderId="0" xfId="5" applyFont="1" applyFill="1"/>
    <xf numFmtId="0" fontId="2" fillId="16" borderId="11" xfId="0" applyFont="1" applyFill="1" applyBorder="1" applyAlignment="1">
      <alignment horizontal="center" vertical="center" wrapText="1"/>
    </xf>
    <xf numFmtId="42" fontId="2" fillId="16" borderId="71" xfId="0" applyNumberFormat="1" applyFont="1" applyFill="1" applyBorder="1"/>
    <xf numFmtId="42" fontId="2" fillId="16" borderId="12" xfId="0" applyNumberFormat="1" applyFont="1" applyFill="1" applyBorder="1"/>
    <xf numFmtId="42" fontId="13" fillId="7" borderId="0" xfId="0" applyNumberFormat="1" applyFont="1" applyFill="1"/>
    <xf numFmtId="0" fontId="0" fillId="0" borderId="72" xfId="0" applyBorder="1"/>
    <xf numFmtId="42" fontId="0" fillId="7" borderId="0" xfId="0" applyNumberFormat="1" applyFill="1"/>
    <xf numFmtId="0" fontId="11" fillId="7" borderId="0" xfId="0" applyFont="1" applyFill="1"/>
    <xf numFmtId="42" fontId="11" fillId="7" borderId="0" xfId="5" applyFont="1" applyFill="1"/>
    <xf numFmtId="0" fontId="2" fillId="16" borderId="66" xfId="0" applyFont="1" applyFill="1" applyBorder="1" applyAlignment="1">
      <alignment horizontal="center" vertical="center"/>
    </xf>
    <xf numFmtId="0" fontId="2" fillId="16" borderId="67" xfId="0" applyFont="1" applyFill="1" applyBorder="1" applyAlignment="1">
      <alignment horizontal="center"/>
    </xf>
    <xf numFmtId="0" fontId="2" fillId="16" borderId="68" xfId="0" applyFont="1" applyFill="1" applyBorder="1" applyAlignment="1">
      <alignment horizontal="center"/>
    </xf>
    <xf numFmtId="0" fontId="2" fillId="16" borderId="70" xfId="0" applyFont="1" applyFill="1" applyBorder="1" applyAlignment="1">
      <alignment horizontal="center"/>
    </xf>
    <xf numFmtId="10" fontId="0" fillId="16" borderId="70" xfId="0" applyNumberFormat="1" applyFill="1" applyBorder="1" applyAlignment="1">
      <alignment horizontal="center"/>
    </xf>
    <xf numFmtId="9" fontId="0" fillId="16" borderId="70" xfId="0" applyNumberFormat="1" applyFill="1" applyBorder="1" applyAlignment="1">
      <alignment horizontal="center"/>
    </xf>
    <xf numFmtId="9" fontId="0" fillId="16" borderId="10" xfId="0" applyNumberFormat="1" applyFill="1" applyBorder="1" applyAlignment="1">
      <alignment horizontal="center"/>
    </xf>
    <xf numFmtId="0" fontId="0" fillId="16" borderId="70" xfId="0" applyFill="1" applyBorder="1" applyAlignment="1">
      <alignment horizontal="center"/>
    </xf>
    <xf numFmtId="0" fontId="0" fillId="16" borderId="10" xfId="0" applyFill="1" applyBorder="1" applyAlignment="1">
      <alignment horizontal="center"/>
    </xf>
    <xf numFmtId="0" fontId="0" fillId="0" borderId="9" xfId="0" applyBorder="1" applyAlignment="1">
      <alignment horizontal="justify" vertical="center"/>
    </xf>
    <xf numFmtId="168" fontId="0" fillId="0" borderId="70" xfId="2" applyNumberFormat="1" applyFont="1" applyBorder="1"/>
    <xf numFmtId="168" fontId="0" fillId="0" borderId="10" xfId="2" applyNumberFormat="1" applyFont="1" applyBorder="1"/>
    <xf numFmtId="0" fontId="0" fillId="0" borderId="73" xfId="0" applyBorder="1"/>
    <xf numFmtId="6" fontId="0" fillId="7" borderId="0" xfId="0" applyNumberFormat="1" applyFill="1"/>
    <xf numFmtId="6" fontId="13" fillId="7" borderId="0" xfId="0" applyNumberFormat="1" applyFont="1" applyFill="1"/>
    <xf numFmtId="0" fontId="13" fillId="7" borderId="0" xfId="0" applyFont="1" applyFill="1"/>
    <xf numFmtId="0" fontId="0" fillId="0" borderId="11" xfId="0" applyBorder="1" applyAlignment="1">
      <alignment horizontal="justify" vertical="center"/>
    </xf>
    <xf numFmtId="168" fontId="0" fillId="0" borderId="71" xfId="2" applyNumberFormat="1" applyFont="1" applyBorder="1"/>
    <xf numFmtId="168" fontId="0" fillId="0" borderId="12" xfId="2" applyNumberFormat="1" applyFont="1" applyBorder="1"/>
    <xf numFmtId="0" fontId="0" fillId="0" borderId="74" xfId="0" applyBorder="1"/>
    <xf numFmtId="42" fontId="0" fillId="0" borderId="60" xfId="0" applyNumberFormat="1" applyBorder="1"/>
    <xf numFmtId="0" fontId="0" fillId="7" borderId="66" xfId="0" applyFill="1" applyBorder="1"/>
    <xf numFmtId="9" fontId="0" fillId="7" borderId="68" xfId="0" applyNumberFormat="1" applyFill="1" applyBorder="1"/>
    <xf numFmtId="9" fontId="0" fillId="7" borderId="0" xfId="0" applyNumberFormat="1" applyFill="1"/>
    <xf numFmtId="0" fontId="0" fillId="7" borderId="75" xfId="0" applyFill="1" applyBorder="1"/>
    <xf numFmtId="0" fontId="0" fillId="7" borderId="11" xfId="0" applyFill="1" applyBorder="1"/>
    <xf numFmtId="42" fontId="0" fillId="7" borderId="12" xfId="0" applyNumberFormat="1" applyFill="1" applyBorder="1"/>
    <xf numFmtId="169" fontId="0" fillId="7" borderId="0" xfId="0" applyNumberFormat="1" applyFill="1"/>
    <xf numFmtId="0" fontId="0" fillId="0" borderId="77" xfId="0" applyBorder="1"/>
    <xf numFmtId="44" fontId="0" fillId="7" borderId="0" xfId="0" applyNumberFormat="1" applyFill="1"/>
    <xf numFmtId="42" fontId="0" fillId="7" borderId="0" xfId="0" applyNumberFormat="1" applyFont="1" applyFill="1"/>
    <xf numFmtId="0" fontId="0" fillId="0" borderId="9" xfId="0" applyBorder="1" applyAlignment="1">
      <alignment horizontal="center"/>
    </xf>
    <xf numFmtId="42" fontId="0" fillId="0" borderId="70" xfId="5" applyFont="1" applyBorder="1" applyAlignment="1">
      <alignment horizontal="center"/>
    </xf>
    <xf numFmtId="42" fontId="0" fillId="0" borderId="10" xfId="5" applyFont="1" applyBorder="1" applyAlignment="1">
      <alignment horizontal="center"/>
    </xf>
    <xf numFmtId="0" fontId="2" fillId="16" borderId="11" xfId="0" applyFont="1" applyFill="1" applyBorder="1" applyAlignment="1">
      <alignment horizontal="center"/>
    </xf>
    <xf numFmtId="42" fontId="2" fillId="16" borderId="71" xfId="5" applyFont="1" applyFill="1" applyBorder="1" applyAlignment="1">
      <alignment horizontal="center"/>
    </xf>
    <xf numFmtId="42" fontId="2" fillId="16" borderId="12" xfId="5" applyFont="1" applyFill="1" applyBorder="1" applyAlignment="1">
      <alignment horizontal="center"/>
    </xf>
    <xf numFmtId="0" fontId="0" fillId="0" borderId="9" xfId="0" applyBorder="1" applyAlignment="1">
      <alignment horizontal="center" wrapText="1"/>
    </xf>
    <xf numFmtId="0" fontId="0" fillId="0" borderId="0" xfId="0"/>
    <xf numFmtId="0" fontId="14" fillId="0" borderId="25" xfId="0" applyFont="1" applyBorder="1"/>
    <xf numFmtId="0" fontId="9" fillId="6" borderId="25" xfId="0" applyFont="1" applyFill="1" applyBorder="1" applyAlignment="1">
      <alignment horizontal="right"/>
    </xf>
    <xf numFmtId="0" fontId="14" fillId="0" borderId="83" xfId="0" applyFont="1" applyBorder="1"/>
    <xf numFmtId="0" fontId="9" fillId="0" borderId="0" xfId="0" applyFont="1"/>
    <xf numFmtId="164" fontId="9" fillId="0" borderId="0" xfId="0" applyNumberFormat="1" applyFont="1"/>
    <xf numFmtId="0" fontId="9" fillId="0" borderId="83" xfId="0" applyFont="1" applyBorder="1"/>
    <xf numFmtId="165" fontId="9" fillId="0" borderId="0" xfId="0" applyNumberFormat="1" applyFont="1"/>
    <xf numFmtId="165" fontId="9" fillId="0" borderId="84" xfId="0" applyNumberFormat="1" applyFont="1" applyBorder="1"/>
    <xf numFmtId="0" fontId="9" fillId="0" borderId="0" xfId="0" applyFont="1" applyAlignment="1">
      <alignment horizontal="right"/>
    </xf>
    <xf numFmtId="164" fontId="9" fillId="0" borderId="0" xfId="0" applyNumberFormat="1" applyFont="1" applyAlignment="1">
      <alignment horizontal="right"/>
    </xf>
    <xf numFmtId="164" fontId="9" fillId="0" borderId="84" xfId="0" applyNumberFormat="1" applyFont="1" applyBorder="1" applyAlignment="1">
      <alignment horizontal="right"/>
    </xf>
    <xf numFmtId="0" fontId="5" fillId="0" borderId="84" xfId="0" applyFont="1" applyBorder="1"/>
    <xf numFmtId="3" fontId="9" fillId="0" borderId="0" xfId="0" applyNumberFormat="1" applyFont="1"/>
    <xf numFmtId="0" fontId="14" fillId="0" borderId="85" xfId="0" applyFont="1" applyBorder="1"/>
    <xf numFmtId="0" fontId="9" fillId="0" borderId="58" xfId="0" applyFont="1" applyBorder="1" applyAlignment="1">
      <alignment horizontal="right"/>
    </xf>
    <xf numFmtId="164" fontId="9" fillId="0" borderId="58" xfId="0" applyNumberFormat="1" applyFont="1" applyBorder="1" applyAlignment="1">
      <alignment horizontal="right"/>
    </xf>
    <xf numFmtId="164" fontId="9" fillId="0" borderId="57" xfId="0" applyNumberFormat="1" applyFont="1" applyBorder="1" applyAlignment="1">
      <alignment horizontal="right"/>
    </xf>
    <xf numFmtId="0" fontId="9" fillId="6" borderId="0" xfId="0" applyFont="1" applyFill="1" applyAlignment="1">
      <alignment horizontal="right"/>
    </xf>
    <xf numFmtId="0" fontId="5" fillId="6" borderId="84" xfId="0" applyFont="1" applyFill="1" applyBorder="1"/>
    <xf numFmtId="0" fontId="5" fillId="6" borderId="0" xfId="0" applyFont="1" applyFill="1"/>
    <xf numFmtId="0" fontId="5" fillId="0" borderId="83" xfId="0" applyFont="1" applyBorder="1"/>
    <xf numFmtId="0" fontId="14" fillId="0" borderId="0" xfId="0" applyFont="1"/>
    <xf numFmtId="165" fontId="5" fillId="0" borderId="0" xfId="0" applyNumberFormat="1" applyFont="1"/>
    <xf numFmtId="165" fontId="5" fillId="0" borderId="84" xfId="0" applyNumberFormat="1" applyFont="1" applyBorder="1"/>
    <xf numFmtId="3" fontId="5" fillId="0" borderId="0" xfId="0" applyNumberFormat="1" applyFont="1"/>
    <xf numFmtId="0" fontId="7" fillId="0" borderId="0" xfId="0" applyFont="1"/>
    <xf numFmtId="164" fontId="5" fillId="0" borderId="0" xfId="0" applyNumberFormat="1" applyFont="1"/>
    <xf numFmtId="164" fontId="5" fillId="0" borderId="84" xfId="0" applyNumberFormat="1" applyFont="1" applyBorder="1"/>
    <xf numFmtId="165" fontId="5" fillId="0" borderId="58" xfId="0" applyNumberFormat="1" applyFont="1" applyBorder="1"/>
    <xf numFmtId="170" fontId="15" fillId="11" borderId="70" xfId="6" applyNumberFormat="1" applyFont="1" applyBorder="1" applyAlignment="1"/>
    <xf numFmtId="42" fontId="2" fillId="7" borderId="10" xfId="0" applyNumberFormat="1" applyFont="1" applyFill="1" applyBorder="1"/>
    <xf numFmtId="0" fontId="2" fillId="7" borderId="70" xfId="0" applyFont="1" applyFill="1" applyBorder="1"/>
    <xf numFmtId="170" fontId="2" fillId="7" borderId="70" xfId="0" applyNumberFormat="1" applyFont="1" applyFill="1" applyBorder="1"/>
    <xf numFmtId="0" fontId="0" fillId="7" borderId="81" xfId="0" applyFill="1" applyBorder="1"/>
    <xf numFmtId="0" fontId="0" fillId="7" borderId="70" xfId="0" applyFill="1" applyBorder="1"/>
    <xf numFmtId="42" fontId="0" fillId="7" borderId="10" xfId="5" applyFont="1" applyFill="1" applyBorder="1"/>
    <xf numFmtId="0" fontId="0" fillId="7" borderId="14" xfId="0" applyFill="1" applyBorder="1"/>
    <xf numFmtId="42" fontId="0" fillId="7" borderId="70" xfId="0" applyNumberFormat="1" applyFill="1" applyBorder="1"/>
    <xf numFmtId="41" fontId="2" fillId="7" borderId="10" xfId="0" applyNumberFormat="1" applyFont="1" applyFill="1" applyBorder="1"/>
    <xf numFmtId="6" fontId="0" fillId="7" borderId="70" xfId="0" applyNumberFormat="1" applyFill="1" applyBorder="1"/>
    <xf numFmtId="41" fontId="0" fillId="7" borderId="10" xfId="4" applyFont="1" applyFill="1" applyBorder="1"/>
    <xf numFmtId="0" fontId="0" fillId="7" borderId="10" xfId="0" applyFill="1" applyBorder="1"/>
    <xf numFmtId="6" fontId="2" fillId="7" borderId="70" xfId="0" applyNumberFormat="1" applyFont="1" applyFill="1" applyBorder="1"/>
    <xf numFmtId="0" fontId="0" fillId="7" borderId="71" xfId="0" applyFill="1" applyBorder="1"/>
    <xf numFmtId="6" fontId="0" fillId="7" borderId="71" xfId="0" applyNumberFormat="1" applyFill="1" applyBorder="1"/>
    <xf numFmtId="0" fontId="2" fillId="16" borderId="71" xfId="0" applyFont="1" applyFill="1" applyBorder="1"/>
    <xf numFmtId="41" fontId="15" fillId="11" borderId="12" xfId="6" applyNumberFormat="1" applyFont="1" applyBorder="1"/>
    <xf numFmtId="42" fontId="9" fillId="0" borderId="0" xfId="0" applyNumberFormat="1" applyFont="1"/>
    <xf numFmtId="0" fontId="0" fillId="0" borderId="0" xfId="0" applyAlignment="1">
      <alignment horizontal="center" vertical="center" wrapText="1"/>
    </xf>
    <xf numFmtId="0" fontId="0" fillId="17" borderId="9" xfId="0" applyFill="1" applyBorder="1" applyAlignment="1">
      <alignment horizontal="center" vertical="center"/>
    </xf>
    <xf numFmtId="0" fontId="0" fillId="17" borderId="11" xfId="0" applyFill="1" applyBorder="1" applyAlignment="1">
      <alignment horizontal="center" vertical="center"/>
    </xf>
    <xf numFmtId="0" fontId="0" fillId="0" borderId="12" xfId="0" applyBorder="1" applyAlignment="1">
      <alignment horizontal="center" vertical="center"/>
    </xf>
    <xf numFmtId="0" fontId="0" fillId="17" borderId="13" xfId="0" applyFill="1" applyBorder="1" applyAlignment="1">
      <alignment horizontal="center" vertical="center"/>
    </xf>
    <xf numFmtId="0" fontId="0" fillId="17" borderId="94" xfId="0" applyFill="1" applyBorder="1" applyAlignment="1">
      <alignment horizontal="center" vertical="center"/>
    </xf>
    <xf numFmtId="0" fontId="0" fillId="0" borderId="95" xfId="0" applyBorder="1" applyAlignment="1">
      <alignment horizontal="center" vertical="center"/>
    </xf>
    <xf numFmtId="0" fontId="0" fillId="0" borderId="0" xfId="0"/>
    <xf numFmtId="0" fontId="0" fillId="0" borderId="0" xfId="0" applyAlignment="1">
      <alignment horizontal="center" vertical="center"/>
    </xf>
    <xf numFmtId="0" fontId="0" fillId="0" borderId="0" xfId="0"/>
    <xf numFmtId="0" fontId="20" fillId="18" borderId="0" xfId="0" applyFont="1" applyFill="1"/>
    <xf numFmtId="0" fontId="20" fillId="0" borderId="0" xfId="0" applyFont="1"/>
    <xf numFmtId="9" fontId="20" fillId="0" borderId="0" xfId="0" applyNumberFormat="1" applyFont="1"/>
    <xf numFmtId="0" fontId="21" fillId="18" borderId="56" xfId="0" applyFont="1" applyFill="1" applyBorder="1" applyAlignment="1">
      <alignment horizontal="right"/>
    </xf>
    <xf numFmtId="10" fontId="20" fillId="18" borderId="56" xfId="0" applyNumberFormat="1" applyFont="1" applyFill="1" applyBorder="1"/>
    <xf numFmtId="0" fontId="20" fillId="0" borderId="56" xfId="0" applyFont="1" applyBorder="1"/>
    <xf numFmtId="0" fontId="20" fillId="0" borderId="43" xfId="0" applyFont="1" applyBorder="1"/>
    <xf numFmtId="0" fontId="20" fillId="0" borderId="0" xfId="0" applyFont="1" applyAlignment="1">
      <alignment horizontal="center" vertical="center"/>
    </xf>
    <xf numFmtId="171" fontId="20" fillId="0" borderId="0" xfId="0" applyNumberFormat="1" applyFont="1"/>
    <xf numFmtId="10" fontId="20" fillId="0" borderId="0" xfId="0" applyNumberFormat="1" applyFont="1" applyAlignment="1">
      <alignment horizontal="center" vertical="center"/>
    </xf>
    <xf numFmtId="10" fontId="20" fillId="0" borderId="0" xfId="3" applyNumberFormat="1" applyFont="1"/>
    <xf numFmtId="9" fontId="20" fillId="0" borderId="56" xfId="0" applyNumberFormat="1" applyFont="1" applyBorder="1"/>
    <xf numFmtId="0" fontId="20" fillId="19" borderId="56" xfId="0" applyFont="1" applyFill="1" applyBorder="1" applyAlignment="1">
      <alignment horizontal="right"/>
    </xf>
    <xf numFmtId="10" fontId="20" fillId="19" borderId="56" xfId="0" applyNumberFormat="1" applyFont="1" applyFill="1" applyBorder="1"/>
    <xf numFmtId="0" fontId="23" fillId="0" borderId="0" xfId="0" applyFont="1"/>
    <xf numFmtId="0" fontId="23" fillId="0" borderId="0" xfId="0" applyFont="1" applyAlignment="1">
      <alignment horizontal="center"/>
    </xf>
    <xf numFmtId="0" fontId="23" fillId="0" borderId="0" xfId="0" applyFont="1" applyAlignment="1">
      <alignment horizontal="right"/>
    </xf>
    <xf numFmtId="0" fontId="23" fillId="0" borderId="70" xfId="0" applyFont="1" applyBorder="1"/>
    <xf numFmtId="172" fontId="23" fillId="0" borderId="70" xfId="1" applyNumberFormat="1" applyFont="1" applyBorder="1"/>
    <xf numFmtId="173" fontId="23" fillId="0" borderId="70" xfId="3" applyNumberFormat="1" applyFont="1" applyBorder="1"/>
    <xf numFmtId="173" fontId="23" fillId="0" borderId="70" xfId="1" applyNumberFormat="1" applyFont="1" applyBorder="1"/>
    <xf numFmtId="0" fontId="23" fillId="0" borderId="96" xfId="0" applyFont="1" applyBorder="1"/>
    <xf numFmtId="173" fontId="23" fillId="0" borderId="96" xfId="3" applyNumberFormat="1" applyFont="1" applyBorder="1"/>
    <xf numFmtId="173" fontId="23" fillId="0" borderId="96" xfId="1" applyNumberFormat="1" applyFont="1" applyBorder="1"/>
    <xf numFmtId="0" fontId="25" fillId="0" borderId="97" xfId="0" applyFont="1" applyBorder="1" applyAlignment="1">
      <alignment vertical="center"/>
    </xf>
    <xf numFmtId="10" fontId="25" fillId="0" borderId="97" xfId="0" applyNumberFormat="1" applyFont="1" applyBorder="1" applyAlignment="1">
      <alignment vertical="center"/>
    </xf>
    <xf numFmtId="0" fontId="26" fillId="20" borderId="0" xfId="0" applyFont="1" applyFill="1" applyAlignment="1">
      <alignment vertical="center"/>
    </xf>
    <xf numFmtId="10" fontId="26" fillId="20" borderId="0" xfId="0" applyNumberFormat="1" applyFont="1" applyFill="1" applyAlignment="1">
      <alignment vertical="center"/>
    </xf>
    <xf numFmtId="0" fontId="25" fillId="18" borderId="0" xfId="0" applyFont="1" applyFill="1" applyAlignment="1">
      <alignment vertical="center"/>
    </xf>
    <xf numFmtId="10" fontId="25" fillId="18" borderId="0" xfId="0" applyNumberFormat="1" applyFont="1" applyFill="1" applyAlignment="1">
      <alignment vertical="center"/>
    </xf>
    <xf numFmtId="10" fontId="23" fillId="0" borderId="70" xfId="3" applyNumberFormat="1" applyFont="1" applyBorder="1"/>
    <xf numFmtId="0" fontId="25" fillId="19" borderId="0" xfId="0" applyFont="1" applyFill="1" applyAlignment="1">
      <alignment vertical="center"/>
    </xf>
    <xf numFmtId="10" fontId="25" fillId="19" borderId="0" xfId="0" applyNumberFormat="1" applyFont="1" applyFill="1" applyAlignment="1">
      <alignment vertical="center"/>
    </xf>
    <xf numFmtId="10" fontId="23" fillId="0" borderId="96" xfId="3" applyNumberFormat="1" applyFont="1" applyBorder="1"/>
    <xf numFmtId="10" fontId="23" fillId="0" borderId="0" xfId="0" applyNumberFormat="1" applyFont="1"/>
    <xf numFmtId="9" fontId="23" fillId="0" borderId="0" xfId="3" applyFont="1"/>
    <xf numFmtId="0" fontId="23" fillId="19" borderId="0" xfId="0" applyFont="1" applyFill="1"/>
    <xf numFmtId="10" fontId="23" fillId="19" borderId="0" xfId="0" applyNumberFormat="1" applyFont="1" applyFill="1"/>
    <xf numFmtId="9" fontId="23" fillId="0" borderId="0" xfId="0" applyNumberFormat="1" applyFont="1"/>
    <xf numFmtId="9" fontId="23" fillId="0" borderId="0" xfId="0" applyNumberFormat="1" applyFont="1" applyAlignment="1">
      <alignment horizontal="center"/>
    </xf>
    <xf numFmtId="0" fontId="25" fillId="0" borderId="98" xfId="0" applyFont="1" applyBorder="1" applyAlignment="1">
      <alignment vertical="center"/>
    </xf>
    <xf numFmtId="10" fontId="25" fillId="0" borderId="98" xfId="0" applyNumberFormat="1" applyFont="1" applyBorder="1" applyAlignment="1">
      <alignment vertical="center"/>
    </xf>
    <xf numFmtId="0" fontId="25" fillId="19" borderId="0" xfId="0" applyFont="1" applyFill="1"/>
    <xf numFmtId="10" fontId="25" fillId="19" borderId="0" xfId="0" applyNumberFormat="1" applyFont="1" applyFill="1"/>
    <xf numFmtId="0" fontId="25" fillId="0" borderId="0" xfId="0" applyFont="1" applyAlignment="1">
      <alignment horizontal="center" vertical="center"/>
    </xf>
    <xf numFmtId="0" fontId="23" fillId="0" borderId="70" xfId="0" applyFont="1" applyBorder="1" applyAlignment="1">
      <alignment horizontal="center" vertical="center"/>
    </xf>
    <xf numFmtId="10" fontId="23" fillId="0" borderId="70" xfId="0" applyNumberFormat="1" applyFont="1" applyBorder="1" applyAlignment="1">
      <alignment horizontal="center" vertical="center"/>
    </xf>
    <xf numFmtId="10" fontId="23" fillId="0" borderId="70" xfId="3" applyNumberFormat="1" applyFont="1" applyBorder="1" applyAlignment="1">
      <alignment horizontal="center" vertical="center"/>
    </xf>
    <xf numFmtId="10" fontId="23" fillId="0" borderId="96" xfId="3" applyNumberFormat="1" applyFont="1" applyBorder="1" applyAlignment="1">
      <alignment horizontal="center" vertical="center"/>
    </xf>
    <xf numFmtId="10" fontId="23" fillId="0" borderId="0" xfId="3" applyNumberFormat="1" applyFont="1"/>
    <xf numFmtId="0" fontId="23" fillId="0" borderId="96" xfId="0" applyFont="1" applyBorder="1" applyAlignment="1">
      <alignment horizontal="center" vertical="center"/>
    </xf>
    <xf numFmtId="10" fontId="23" fillId="0" borderId="96" xfId="0" applyNumberFormat="1" applyFont="1" applyBorder="1" applyAlignment="1">
      <alignment horizontal="center" vertical="center"/>
    </xf>
    <xf numFmtId="0" fontId="25" fillId="0" borderId="97" xfId="0" applyFont="1" applyBorder="1" applyAlignment="1">
      <alignment horizontal="center" vertical="center"/>
    </xf>
    <xf numFmtId="10" fontId="25" fillId="0" borderId="97" xfId="0" applyNumberFormat="1" applyFont="1" applyBorder="1" applyAlignment="1">
      <alignment horizontal="center" vertical="center"/>
    </xf>
    <xf numFmtId="0" fontId="23" fillId="0" borderId="0" xfId="0" applyFont="1" applyAlignment="1">
      <alignment horizontal="center" vertical="center"/>
    </xf>
    <xf numFmtId="0" fontId="25" fillId="19" borderId="0" xfId="0" applyFont="1" applyFill="1" applyAlignment="1">
      <alignment horizontal="left" vertical="center"/>
    </xf>
    <xf numFmtId="174" fontId="23" fillId="19" borderId="0" xfId="0" applyNumberFormat="1" applyFont="1" applyFill="1"/>
    <xf numFmtId="0" fontId="27" fillId="0" borderId="0" xfId="0" applyFont="1"/>
    <xf numFmtId="0" fontId="23" fillId="19" borderId="0" xfId="0" applyFont="1" applyFill="1" applyAlignment="1">
      <alignment horizontal="left" vertical="center"/>
    </xf>
    <xf numFmtId="0" fontId="26" fillId="20" borderId="0" xfId="0" applyFont="1" applyFill="1" applyAlignment="1">
      <alignment horizontal="right" vertical="center"/>
    </xf>
    <xf numFmtId="175" fontId="26" fillId="20" borderId="0" xfId="0" applyNumberFormat="1" applyFont="1" applyFill="1" applyAlignment="1">
      <alignment vertical="center"/>
    </xf>
    <xf numFmtId="174" fontId="23" fillId="0" borderId="0" xfId="0" applyNumberFormat="1" applyFont="1" applyAlignment="1">
      <alignment horizontal="left"/>
    </xf>
    <xf numFmtId="0" fontId="23" fillId="0" borderId="0" xfId="0" applyFont="1" applyAlignment="1">
      <alignment horizontal="left"/>
    </xf>
    <xf numFmtId="0" fontId="28" fillId="20" borderId="0" xfId="0" applyFont="1" applyFill="1" applyAlignment="1">
      <alignment vertical="center"/>
    </xf>
    <xf numFmtId="175" fontId="28" fillId="20" borderId="0" xfId="0" applyNumberFormat="1" applyFont="1" applyFill="1" applyAlignment="1">
      <alignment vertical="center"/>
    </xf>
    <xf numFmtId="0" fontId="29" fillId="0" borderId="0" xfId="0" applyFont="1"/>
    <xf numFmtId="9" fontId="29" fillId="0" borderId="0" xfId="0" applyNumberFormat="1" applyFont="1"/>
    <xf numFmtId="172" fontId="29" fillId="0" borderId="0" xfId="1" applyNumberFormat="1" applyFont="1"/>
    <xf numFmtId="0" fontId="29" fillId="19" borderId="0" xfId="0" applyFont="1" applyFill="1"/>
    <xf numFmtId="176" fontId="30" fillId="19" borderId="0" xfId="0" applyNumberFormat="1" applyFont="1" applyFill="1"/>
    <xf numFmtId="10" fontId="29" fillId="0" borderId="0" xfId="0" applyNumberFormat="1" applyFont="1"/>
    <xf numFmtId="177" fontId="29" fillId="0" borderId="0" xfId="1" applyNumberFormat="1" applyFont="1"/>
    <xf numFmtId="0" fontId="30" fillId="15" borderId="0" xfId="0" applyFont="1" applyFill="1"/>
    <xf numFmtId="10" fontId="30" fillId="15" borderId="0" xfId="3" applyNumberFormat="1" applyFont="1" applyFill="1"/>
    <xf numFmtId="167" fontId="23" fillId="0" borderId="21" xfId="3" applyNumberFormat="1" applyFont="1" applyBorder="1"/>
    <xf numFmtId="0" fontId="25" fillId="0" borderId="1" xfId="0" applyFont="1" applyBorder="1"/>
    <xf numFmtId="167" fontId="0" fillId="7" borderId="76" xfId="3" applyNumberFormat="1" applyFont="1" applyFill="1" applyBorder="1"/>
    <xf numFmtId="0" fontId="23" fillId="0" borderId="0" xfId="0" applyFont="1" applyFill="1"/>
    <xf numFmtId="172" fontId="23" fillId="0" borderId="0" xfId="0" applyNumberFormat="1" applyFont="1" applyFill="1"/>
    <xf numFmtId="10" fontId="23" fillId="0" borderId="0" xfId="3" applyNumberFormat="1" applyFont="1" applyFill="1"/>
    <xf numFmtId="173" fontId="0" fillId="0" borderId="0" xfId="0" applyNumberFormat="1" applyAlignment="1">
      <alignment horizontal="center" vertical="center"/>
    </xf>
    <xf numFmtId="178" fontId="0" fillId="0" borderId="0" xfId="0" applyNumberFormat="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6" xfId="0" applyFill="1" applyBorder="1" applyAlignment="1">
      <alignment horizontal="center" vertical="center"/>
    </xf>
    <xf numFmtId="0" fontId="0" fillId="0" borderId="18" xfId="0" applyBorder="1" applyAlignment="1">
      <alignment horizontal="center" vertical="center" wrapText="1"/>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7" fillId="5" borderId="29" xfId="0" applyFont="1" applyFill="1" applyBorder="1" applyAlignment="1">
      <alignment horizontal="center" vertical="center" wrapText="1"/>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0" borderId="26"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7" fillId="6" borderId="20"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7" fillId="6" borderId="2" xfId="0" applyFont="1" applyFill="1" applyBorder="1" applyAlignment="1">
      <alignment horizontal="center" vertical="center" wrapText="1"/>
    </xf>
    <xf numFmtId="0" fontId="6" fillId="0" borderId="3" xfId="0" applyFont="1" applyBorder="1" applyAlignment="1">
      <alignment horizontal="center" vertical="center"/>
    </xf>
    <xf numFmtId="0" fontId="7" fillId="5" borderId="48" xfId="0" applyFont="1" applyFill="1" applyBorder="1" applyAlignment="1">
      <alignment horizontal="center" vertical="center" wrapText="1"/>
    </xf>
    <xf numFmtId="0" fontId="6" fillId="2" borderId="49" xfId="0" applyFont="1" applyFill="1" applyBorder="1" applyAlignment="1">
      <alignment horizontal="center" vertical="center"/>
    </xf>
    <xf numFmtId="0" fontId="0" fillId="9" borderId="20" xfId="0" applyFill="1" applyBorder="1" applyAlignment="1">
      <alignment horizontal="center"/>
    </xf>
    <xf numFmtId="0" fontId="0" fillId="9" borderId="43" xfId="0" applyFill="1" applyBorder="1" applyAlignment="1">
      <alignment horizontal="center"/>
    </xf>
    <xf numFmtId="0" fontId="0" fillId="9" borderId="21" xfId="0" applyFill="1" applyBorder="1" applyAlignment="1">
      <alignment horizontal="center"/>
    </xf>
    <xf numFmtId="0" fontId="0" fillId="9" borderId="20" xfId="0" applyFill="1" applyBorder="1" applyAlignment="1">
      <alignment horizontal="center" vertical="center"/>
    </xf>
    <xf numFmtId="0" fontId="0" fillId="9" borderId="43" xfId="0" applyFill="1" applyBorder="1" applyAlignment="1">
      <alignment horizontal="center" vertical="center"/>
    </xf>
    <xf numFmtId="0" fontId="0" fillId="9" borderId="21" xfId="0" applyFill="1" applyBorder="1" applyAlignment="1">
      <alignment horizontal="center" vertical="center"/>
    </xf>
    <xf numFmtId="166" fontId="5" fillId="5" borderId="48" xfId="0" applyNumberFormat="1" applyFont="1" applyFill="1" applyBorder="1" applyAlignment="1">
      <alignment horizontal="center" vertical="center" wrapText="1"/>
    </xf>
    <xf numFmtId="0" fontId="6" fillId="2" borderId="49" xfId="0" applyFont="1" applyFill="1" applyBorder="1"/>
    <xf numFmtId="0" fontId="6" fillId="2" borderId="50" xfId="0" applyFont="1" applyFill="1" applyBorder="1"/>
    <xf numFmtId="0" fontId="5" fillId="5" borderId="22" xfId="0" applyFont="1" applyFill="1" applyBorder="1" applyAlignment="1">
      <alignment horizontal="center" vertical="center" wrapText="1"/>
    </xf>
    <xf numFmtId="0" fontId="6" fillId="2" borderId="23" xfId="0" applyFont="1" applyFill="1" applyBorder="1"/>
    <xf numFmtId="0" fontId="6" fillId="2" borderId="24" xfId="0" applyFont="1" applyFill="1" applyBorder="1"/>
    <xf numFmtId="0" fontId="2" fillId="2" borderId="20"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5" fillId="5" borderId="20" xfId="0" applyFont="1" applyFill="1" applyBorder="1" applyAlignment="1">
      <alignment horizontal="center" vertical="center" wrapText="1"/>
    </xf>
    <xf numFmtId="0" fontId="6" fillId="2" borderId="43" xfId="0" applyFont="1" applyFill="1" applyBorder="1"/>
    <xf numFmtId="0" fontId="6" fillId="2" borderId="21" xfId="0" applyFont="1" applyFill="1" applyBorder="1"/>
    <xf numFmtId="0" fontId="0" fillId="2" borderId="43" xfId="0" applyFill="1" applyBorder="1" applyAlignment="1">
      <alignment horizontal="center"/>
    </xf>
    <xf numFmtId="0" fontId="9" fillId="5" borderId="29" xfId="0" applyFont="1" applyFill="1" applyBorder="1" applyAlignment="1">
      <alignment horizontal="center" vertical="center" wrapText="1"/>
    </xf>
    <xf numFmtId="0" fontId="6" fillId="2" borderId="30" xfId="0" applyFont="1" applyFill="1" applyBorder="1"/>
    <xf numFmtId="0" fontId="6" fillId="2" borderId="31" xfId="0" applyFont="1" applyFill="1" applyBorder="1"/>
    <xf numFmtId="0" fontId="0" fillId="0" borderId="0" xfId="0" applyAlignment="1">
      <alignment horizontal="center" vertical="center"/>
    </xf>
    <xf numFmtId="0" fontId="0" fillId="0" borderId="37" xfId="0" applyBorder="1" applyAlignment="1">
      <alignment horizontal="center" wrapText="1"/>
    </xf>
    <xf numFmtId="0" fontId="0" fillId="0" borderId="27" xfId="0" applyBorder="1" applyAlignment="1">
      <alignment horizontal="center" wrapText="1"/>
    </xf>
    <xf numFmtId="0" fontId="7" fillId="5" borderId="22" xfId="0" applyFont="1" applyFill="1" applyBorder="1" applyAlignment="1">
      <alignment horizontal="center" wrapText="1"/>
    </xf>
    <xf numFmtId="0" fontId="8" fillId="2" borderId="23" xfId="0" applyFont="1" applyFill="1" applyBorder="1"/>
    <xf numFmtId="0" fontId="8" fillId="2" borderId="24" xfId="0" applyFont="1" applyFill="1" applyBorder="1"/>
    <xf numFmtId="0" fontId="7" fillId="5" borderId="29" xfId="0" applyFont="1" applyFill="1" applyBorder="1" applyAlignment="1">
      <alignment horizontal="center" wrapText="1"/>
    </xf>
    <xf numFmtId="0" fontId="8" fillId="2" borderId="30" xfId="0" applyFont="1" applyFill="1" applyBorder="1"/>
    <xf numFmtId="0" fontId="8" fillId="2" borderId="31" xfId="0" applyFont="1" applyFill="1" applyBorder="1"/>
    <xf numFmtId="0" fontId="7" fillId="5" borderId="29" xfId="0" applyFont="1" applyFill="1" applyBorder="1" applyAlignment="1">
      <alignment horizontal="center"/>
    </xf>
    <xf numFmtId="0" fontId="0" fillId="10" borderId="20" xfId="0" applyFill="1" applyBorder="1" applyAlignment="1">
      <alignment horizontal="center" vertical="center"/>
    </xf>
    <xf numFmtId="0" fontId="0" fillId="10" borderId="21" xfId="0" applyFill="1" applyBorder="1" applyAlignment="1">
      <alignment horizontal="center" vertical="center"/>
    </xf>
    <xf numFmtId="0" fontId="0" fillId="10" borderId="2" xfId="0" applyFill="1" applyBorder="1" applyAlignment="1">
      <alignment horizontal="center"/>
    </xf>
    <xf numFmtId="0" fontId="0" fillId="10" borderId="4" xfId="0" applyFill="1" applyBorder="1" applyAlignment="1">
      <alignment horizontal="center"/>
    </xf>
    <xf numFmtId="0" fontId="7" fillId="3" borderId="22" xfId="0" applyFont="1" applyFill="1" applyBorder="1" applyAlignment="1">
      <alignment horizontal="center"/>
    </xf>
    <xf numFmtId="0" fontId="8" fillId="0" borderId="23" xfId="0" applyFont="1" applyBorder="1"/>
    <xf numFmtId="0" fontId="8" fillId="0" borderId="24" xfId="0" applyFont="1" applyBorder="1"/>
    <xf numFmtId="0" fontId="7" fillId="3" borderId="22" xfId="0" applyFont="1" applyFill="1" applyBorder="1" applyAlignment="1">
      <alignment horizontal="left"/>
    </xf>
    <xf numFmtId="0" fontId="4" fillId="2" borderId="20"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21" xfId="0" applyFont="1" applyFill="1" applyBorder="1" applyAlignment="1">
      <alignment horizontal="center" vertical="center"/>
    </xf>
    <xf numFmtId="0" fontId="7" fillId="3" borderId="0" xfId="0" applyFont="1" applyFill="1" applyAlignment="1">
      <alignment horizontal="center" wrapText="1"/>
    </xf>
    <xf numFmtId="0" fontId="6" fillId="0" borderId="0" xfId="0" applyFont="1"/>
    <xf numFmtId="0" fontId="5" fillId="14" borderId="29" xfId="0" applyFont="1" applyFill="1" applyBorder="1" applyAlignment="1">
      <alignment horizontal="center" wrapText="1"/>
    </xf>
    <xf numFmtId="0" fontId="6" fillId="0" borderId="31" xfId="0" applyFont="1" applyBorder="1"/>
    <xf numFmtId="0" fontId="5" fillId="4" borderId="22" xfId="0" applyFont="1" applyFill="1" applyBorder="1" applyAlignment="1">
      <alignment horizontal="center" vertical="top"/>
    </xf>
    <xf numFmtId="0" fontId="6" fillId="0" borderId="24" xfId="0" applyFont="1" applyBorder="1"/>
    <xf numFmtId="0" fontId="5" fillId="4" borderId="22" xfId="0" applyFont="1" applyFill="1" applyBorder="1" applyAlignment="1">
      <alignment horizontal="center" vertical="center" wrapText="1"/>
    </xf>
    <xf numFmtId="165" fontId="5" fillId="4" borderId="22" xfId="0" applyNumberFormat="1" applyFont="1" applyFill="1" applyBorder="1" applyAlignment="1">
      <alignment horizontal="center"/>
    </xf>
    <xf numFmtId="165" fontId="5" fillId="4" borderId="22" xfId="0" applyNumberFormat="1" applyFont="1" applyFill="1" applyBorder="1"/>
    <xf numFmtId="3" fontId="5" fillId="4" borderId="22" xfId="0" applyNumberFormat="1" applyFont="1" applyFill="1" applyBorder="1"/>
    <xf numFmtId="0" fontId="5" fillId="4" borderId="22" xfId="0" applyFont="1" applyFill="1" applyBorder="1" applyAlignment="1">
      <alignment horizontal="center" vertical="top" wrapText="1"/>
    </xf>
    <xf numFmtId="0" fontId="2" fillId="16" borderId="9" xfId="0" applyFont="1" applyFill="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2" fillId="0" borderId="60" xfId="0" applyFont="1" applyBorder="1" applyAlignment="1">
      <alignment horizontal="center"/>
    </xf>
    <xf numFmtId="0" fontId="2" fillId="0" borderId="61" xfId="0" applyFont="1" applyBorder="1" applyAlignment="1">
      <alignment horizontal="center"/>
    </xf>
    <xf numFmtId="0" fontId="2" fillId="0" borderId="66"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2" xfId="0" applyFont="1" applyBorder="1" applyAlignment="1">
      <alignment horizontal="center" vertical="center"/>
    </xf>
    <xf numFmtId="0" fontId="2" fillId="16" borderId="78" xfId="0" applyFont="1" applyFill="1" applyBorder="1" applyAlignment="1">
      <alignment horizontal="center"/>
    </xf>
    <xf numFmtId="0" fontId="2" fillId="16" borderId="79" xfId="0" applyFont="1" applyFill="1" applyBorder="1" applyAlignment="1">
      <alignment horizontal="center"/>
    </xf>
    <xf numFmtId="0" fontId="2" fillId="16" borderId="80" xfId="0" applyFont="1" applyFill="1" applyBorder="1" applyAlignment="1">
      <alignment horizontal="center"/>
    </xf>
    <xf numFmtId="168" fontId="0" fillId="0" borderId="81" xfId="2" applyNumberFormat="1" applyFont="1" applyBorder="1" applyAlignment="1">
      <alignment horizontal="center"/>
    </xf>
    <xf numFmtId="168" fontId="0" fillId="0" borderId="82" xfId="2" applyNumberFormat="1" applyFont="1" applyBorder="1" applyAlignment="1">
      <alignment horizontal="center"/>
    </xf>
    <xf numFmtId="168" fontId="0" fillId="0" borderId="14" xfId="2" applyNumberFormat="1" applyFont="1" applyBorder="1" applyAlignment="1">
      <alignment horizontal="center"/>
    </xf>
    <xf numFmtId="0" fontId="0" fillId="16" borderId="81" xfId="0" applyFill="1" applyBorder="1" applyAlignment="1">
      <alignment horizontal="center"/>
    </xf>
    <xf numFmtId="0" fontId="0" fillId="16" borderId="14" xfId="0" applyFill="1" applyBorder="1" applyAlignment="1">
      <alignment horizontal="center"/>
    </xf>
    <xf numFmtId="0" fontId="9" fillId="0" borderId="83" xfId="0" applyFont="1" applyBorder="1"/>
    <xf numFmtId="0" fontId="0" fillId="0" borderId="0" xfId="0"/>
    <xf numFmtId="0" fontId="6" fillId="0" borderId="23" xfId="0" applyFont="1" applyBorder="1"/>
    <xf numFmtId="0" fontId="14" fillId="3" borderId="22" xfId="0" applyFont="1" applyFill="1" applyBorder="1" applyAlignment="1">
      <alignment horizontal="center" vertical="center" wrapText="1"/>
    </xf>
    <xf numFmtId="0" fontId="6" fillId="0" borderId="84" xfId="0" applyFont="1" applyBorder="1"/>
    <xf numFmtId="0" fontId="7" fillId="0" borderId="85" xfId="0" applyFont="1" applyBorder="1"/>
    <xf numFmtId="0" fontId="6" fillId="0" borderId="58" xfId="0" applyFont="1" applyBorder="1"/>
    <xf numFmtId="0" fontId="7" fillId="3" borderId="86" xfId="0" applyFont="1" applyFill="1" applyBorder="1" applyAlignment="1">
      <alignment horizontal="center"/>
    </xf>
    <xf numFmtId="0" fontId="6" fillId="0" borderId="87" xfId="0" applyFont="1" applyBorder="1"/>
    <xf numFmtId="0" fontId="6" fillId="0" borderId="41" xfId="0" applyFont="1" applyBorder="1"/>
    <xf numFmtId="0" fontId="14" fillId="3" borderId="83" xfId="0" applyFont="1" applyFill="1" applyBorder="1" applyAlignment="1">
      <alignment horizontal="center" vertical="center" wrapText="1"/>
    </xf>
    <xf numFmtId="0" fontId="5" fillId="0" borderId="83" xfId="0" applyFont="1" applyBorder="1"/>
    <xf numFmtId="0" fontId="7" fillId="0" borderId="83" xfId="0" applyFont="1" applyBorder="1"/>
    <xf numFmtId="0" fontId="5" fillId="0" borderId="0" xfId="0" applyFont="1"/>
    <xf numFmtId="0" fontId="2" fillId="7" borderId="66" xfId="0" applyFont="1" applyFill="1" applyBorder="1" applyAlignment="1">
      <alignment horizontal="center" vertical="center"/>
    </xf>
    <xf numFmtId="0" fontId="2" fillId="7" borderId="67" xfId="0" applyFont="1" applyFill="1" applyBorder="1" applyAlignment="1">
      <alignment horizontal="center" vertical="center"/>
    </xf>
    <xf numFmtId="0" fontId="2" fillId="7" borderId="68" xfId="0" applyFont="1" applyFill="1" applyBorder="1" applyAlignment="1">
      <alignment horizontal="center" vertical="center"/>
    </xf>
    <xf numFmtId="0" fontId="2" fillId="7" borderId="9" xfId="0" applyFont="1" applyFill="1" applyBorder="1" applyAlignment="1">
      <alignment horizontal="center"/>
    </xf>
    <xf numFmtId="0" fontId="2" fillId="7" borderId="70" xfId="0" applyFont="1" applyFill="1" applyBorder="1" applyAlignment="1">
      <alignment horizontal="center"/>
    </xf>
    <xf numFmtId="0" fontId="2" fillId="7" borderId="10" xfId="0" applyFont="1" applyFill="1" applyBorder="1" applyAlignment="1">
      <alignment horizontal="center"/>
    </xf>
    <xf numFmtId="0" fontId="0" fillId="7" borderId="88" xfId="0" applyFill="1" applyBorder="1" applyAlignment="1">
      <alignment horizontal="center"/>
    </xf>
    <xf numFmtId="0" fontId="0" fillId="7" borderId="89" xfId="0" applyFill="1" applyBorder="1" applyAlignment="1">
      <alignment horizontal="center"/>
    </xf>
    <xf numFmtId="0" fontId="0" fillId="7" borderId="90" xfId="0" applyFill="1" applyBorder="1" applyAlignment="1">
      <alignment horizontal="center"/>
    </xf>
    <xf numFmtId="0" fontId="2" fillId="16" borderId="9" xfId="0" applyFont="1" applyFill="1" applyBorder="1" applyAlignment="1">
      <alignment horizontal="left" vertical="center"/>
    </xf>
    <xf numFmtId="0" fontId="2" fillId="16" borderId="70" xfId="0" applyFont="1" applyFill="1" applyBorder="1" applyAlignment="1">
      <alignment horizontal="left" vertical="center"/>
    </xf>
    <xf numFmtId="0" fontId="0" fillId="7" borderId="81" xfId="0" applyFill="1" applyBorder="1" applyAlignment="1">
      <alignment horizontal="center"/>
    </xf>
    <xf numFmtId="0" fontId="0" fillId="7" borderId="82" xfId="0" applyFill="1" applyBorder="1" applyAlignment="1">
      <alignment horizontal="center"/>
    </xf>
    <xf numFmtId="0" fontId="0" fillId="7" borderId="19" xfId="0" applyFill="1" applyBorder="1" applyAlignment="1">
      <alignment horizontal="center"/>
    </xf>
    <xf numFmtId="0" fontId="0" fillId="7" borderId="91" xfId="0" applyFill="1" applyBorder="1" applyAlignment="1">
      <alignment horizontal="center"/>
    </xf>
    <xf numFmtId="0" fontId="0" fillId="7" borderId="75" xfId="0" applyFill="1" applyBorder="1" applyAlignment="1">
      <alignment horizontal="center"/>
    </xf>
    <xf numFmtId="0" fontId="0" fillId="7" borderId="93" xfId="0" applyFill="1" applyBorder="1" applyAlignment="1">
      <alignment horizontal="center"/>
    </xf>
    <xf numFmtId="0" fontId="0" fillId="7" borderId="92" xfId="0" applyFill="1" applyBorder="1" applyAlignment="1">
      <alignment horizont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2" fillId="20" borderId="0" xfId="0" applyFont="1" applyFill="1" applyAlignment="1">
      <alignment horizontal="center" vertical="center"/>
    </xf>
    <xf numFmtId="0" fontId="24" fillId="18" borderId="0" xfId="0" applyFont="1" applyFill="1" applyAlignment="1">
      <alignment horizontal="center" vertical="center"/>
    </xf>
    <xf numFmtId="0" fontId="24" fillId="0" borderId="0" xfId="0" applyFont="1" applyAlignment="1">
      <alignment horizontal="center" vertical="center"/>
    </xf>
    <xf numFmtId="0" fontId="26" fillId="20" borderId="0" xfId="0" applyFont="1" applyFill="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56" xfId="0"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43" xfId="0" applyFont="1" applyBorder="1" applyAlignment="1">
      <alignment horizontal="center" vertical="center"/>
    </xf>
    <xf numFmtId="0" fontId="2" fillId="0" borderId="1" xfId="0" applyFont="1" applyBorder="1" applyAlignment="1">
      <alignment horizontal="center" vertical="center"/>
    </xf>
    <xf numFmtId="0" fontId="2" fillId="10" borderId="20" xfId="0" applyFont="1" applyFill="1" applyBorder="1" applyAlignment="1">
      <alignment horizontal="center" vertical="center"/>
    </xf>
    <xf numFmtId="0" fontId="2" fillId="10" borderId="43" xfId="0" applyFont="1" applyFill="1" applyBorder="1" applyAlignment="1">
      <alignment horizontal="center" vertical="center"/>
    </xf>
    <xf numFmtId="0" fontId="2" fillId="10" borderId="21" xfId="0" applyFont="1" applyFill="1" applyBorder="1" applyAlignment="1">
      <alignment horizontal="center" vertical="center"/>
    </xf>
  </cellXfs>
  <cellStyles count="7">
    <cellStyle name="Bueno" xfId="6" builtinId="26"/>
    <cellStyle name="Millares" xfId="1" builtinId="3"/>
    <cellStyle name="Millares [0]" xfId="4" builtinId="6"/>
    <cellStyle name="Moneda" xfId="2" builtinId="4"/>
    <cellStyle name="Moneda [0]" xfId="5" builtinId="7"/>
    <cellStyle name="Normal" xfId="0" builtinId="0"/>
    <cellStyle name="Porcentaje" xfId="3" builtinId="5"/>
  </cellStyles>
  <dxfs count="3">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800" b="1" i="0">
                <a:solidFill>
                  <a:srgbClr val="E69138"/>
                </a:solidFill>
                <a:latin typeface="Calibri"/>
              </a:defRPr>
            </a:pPr>
            <a:r>
              <a:rPr lang="es-CO" sz="1800" b="1" i="0">
                <a:solidFill>
                  <a:srgbClr val="E69138"/>
                </a:solidFill>
                <a:latin typeface="Calibri"/>
              </a:rPr>
              <a:t>Punto de equilibrio Agrostore</a:t>
            </a:r>
          </a:p>
        </c:rich>
      </c:tx>
      <c:overlay val="0"/>
    </c:title>
    <c:autoTitleDeleted val="0"/>
    <c:plotArea>
      <c:layout/>
      <c:lineChart>
        <c:grouping val="standard"/>
        <c:varyColors val="1"/>
        <c:ser>
          <c:idx val="0"/>
          <c:order val="0"/>
          <c:tx>
            <c:v>Ventas</c:v>
          </c:tx>
          <c:spPr>
            <a:ln w="19050" cmpd="sng">
              <a:solidFill>
                <a:srgbClr val="4472C4">
                  <a:alpha val="100000"/>
                </a:srgbClr>
              </a:solidFill>
              <a:prstDash val="solid"/>
            </a:ln>
          </c:spPr>
          <c:marker>
            <c:symbol val="none"/>
          </c:marker>
          <c:cat>
            <c:numRef>
              <c:f>'[3]9. ANÁLISIS DEL PUNTO DE EQUILI'!$B$22:$B$28</c:f>
              <c:numCache>
                <c:formatCode>General</c:formatCode>
                <c:ptCount val="7"/>
                <c:pt idx="0">
                  <c:v>500</c:v>
                </c:pt>
                <c:pt idx="1">
                  <c:v>1000</c:v>
                </c:pt>
                <c:pt idx="2">
                  <c:v>1500</c:v>
                </c:pt>
                <c:pt idx="3">
                  <c:v>2000</c:v>
                </c:pt>
                <c:pt idx="4">
                  <c:v>3000</c:v>
                </c:pt>
                <c:pt idx="5">
                  <c:v>3500</c:v>
                </c:pt>
                <c:pt idx="6">
                  <c:v>4000</c:v>
                </c:pt>
              </c:numCache>
            </c:numRef>
          </c:cat>
          <c:val>
            <c:numRef>
              <c:f>'[3]9. ANÁLISIS DEL PUNTO DE EQUILI'!$C$22:$C$28</c:f>
              <c:numCache>
                <c:formatCode>General</c:formatCode>
                <c:ptCount val="7"/>
                <c:pt idx="0">
                  <c:v>8500000</c:v>
                </c:pt>
                <c:pt idx="1">
                  <c:v>17000000</c:v>
                </c:pt>
                <c:pt idx="2">
                  <c:v>25500000</c:v>
                </c:pt>
                <c:pt idx="3">
                  <c:v>34000000</c:v>
                </c:pt>
                <c:pt idx="4">
                  <c:v>51000000</c:v>
                </c:pt>
                <c:pt idx="5">
                  <c:v>59500000</c:v>
                </c:pt>
                <c:pt idx="6">
                  <c:v>68000000</c:v>
                </c:pt>
              </c:numCache>
            </c:numRef>
          </c:val>
          <c:smooth val="0"/>
          <c:extLst>
            <c:ext xmlns:c16="http://schemas.microsoft.com/office/drawing/2014/chart" uri="{C3380CC4-5D6E-409C-BE32-E72D297353CC}">
              <c16:uniqueId val="{00000000-1F74-447D-B3EB-33C4BE293C72}"/>
            </c:ext>
          </c:extLst>
        </c:ser>
        <c:ser>
          <c:idx val="1"/>
          <c:order val="1"/>
          <c:tx>
            <c:v>Costo fijo</c:v>
          </c:tx>
          <c:spPr>
            <a:ln w="19050" cmpd="sng">
              <a:solidFill>
                <a:srgbClr val="ED7D31">
                  <a:alpha val="100000"/>
                </a:srgbClr>
              </a:solidFill>
              <a:prstDash val="solid"/>
            </a:ln>
          </c:spPr>
          <c:marker>
            <c:symbol val="none"/>
          </c:marker>
          <c:cat>
            <c:numRef>
              <c:f>'[3]9. ANÁLISIS DEL PUNTO DE EQUILI'!$B$22:$B$28</c:f>
              <c:numCache>
                <c:formatCode>General</c:formatCode>
                <c:ptCount val="7"/>
                <c:pt idx="0">
                  <c:v>500</c:v>
                </c:pt>
                <c:pt idx="1">
                  <c:v>1000</c:v>
                </c:pt>
                <c:pt idx="2">
                  <c:v>1500</c:v>
                </c:pt>
                <c:pt idx="3">
                  <c:v>2000</c:v>
                </c:pt>
                <c:pt idx="4">
                  <c:v>3000</c:v>
                </c:pt>
                <c:pt idx="5">
                  <c:v>3500</c:v>
                </c:pt>
                <c:pt idx="6">
                  <c:v>4000</c:v>
                </c:pt>
              </c:numCache>
            </c:numRef>
          </c:cat>
          <c:val>
            <c:numRef>
              <c:f>'[3]9. ANÁLISIS DEL PUNTO DE EQUILI'!$D$22:$D$28</c:f>
              <c:numCache>
                <c:formatCode>General</c:formatCode>
                <c:ptCount val="7"/>
                <c:pt idx="0">
                  <c:v>40788116</c:v>
                </c:pt>
                <c:pt idx="1">
                  <c:v>40788116</c:v>
                </c:pt>
                <c:pt idx="2">
                  <c:v>40788116</c:v>
                </c:pt>
                <c:pt idx="3">
                  <c:v>40788116</c:v>
                </c:pt>
                <c:pt idx="4">
                  <c:v>40788116</c:v>
                </c:pt>
                <c:pt idx="5">
                  <c:v>40788116</c:v>
                </c:pt>
                <c:pt idx="6">
                  <c:v>40788116</c:v>
                </c:pt>
              </c:numCache>
            </c:numRef>
          </c:val>
          <c:smooth val="0"/>
          <c:extLst>
            <c:ext xmlns:c16="http://schemas.microsoft.com/office/drawing/2014/chart" uri="{C3380CC4-5D6E-409C-BE32-E72D297353CC}">
              <c16:uniqueId val="{00000001-1F74-447D-B3EB-33C4BE293C72}"/>
            </c:ext>
          </c:extLst>
        </c:ser>
        <c:ser>
          <c:idx val="2"/>
          <c:order val="2"/>
          <c:tx>
            <c:v>Costo variable</c:v>
          </c:tx>
          <c:spPr>
            <a:ln w="19050" cmpd="sng">
              <a:solidFill>
                <a:srgbClr val="A5A5A5">
                  <a:alpha val="100000"/>
                </a:srgbClr>
              </a:solidFill>
              <a:prstDash val="solid"/>
            </a:ln>
          </c:spPr>
          <c:marker>
            <c:symbol val="none"/>
          </c:marker>
          <c:cat>
            <c:numRef>
              <c:f>'[3]9. ANÁLISIS DEL PUNTO DE EQUILI'!$B$22:$B$28</c:f>
              <c:numCache>
                <c:formatCode>General</c:formatCode>
                <c:ptCount val="7"/>
                <c:pt idx="0">
                  <c:v>500</c:v>
                </c:pt>
                <c:pt idx="1">
                  <c:v>1000</c:v>
                </c:pt>
                <c:pt idx="2">
                  <c:v>1500</c:v>
                </c:pt>
                <c:pt idx="3">
                  <c:v>2000</c:v>
                </c:pt>
                <c:pt idx="4">
                  <c:v>3000</c:v>
                </c:pt>
                <c:pt idx="5">
                  <c:v>3500</c:v>
                </c:pt>
                <c:pt idx="6">
                  <c:v>4000</c:v>
                </c:pt>
              </c:numCache>
            </c:numRef>
          </c:cat>
          <c:val>
            <c:numRef>
              <c:f>'[3]9. ANÁLISIS DEL PUNTO DE EQUILI'!$E$22:$E$28</c:f>
              <c:numCache>
                <c:formatCode>General</c:formatCode>
                <c:ptCount val="7"/>
                <c:pt idx="0">
                  <c:v>2990750</c:v>
                </c:pt>
                <c:pt idx="1">
                  <c:v>5981500</c:v>
                </c:pt>
                <c:pt idx="2">
                  <c:v>8972250</c:v>
                </c:pt>
                <c:pt idx="3">
                  <c:v>11963000</c:v>
                </c:pt>
                <c:pt idx="4">
                  <c:v>17944500</c:v>
                </c:pt>
                <c:pt idx="5">
                  <c:v>20935250</c:v>
                </c:pt>
                <c:pt idx="6">
                  <c:v>23926000</c:v>
                </c:pt>
              </c:numCache>
            </c:numRef>
          </c:val>
          <c:smooth val="0"/>
          <c:extLst>
            <c:ext xmlns:c16="http://schemas.microsoft.com/office/drawing/2014/chart" uri="{C3380CC4-5D6E-409C-BE32-E72D297353CC}">
              <c16:uniqueId val="{00000002-1F74-447D-B3EB-33C4BE293C72}"/>
            </c:ext>
          </c:extLst>
        </c:ser>
        <c:ser>
          <c:idx val="3"/>
          <c:order val="3"/>
          <c:tx>
            <c:v>Costo total</c:v>
          </c:tx>
          <c:spPr>
            <a:ln w="19050" cmpd="sng">
              <a:solidFill>
                <a:srgbClr val="FFC000">
                  <a:alpha val="100000"/>
                </a:srgbClr>
              </a:solidFill>
              <a:prstDash val="solid"/>
            </a:ln>
          </c:spPr>
          <c:marker>
            <c:symbol val="none"/>
          </c:marker>
          <c:cat>
            <c:numRef>
              <c:f>'[3]9. ANÁLISIS DEL PUNTO DE EQUILI'!$B$22:$B$28</c:f>
              <c:numCache>
                <c:formatCode>General</c:formatCode>
                <c:ptCount val="7"/>
                <c:pt idx="0">
                  <c:v>500</c:v>
                </c:pt>
                <c:pt idx="1">
                  <c:v>1000</c:v>
                </c:pt>
                <c:pt idx="2">
                  <c:v>1500</c:v>
                </c:pt>
                <c:pt idx="3">
                  <c:v>2000</c:v>
                </c:pt>
                <c:pt idx="4">
                  <c:v>3000</c:v>
                </c:pt>
                <c:pt idx="5">
                  <c:v>3500</c:v>
                </c:pt>
                <c:pt idx="6">
                  <c:v>4000</c:v>
                </c:pt>
              </c:numCache>
            </c:numRef>
          </c:cat>
          <c:val>
            <c:numRef>
              <c:f>'[3]9. ANÁLISIS DEL PUNTO DE EQUILI'!$F$22:$F$28</c:f>
              <c:numCache>
                <c:formatCode>General</c:formatCode>
                <c:ptCount val="7"/>
                <c:pt idx="0">
                  <c:v>43778866</c:v>
                </c:pt>
                <c:pt idx="1">
                  <c:v>46769616</c:v>
                </c:pt>
                <c:pt idx="2">
                  <c:v>49760366</c:v>
                </c:pt>
                <c:pt idx="3">
                  <c:v>52751116</c:v>
                </c:pt>
                <c:pt idx="4">
                  <c:v>58732616</c:v>
                </c:pt>
                <c:pt idx="5">
                  <c:v>61723366</c:v>
                </c:pt>
                <c:pt idx="6">
                  <c:v>64714116</c:v>
                </c:pt>
              </c:numCache>
            </c:numRef>
          </c:val>
          <c:smooth val="0"/>
          <c:extLst>
            <c:ext xmlns:c16="http://schemas.microsoft.com/office/drawing/2014/chart" uri="{C3380CC4-5D6E-409C-BE32-E72D297353CC}">
              <c16:uniqueId val="{00000003-1F74-447D-B3EB-33C4BE293C72}"/>
            </c:ext>
          </c:extLst>
        </c:ser>
        <c:dLbls>
          <c:showLegendKey val="0"/>
          <c:showVal val="0"/>
          <c:showCatName val="0"/>
          <c:showSerName val="0"/>
          <c:showPercent val="0"/>
          <c:showBubbleSize val="0"/>
        </c:dLbls>
        <c:smooth val="0"/>
        <c:axId val="1373626922"/>
        <c:axId val="1560961182"/>
      </c:lineChart>
      <c:catAx>
        <c:axId val="1373626922"/>
        <c:scaling>
          <c:orientation val="minMax"/>
        </c:scaling>
        <c:delete val="0"/>
        <c:axPos val="b"/>
        <c:title>
          <c:tx>
            <c:rich>
              <a:bodyPr/>
              <a:lstStyle/>
              <a:p>
                <a:pPr lvl="0">
                  <a:defRPr sz="1000" b="0" i="0">
                    <a:solidFill>
                      <a:srgbClr val="000000"/>
                    </a:solidFill>
                    <a:latin typeface="Calibri"/>
                  </a:defRPr>
                </a:pPr>
                <a:r>
                  <a:rPr lang="es-CO" sz="1000" b="0" i="0">
                    <a:solidFill>
                      <a:srgbClr val="000000"/>
                    </a:solidFill>
                    <a:latin typeface="Calibri"/>
                  </a:rPr>
                  <a:t>Unidades</a:t>
                </a:r>
              </a:p>
            </c:rich>
          </c:tx>
          <c:overlay val="0"/>
        </c:title>
        <c:numFmt formatCode="General" sourceLinked="1"/>
        <c:majorTickMark val="none"/>
        <c:minorTickMark val="none"/>
        <c:tickLblPos val="nextTo"/>
        <c:txPr>
          <a:bodyPr/>
          <a:lstStyle/>
          <a:p>
            <a:pPr lvl="0">
              <a:defRPr sz="1000" b="0" i="0">
                <a:solidFill>
                  <a:srgbClr val="000000"/>
                </a:solidFill>
                <a:latin typeface="Calibri"/>
              </a:defRPr>
            </a:pPr>
            <a:endParaRPr lang="es-CO"/>
          </a:p>
        </c:txPr>
        <c:crossAx val="1560961182"/>
        <c:crosses val="autoZero"/>
        <c:auto val="1"/>
        <c:lblAlgn val="ctr"/>
        <c:lblOffset val="100"/>
        <c:noMultiLvlLbl val="1"/>
      </c:catAx>
      <c:valAx>
        <c:axId val="156096118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1000" b="0" i="0">
                <a:solidFill>
                  <a:srgbClr val="000000"/>
                </a:solidFill>
                <a:latin typeface="Calibri"/>
              </a:defRPr>
            </a:pPr>
            <a:endParaRPr lang="es-CO"/>
          </a:p>
        </c:txPr>
        <c:crossAx val="1373626922"/>
        <c:crosses val="autoZero"/>
        <c:crossBetween val="between"/>
      </c:valAx>
    </c:plotArea>
    <c:legend>
      <c:legendPos val="r"/>
      <c:overlay val="0"/>
      <c:txPr>
        <a:bodyPr/>
        <a:lstStyle/>
        <a:p>
          <a:pPr lvl="0">
            <a:defRPr sz="1000" b="0" i="0">
              <a:solidFill>
                <a:srgbClr val="1A1A1A"/>
              </a:solidFill>
              <a:latin typeface="Calibri"/>
            </a:defRPr>
          </a:pPr>
          <a:endParaRPr lang="es-CO"/>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lineChart>
        <c:grouping val="standard"/>
        <c:varyColors val="0"/>
        <c:ser>
          <c:idx val="0"/>
          <c:order val="0"/>
          <c:tx>
            <c:strRef>
              <c:f>[5]Rm!$H$15</c:f>
              <c:strCache>
                <c:ptCount val="1"/>
                <c:pt idx="0">
                  <c:v>IPC Acumulado</c:v>
                </c:pt>
              </c:strCache>
            </c:strRef>
          </c:tx>
          <c:spPr>
            <a:ln w="34925" cap="rnd">
              <a:solidFill>
                <a:schemeClr val="lt1"/>
              </a:solidFill>
              <a:round/>
            </a:ln>
            <a:effectLst>
              <a:outerShdw dist="25400" dir="2700000" algn="tl" rotWithShape="0">
                <a:schemeClr val="accent1"/>
              </a:outerShdw>
            </a:effectLst>
          </c:spPr>
          <c:marker>
            <c:symbol val="none"/>
          </c:marker>
          <c:val>
            <c:numRef>
              <c:f>[5]Rm!$I$15:$M$15</c:f>
              <c:numCache>
                <c:formatCode>General</c:formatCode>
                <c:ptCount val="5"/>
                <c:pt idx="0">
                  <c:v>5.6199999999999993E-2</c:v>
                </c:pt>
                <c:pt idx="1">
                  <c:v>4.0199999999999993E-2</c:v>
                </c:pt>
                <c:pt idx="2">
                  <c:v>3.1300000000000001E-2</c:v>
                </c:pt>
                <c:pt idx="3">
                  <c:v>3.7400000000000003E-2</c:v>
                </c:pt>
                <c:pt idx="4">
                  <c:v>1.6000000000000004E-2</c:v>
                </c:pt>
              </c:numCache>
            </c:numRef>
          </c:val>
          <c:smooth val="0"/>
          <c:extLst>
            <c:ext xmlns:c16="http://schemas.microsoft.com/office/drawing/2014/chart" uri="{C3380CC4-5D6E-409C-BE32-E72D297353CC}">
              <c16:uniqueId val="{00000000-B90F-429C-B52F-6B49BDAFC14E}"/>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665110880"/>
        <c:axId val="665107968"/>
      </c:lineChart>
      <c:catAx>
        <c:axId val="665110880"/>
        <c:scaling>
          <c:orientation val="minMax"/>
        </c:scaling>
        <c:delete val="0"/>
        <c:axPos val="b"/>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900" b="0" i="0" u="none" strike="noStrike" kern="1200" spc="100" baseline="0">
                <a:solidFill>
                  <a:schemeClr val="lt1"/>
                </a:solidFill>
                <a:latin typeface="+mn-lt"/>
                <a:ea typeface="+mn-ea"/>
                <a:cs typeface="+mn-cs"/>
              </a:defRPr>
            </a:pPr>
            <a:endParaRPr lang="es-CO"/>
          </a:p>
        </c:txPr>
        <c:crossAx val="665107968"/>
        <c:crosses val="autoZero"/>
        <c:auto val="1"/>
        <c:lblAlgn val="ctr"/>
        <c:lblOffset val="100"/>
        <c:noMultiLvlLbl val="0"/>
      </c:catAx>
      <c:valAx>
        <c:axId val="6651079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CO"/>
          </a:p>
        </c:txPr>
        <c:crossAx val="665110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lineChart>
        <c:grouping val="standard"/>
        <c:varyColors val="0"/>
        <c:ser>
          <c:idx val="0"/>
          <c:order val="0"/>
          <c:tx>
            <c:strRef>
              <c:f>[5]Rm!$A$30</c:f>
              <c:strCache>
                <c:ptCount val="1"/>
                <c:pt idx="0">
                  <c:v>Rendimiento Acumulado</c:v>
                </c:pt>
              </c:strCache>
            </c:strRef>
          </c:tx>
          <c:spPr>
            <a:ln w="34925" cap="rnd">
              <a:solidFill>
                <a:schemeClr val="lt1"/>
              </a:solidFill>
              <a:round/>
            </a:ln>
            <a:effectLst>
              <a:outerShdw dist="25400" dir="2700000" algn="tl" rotWithShape="0">
                <a:schemeClr val="accent1"/>
              </a:outerShdw>
            </a:effectLst>
          </c:spPr>
          <c:marker>
            <c:symbol val="none"/>
          </c:marker>
          <c:val>
            <c:numRef>
              <c:f>[5]Rm!$B$30:$F$30</c:f>
              <c:numCache>
                <c:formatCode>General</c:formatCode>
                <c:ptCount val="5"/>
                <c:pt idx="0">
                  <c:v>0.17300994758570887</c:v>
                </c:pt>
                <c:pt idx="1">
                  <c:v>2.073561647789901E-2</c:v>
                </c:pt>
                <c:pt idx="2">
                  <c:v>0.35804964780574744</c:v>
                </c:pt>
                <c:pt idx="3">
                  <c:v>-7.9008936581478673E-2</c:v>
                </c:pt>
                <c:pt idx="4">
                  <c:v>7.780514940278993E-2</c:v>
                </c:pt>
              </c:numCache>
            </c:numRef>
          </c:val>
          <c:smooth val="0"/>
          <c:extLst>
            <c:ext xmlns:c16="http://schemas.microsoft.com/office/drawing/2014/chart" uri="{C3380CC4-5D6E-409C-BE32-E72D297353CC}">
              <c16:uniqueId val="{00000000-2D19-4B52-ABDF-0A09C4120CF8}"/>
            </c:ext>
          </c:extLst>
        </c:ser>
        <c:dLbls>
          <c:showLegendKey val="0"/>
          <c:showVal val="0"/>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828326896"/>
        <c:axId val="828323984"/>
      </c:lineChart>
      <c:catAx>
        <c:axId val="828326896"/>
        <c:scaling>
          <c:orientation val="minMax"/>
        </c:scaling>
        <c:delete val="0"/>
        <c:axPos val="b"/>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900" b="0" i="0" u="none" strike="noStrike" kern="1200" spc="100" baseline="0">
                <a:solidFill>
                  <a:schemeClr val="lt1"/>
                </a:solidFill>
                <a:latin typeface="+mn-lt"/>
                <a:ea typeface="+mn-ea"/>
                <a:cs typeface="+mn-cs"/>
              </a:defRPr>
            </a:pPr>
            <a:endParaRPr lang="es-CO"/>
          </a:p>
        </c:txPr>
        <c:crossAx val="828323984"/>
        <c:crosses val="autoZero"/>
        <c:auto val="1"/>
        <c:lblAlgn val="ctr"/>
        <c:lblOffset val="100"/>
        <c:noMultiLvlLbl val="0"/>
      </c:catAx>
      <c:valAx>
        <c:axId val="8283239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solidFill>
                <a:latin typeface="+mn-lt"/>
                <a:ea typeface="+mn-ea"/>
                <a:cs typeface="+mn-cs"/>
              </a:defRPr>
            </a:pPr>
            <a:endParaRPr lang="es-CO"/>
          </a:p>
        </c:txPr>
        <c:crossAx val="8283268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3</xdr:col>
      <xdr:colOff>180975</xdr:colOff>
      <xdr:row>2</xdr:row>
      <xdr:rowOff>114300</xdr:rowOff>
    </xdr:from>
    <xdr:to>
      <xdr:col>3</xdr:col>
      <xdr:colOff>619125</xdr:colOff>
      <xdr:row>2</xdr:row>
      <xdr:rowOff>409575</xdr:rowOff>
    </xdr:to>
    <xdr:sp macro="" textlink="">
      <xdr:nvSpPr>
        <xdr:cNvPr id="4" name="Elipse 3">
          <a:extLst>
            <a:ext uri="{FF2B5EF4-FFF2-40B4-BE49-F238E27FC236}">
              <a16:creationId xmlns:a16="http://schemas.microsoft.com/office/drawing/2014/main" id="{23F4AA6D-AE25-4D59-9762-4E62E5B07A22}"/>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2</xdr:row>
      <xdr:rowOff>152400</xdr:rowOff>
    </xdr:from>
    <xdr:to>
      <xdr:col>4</xdr:col>
      <xdr:colOff>600075</xdr:colOff>
      <xdr:row>2</xdr:row>
      <xdr:rowOff>400050</xdr:rowOff>
    </xdr:to>
    <xdr:sp macro="" textlink="">
      <xdr:nvSpPr>
        <xdr:cNvPr id="5" name="Flecha: a la derecha 4">
          <a:extLst>
            <a:ext uri="{FF2B5EF4-FFF2-40B4-BE49-F238E27FC236}">
              <a16:creationId xmlns:a16="http://schemas.microsoft.com/office/drawing/2014/main" id="{AE158728-5FB9-4281-BD5D-DF69778673DC}"/>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2</xdr:row>
      <xdr:rowOff>142875</xdr:rowOff>
    </xdr:from>
    <xdr:to>
      <xdr:col>5</xdr:col>
      <xdr:colOff>647700</xdr:colOff>
      <xdr:row>2</xdr:row>
      <xdr:rowOff>381000</xdr:rowOff>
    </xdr:to>
    <xdr:sp macro="" textlink="">
      <xdr:nvSpPr>
        <xdr:cNvPr id="6" name="Rectángulo 5">
          <a:extLst>
            <a:ext uri="{FF2B5EF4-FFF2-40B4-BE49-F238E27FC236}">
              <a16:creationId xmlns:a16="http://schemas.microsoft.com/office/drawing/2014/main" id="{AC4BA402-BE82-425D-9E1D-88030CBD92AE}"/>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2</xdr:row>
      <xdr:rowOff>142875</xdr:rowOff>
    </xdr:from>
    <xdr:to>
      <xdr:col>6</xdr:col>
      <xdr:colOff>657225</xdr:colOff>
      <xdr:row>2</xdr:row>
      <xdr:rowOff>371475</xdr:rowOff>
    </xdr:to>
    <xdr:sp macro="" textlink="">
      <xdr:nvSpPr>
        <xdr:cNvPr id="7" name="Flecha: pentágono 6">
          <a:extLst>
            <a:ext uri="{FF2B5EF4-FFF2-40B4-BE49-F238E27FC236}">
              <a16:creationId xmlns:a16="http://schemas.microsoft.com/office/drawing/2014/main" id="{93E0FA6F-6579-4702-9F6F-9F67B903F019}"/>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2</xdr:row>
      <xdr:rowOff>95250</xdr:rowOff>
    </xdr:from>
    <xdr:to>
      <xdr:col>7</xdr:col>
      <xdr:colOff>619125</xdr:colOff>
      <xdr:row>2</xdr:row>
      <xdr:rowOff>428625</xdr:rowOff>
    </xdr:to>
    <xdr:sp macro="" textlink="">
      <xdr:nvSpPr>
        <xdr:cNvPr id="8" name="Diagrama de flujo: combinar 7">
          <a:extLst>
            <a:ext uri="{FF2B5EF4-FFF2-40B4-BE49-F238E27FC236}">
              <a16:creationId xmlns:a16="http://schemas.microsoft.com/office/drawing/2014/main" id="{98608763-3084-4CF7-AF91-78C1D19E210F}"/>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3</xdr:row>
      <xdr:rowOff>114300</xdr:rowOff>
    </xdr:from>
    <xdr:to>
      <xdr:col>3</xdr:col>
      <xdr:colOff>619125</xdr:colOff>
      <xdr:row>3</xdr:row>
      <xdr:rowOff>409575</xdr:rowOff>
    </xdr:to>
    <xdr:sp macro="" textlink="">
      <xdr:nvSpPr>
        <xdr:cNvPr id="9" name="Elipse 8">
          <a:extLst>
            <a:ext uri="{FF2B5EF4-FFF2-40B4-BE49-F238E27FC236}">
              <a16:creationId xmlns:a16="http://schemas.microsoft.com/office/drawing/2014/main" id="{98B554E6-B428-40F8-BE91-555B46ADB4AA}"/>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3</xdr:row>
      <xdr:rowOff>152400</xdr:rowOff>
    </xdr:from>
    <xdr:to>
      <xdr:col>4</xdr:col>
      <xdr:colOff>600075</xdr:colOff>
      <xdr:row>3</xdr:row>
      <xdr:rowOff>400050</xdr:rowOff>
    </xdr:to>
    <xdr:sp macro="" textlink="">
      <xdr:nvSpPr>
        <xdr:cNvPr id="10" name="Flecha: a la derecha 9">
          <a:extLst>
            <a:ext uri="{FF2B5EF4-FFF2-40B4-BE49-F238E27FC236}">
              <a16:creationId xmlns:a16="http://schemas.microsoft.com/office/drawing/2014/main" id="{67F4842F-0CD2-4B53-BD69-B6C6FFA9ADBC}"/>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3</xdr:row>
      <xdr:rowOff>142875</xdr:rowOff>
    </xdr:from>
    <xdr:to>
      <xdr:col>5</xdr:col>
      <xdr:colOff>647700</xdr:colOff>
      <xdr:row>3</xdr:row>
      <xdr:rowOff>381000</xdr:rowOff>
    </xdr:to>
    <xdr:sp macro="" textlink="">
      <xdr:nvSpPr>
        <xdr:cNvPr id="11" name="Rectángulo 10">
          <a:extLst>
            <a:ext uri="{FF2B5EF4-FFF2-40B4-BE49-F238E27FC236}">
              <a16:creationId xmlns:a16="http://schemas.microsoft.com/office/drawing/2014/main" id="{5839B81D-4C15-4696-B0F7-7C926649B0E3}"/>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3</xdr:row>
      <xdr:rowOff>142875</xdr:rowOff>
    </xdr:from>
    <xdr:to>
      <xdr:col>6</xdr:col>
      <xdr:colOff>657225</xdr:colOff>
      <xdr:row>3</xdr:row>
      <xdr:rowOff>371475</xdr:rowOff>
    </xdr:to>
    <xdr:sp macro="" textlink="">
      <xdr:nvSpPr>
        <xdr:cNvPr id="12" name="Flecha: pentágono 11">
          <a:extLst>
            <a:ext uri="{FF2B5EF4-FFF2-40B4-BE49-F238E27FC236}">
              <a16:creationId xmlns:a16="http://schemas.microsoft.com/office/drawing/2014/main" id="{BF191848-589F-439B-BE91-CEB75E921FF5}"/>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3</xdr:row>
      <xdr:rowOff>95250</xdr:rowOff>
    </xdr:from>
    <xdr:to>
      <xdr:col>7</xdr:col>
      <xdr:colOff>619125</xdr:colOff>
      <xdr:row>3</xdr:row>
      <xdr:rowOff>428625</xdr:rowOff>
    </xdr:to>
    <xdr:sp macro="" textlink="">
      <xdr:nvSpPr>
        <xdr:cNvPr id="13" name="Diagrama de flujo: combinar 12">
          <a:extLst>
            <a:ext uri="{FF2B5EF4-FFF2-40B4-BE49-F238E27FC236}">
              <a16:creationId xmlns:a16="http://schemas.microsoft.com/office/drawing/2014/main" id="{19DCC5A6-BC25-4796-8D3F-315BE5971BCA}"/>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4</xdr:row>
      <xdr:rowOff>114300</xdr:rowOff>
    </xdr:from>
    <xdr:to>
      <xdr:col>3</xdr:col>
      <xdr:colOff>619125</xdr:colOff>
      <xdr:row>4</xdr:row>
      <xdr:rowOff>409575</xdr:rowOff>
    </xdr:to>
    <xdr:sp macro="" textlink="">
      <xdr:nvSpPr>
        <xdr:cNvPr id="14" name="Elipse 13">
          <a:extLst>
            <a:ext uri="{FF2B5EF4-FFF2-40B4-BE49-F238E27FC236}">
              <a16:creationId xmlns:a16="http://schemas.microsoft.com/office/drawing/2014/main" id="{F7077B37-BA4B-4504-A3D4-EFC0FA96F824}"/>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4</xdr:row>
      <xdr:rowOff>152400</xdr:rowOff>
    </xdr:from>
    <xdr:to>
      <xdr:col>4</xdr:col>
      <xdr:colOff>600075</xdr:colOff>
      <xdr:row>4</xdr:row>
      <xdr:rowOff>400050</xdr:rowOff>
    </xdr:to>
    <xdr:sp macro="" textlink="">
      <xdr:nvSpPr>
        <xdr:cNvPr id="15" name="Flecha: a la derecha 14">
          <a:extLst>
            <a:ext uri="{FF2B5EF4-FFF2-40B4-BE49-F238E27FC236}">
              <a16:creationId xmlns:a16="http://schemas.microsoft.com/office/drawing/2014/main" id="{3F2F4DFB-6FD1-4AB2-A0AA-BC78FD142CA5}"/>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4</xdr:row>
      <xdr:rowOff>142875</xdr:rowOff>
    </xdr:from>
    <xdr:to>
      <xdr:col>5</xdr:col>
      <xdr:colOff>647700</xdr:colOff>
      <xdr:row>4</xdr:row>
      <xdr:rowOff>381000</xdr:rowOff>
    </xdr:to>
    <xdr:sp macro="" textlink="">
      <xdr:nvSpPr>
        <xdr:cNvPr id="16" name="Rectángulo 15">
          <a:extLst>
            <a:ext uri="{FF2B5EF4-FFF2-40B4-BE49-F238E27FC236}">
              <a16:creationId xmlns:a16="http://schemas.microsoft.com/office/drawing/2014/main" id="{4B6F43F6-D16C-43CE-AF17-2185E4A8D891}"/>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4</xdr:row>
      <xdr:rowOff>142875</xdr:rowOff>
    </xdr:from>
    <xdr:to>
      <xdr:col>6</xdr:col>
      <xdr:colOff>657225</xdr:colOff>
      <xdr:row>4</xdr:row>
      <xdr:rowOff>371475</xdr:rowOff>
    </xdr:to>
    <xdr:sp macro="" textlink="">
      <xdr:nvSpPr>
        <xdr:cNvPr id="17" name="Flecha: pentágono 16">
          <a:extLst>
            <a:ext uri="{FF2B5EF4-FFF2-40B4-BE49-F238E27FC236}">
              <a16:creationId xmlns:a16="http://schemas.microsoft.com/office/drawing/2014/main" id="{D1B204B4-576E-4D02-9CE0-485F562A604F}"/>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4</xdr:row>
      <xdr:rowOff>95250</xdr:rowOff>
    </xdr:from>
    <xdr:to>
      <xdr:col>7</xdr:col>
      <xdr:colOff>619125</xdr:colOff>
      <xdr:row>4</xdr:row>
      <xdr:rowOff>428625</xdr:rowOff>
    </xdr:to>
    <xdr:sp macro="" textlink="">
      <xdr:nvSpPr>
        <xdr:cNvPr id="18" name="Diagrama de flujo: combinar 17">
          <a:extLst>
            <a:ext uri="{FF2B5EF4-FFF2-40B4-BE49-F238E27FC236}">
              <a16:creationId xmlns:a16="http://schemas.microsoft.com/office/drawing/2014/main" id="{9A9C5198-902C-4170-B2F2-59059B088384}"/>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5</xdr:row>
      <xdr:rowOff>114300</xdr:rowOff>
    </xdr:from>
    <xdr:to>
      <xdr:col>3</xdr:col>
      <xdr:colOff>619125</xdr:colOff>
      <xdr:row>5</xdr:row>
      <xdr:rowOff>409575</xdr:rowOff>
    </xdr:to>
    <xdr:sp macro="" textlink="">
      <xdr:nvSpPr>
        <xdr:cNvPr id="24" name="Elipse 23">
          <a:extLst>
            <a:ext uri="{FF2B5EF4-FFF2-40B4-BE49-F238E27FC236}">
              <a16:creationId xmlns:a16="http://schemas.microsoft.com/office/drawing/2014/main" id="{B605915B-5BDE-4578-B51C-843CCD46C2C3}"/>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5</xdr:row>
      <xdr:rowOff>152400</xdr:rowOff>
    </xdr:from>
    <xdr:to>
      <xdr:col>4</xdr:col>
      <xdr:colOff>600075</xdr:colOff>
      <xdr:row>5</xdr:row>
      <xdr:rowOff>400050</xdr:rowOff>
    </xdr:to>
    <xdr:sp macro="" textlink="">
      <xdr:nvSpPr>
        <xdr:cNvPr id="25" name="Flecha: a la derecha 24">
          <a:extLst>
            <a:ext uri="{FF2B5EF4-FFF2-40B4-BE49-F238E27FC236}">
              <a16:creationId xmlns:a16="http://schemas.microsoft.com/office/drawing/2014/main" id="{5EEFD06F-6FA8-4E52-A002-A56FD51DD3F5}"/>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5</xdr:row>
      <xdr:rowOff>142875</xdr:rowOff>
    </xdr:from>
    <xdr:to>
      <xdr:col>5</xdr:col>
      <xdr:colOff>647700</xdr:colOff>
      <xdr:row>5</xdr:row>
      <xdr:rowOff>381000</xdr:rowOff>
    </xdr:to>
    <xdr:sp macro="" textlink="">
      <xdr:nvSpPr>
        <xdr:cNvPr id="26" name="Rectángulo 25">
          <a:extLst>
            <a:ext uri="{FF2B5EF4-FFF2-40B4-BE49-F238E27FC236}">
              <a16:creationId xmlns:a16="http://schemas.microsoft.com/office/drawing/2014/main" id="{C3829DFE-20C0-4313-8A90-8370F848AA0E}"/>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5</xdr:row>
      <xdr:rowOff>142875</xdr:rowOff>
    </xdr:from>
    <xdr:to>
      <xdr:col>6</xdr:col>
      <xdr:colOff>657225</xdr:colOff>
      <xdr:row>5</xdr:row>
      <xdr:rowOff>371475</xdr:rowOff>
    </xdr:to>
    <xdr:sp macro="" textlink="">
      <xdr:nvSpPr>
        <xdr:cNvPr id="27" name="Flecha: pentágono 26">
          <a:extLst>
            <a:ext uri="{FF2B5EF4-FFF2-40B4-BE49-F238E27FC236}">
              <a16:creationId xmlns:a16="http://schemas.microsoft.com/office/drawing/2014/main" id="{C48E193E-CF60-4540-85B0-A9523885B5D8}"/>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5</xdr:row>
      <xdr:rowOff>95250</xdr:rowOff>
    </xdr:from>
    <xdr:to>
      <xdr:col>7</xdr:col>
      <xdr:colOff>619125</xdr:colOff>
      <xdr:row>5</xdr:row>
      <xdr:rowOff>428625</xdr:rowOff>
    </xdr:to>
    <xdr:sp macro="" textlink="">
      <xdr:nvSpPr>
        <xdr:cNvPr id="28" name="Diagrama de flujo: combinar 27">
          <a:extLst>
            <a:ext uri="{FF2B5EF4-FFF2-40B4-BE49-F238E27FC236}">
              <a16:creationId xmlns:a16="http://schemas.microsoft.com/office/drawing/2014/main" id="{B0751687-C292-4E97-8327-ECAC3974AEB4}"/>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6</xdr:row>
      <xdr:rowOff>114300</xdr:rowOff>
    </xdr:from>
    <xdr:to>
      <xdr:col>3</xdr:col>
      <xdr:colOff>619125</xdr:colOff>
      <xdr:row>6</xdr:row>
      <xdr:rowOff>409575</xdr:rowOff>
    </xdr:to>
    <xdr:sp macro="" textlink="">
      <xdr:nvSpPr>
        <xdr:cNvPr id="29" name="Elipse 28">
          <a:extLst>
            <a:ext uri="{FF2B5EF4-FFF2-40B4-BE49-F238E27FC236}">
              <a16:creationId xmlns:a16="http://schemas.microsoft.com/office/drawing/2014/main" id="{C14641A5-5FB2-400E-B829-1C03B1B25487}"/>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6</xdr:row>
      <xdr:rowOff>152400</xdr:rowOff>
    </xdr:from>
    <xdr:to>
      <xdr:col>4</xdr:col>
      <xdr:colOff>600075</xdr:colOff>
      <xdr:row>6</xdr:row>
      <xdr:rowOff>400050</xdr:rowOff>
    </xdr:to>
    <xdr:sp macro="" textlink="">
      <xdr:nvSpPr>
        <xdr:cNvPr id="30" name="Flecha: a la derecha 29">
          <a:extLst>
            <a:ext uri="{FF2B5EF4-FFF2-40B4-BE49-F238E27FC236}">
              <a16:creationId xmlns:a16="http://schemas.microsoft.com/office/drawing/2014/main" id="{73ED6B55-7786-40AD-B1DD-4CBDD0615CE9}"/>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6</xdr:row>
      <xdr:rowOff>142875</xdr:rowOff>
    </xdr:from>
    <xdr:to>
      <xdr:col>5</xdr:col>
      <xdr:colOff>647700</xdr:colOff>
      <xdr:row>6</xdr:row>
      <xdr:rowOff>381000</xdr:rowOff>
    </xdr:to>
    <xdr:sp macro="" textlink="">
      <xdr:nvSpPr>
        <xdr:cNvPr id="31" name="Rectángulo 30">
          <a:extLst>
            <a:ext uri="{FF2B5EF4-FFF2-40B4-BE49-F238E27FC236}">
              <a16:creationId xmlns:a16="http://schemas.microsoft.com/office/drawing/2014/main" id="{612BAC8B-B71B-462E-9CA3-B1A5FDD424F8}"/>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6</xdr:row>
      <xdr:rowOff>142875</xdr:rowOff>
    </xdr:from>
    <xdr:to>
      <xdr:col>6</xdr:col>
      <xdr:colOff>657225</xdr:colOff>
      <xdr:row>6</xdr:row>
      <xdr:rowOff>371475</xdr:rowOff>
    </xdr:to>
    <xdr:sp macro="" textlink="">
      <xdr:nvSpPr>
        <xdr:cNvPr id="32" name="Flecha: pentágono 31">
          <a:extLst>
            <a:ext uri="{FF2B5EF4-FFF2-40B4-BE49-F238E27FC236}">
              <a16:creationId xmlns:a16="http://schemas.microsoft.com/office/drawing/2014/main" id="{D1764A20-6B12-4907-9D51-B4CFA649CA52}"/>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6</xdr:row>
      <xdr:rowOff>95250</xdr:rowOff>
    </xdr:from>
    <xdr:to>
      <xdr:col>7</xdr:col>
      <xdr:colOff>619125</xdr:colOff>
      <xdr:row>6</xdr:row>
      <xdr:rowOff>428625</xdr:rowOff>
    </xdr:to>
    <xdr:sp macro="" textlink="">
      <xdr:nvSpPr>
        <xdr:cNvPr id="33" name="Diagrama de flujo: combinar 32">
          <a:extLst>
            <a:ext uri="{FF2B5EF4-FFF2-40B4-BE49-F238E27FC236}">
              <a16:creationId xmlns:a16="http://schemas.microsoft.com/office/drawing/2014/main" id="{A5F771B0-3385-4D89-BF9E-7AD6F1E3F4EA}"/>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7</xdr:row>
      <xdr:rowOff>114300</xdr:rowOff>
    </xdr:from>
    <xdr:to>
      <xdr:col>3</xdr:col>
      <xdr:colOff>619125</xdr:colOff>
      <xdr:row>7</xdr:row>
      <xdr:rowOff>409575</xdr:rowOff>
    </xdr:to>
    <xdr:sp macro="" textlink="">
      <xdr:nvSpPr>
        <xdr:cNvPr id="34" name="Elipse 33">
          <a:extLst>
            <a:ext uri="{FF2B5EF4-FFF2-40B4-BE49-F238E27FC236}">
              <a16:creationId xmlns:a16="http://schemas.microsoft.com/office/drawing/2014/main" id="{2FB52956-1639-413A-9D33-227435176DEF}"/>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7</xdr:row>
      <xdr:rowOff>152400</xdr:rowOff>
    </xdr:from>
    <xdr:to>
      <xdr:col>4</xdr:col>
      <xdr:colOff>600075</xdr:colOff>
      <xdr:row>7</xdr:row>
      <xdr:rowOff>400050</xdr:rowOff>
    </xdr:to>
    <xdr:sp macro="" textlink="">
      <xdr:nvSpPr>
        <xdr:cNvPr id="35" name="Flecha: a la derecha 34">
          <a:extLst>
            <a:ext uri="{FF2B5EF4-FFF2-40B4-BE49-F238E27FC236}">
              <a16:creationId xmlns:a16="http://schemas.microsoft.com/office/drawing/2014/main" id="{C969D13C-C5F6-4859-8A62-7812F1954C3B}"/>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7</xdr:row>
      <xdr:rowOff>142875</xdr:rowOff>
    </xdr:from>
    <xdr:to>
      <xdr:col>5</xdr:col>
      <xdr:colOff>647700</xdr:colOff>
      <xdr:row>7</xdr:row>
      <xdr:rowOff>381000</xdr:rowOff>
    </xdr:to>
    <xdr:sp macro="" textlink="">
      <xdr:nvSpPr>
        <xdr:cNvPr id="36" name="Rectángulo 35">
          <a:extLst>
            <a:ext uri="{FF2B5EF4-FFF2-40B4-BE49-F238E27FC236}">
              <a16:creationId xmlns:a16="http://schemas.microsoft.com/office/drawing/2014/main" id="{0F287752-FA50-49E6-B051-95ADB133DB91}"/>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7</xdr:row>
      <xdr:rowOff>142875</xdr:rowOff>
    </xdr:from>
    <xdr:to>
      <xdr:col>6</xdr:col>
      <xdr:colOff>657225</xdr:colOff>
      <xdr:row>7</xdr:row>
      <xdr:rowOff>371475</xdr:rowOff>
    </xdr:to>
    <xdr:sp macro="" textlink="">
      <xdr:nvSpPr>
        <xdr:cNvPr id="37" name="Flecha: pentágono 36">
          <a:extLst>
            <a:ext uri="{FF2B5EF4-FFF2-40B4-BE49-F238E27FC236}">
              <a16:creationId xmlns:a16="http://schemas.microsoft.com/office/drawing/2014/main" id="{7EA48B8C-BFE3-4AE4-A64E-E15F708DDFF2}"/>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7</xdr:row>
      <xdr:rowOff>95250</xdr:rowOff>
    </xdr:from>
    <xdr:to>
      <xdr:col>7</xdr:col>
      <xdr:colOff>619125</xdr:colOff>
      <xdr:row>7</xdr:row>
      <xdr:rowOff>428625</xdr:rowOff>
    </xdr:to>
    <xdr:sp macro="" textlink="">
      <xdr:nvSpPr>
        <xdr:cNvPr id="38" name="Diagrama de flujo: combinar 37">
          <a:extLst>
            <a:ext uri="{FF2B5EF4-FFF2-40B4-BE49-F238E27FC236}">
              <a16:creationId xmlns:a16="http://schemas.microsoft.com/office/drawing/2014/main" id="{57AB9FD6-7507-43B6-844C-52F234C9637D}"/>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8</xdr:row>
      <xdr:rowOff>114300</xdr:rowOff>
    </xdr:from>
    <xdr:to>
      <xdr:col>3</xdr:col>
      <xdr:colOff>619125</xdr:colOff>
      <xdr:row>8</xdr:row>
      <xdr:rowOff>409575</xdr:rowOff>
    </xdr:to>
    <xdr:sp macro="" textlink="">
      <xdr:nvSpPr>
        <xdr:cNvPr id="39" name="Elipse 38">
          <a:extLst>
            <a:ext uri="{FF2B5EF4-FFF2-40B4-BE49-F238E27FC236}">
              <a16:creationId xmlns:a16="http://schemas.microsoft.com/office/drawing/2014/main" id="{2B6F26A2-0F5B-4173-9CAC-E889CBD94F34}"/>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8</xdr:row>
      <xdr:rowOff>152400</xdr:rowOff>
    </xdr:from>
    <xdr:to>
      <xdr:col>4</xdr:col>
      <xdr:colOff>600075</xdr:colOff>
      <xdr:row>8</xdr:row>
      <xdr:rowOff>400050</xdr:rowOff>
    </xdr:to>
    <xdr:sp macro="" textlink="">
      <xdr:nvSpPr>
        <xdr:cNvPr id="40" name="Flecha: a la derecha 39">
          <a:extLst>
            <a:ext uri="{FF2B5EF4-FFF2-40B4-BE49-F238E27FC236}">
              <a16:creationId xmlns:a16="http://schemas.microsoft.com/office/drawing/2014/main" id="{302FB663-5346-419A-8D1C-D9B48430944C}"/>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8</xdr:row>
      <xdr:rowOff>142875</xdr:rowOff>
    </xdr:from>
    <xdr:to>
      <xdr:col>5</xdr:col>
      <xdr:colOff>647700</xdr:colOff>
      <xdr:row>8</xdr:row>
      <xdr:rowOff>381000</xdr:rowOff>
    </xdr:to>
    <xdr:sp macro="" textlink="">
      <xdr:nvSpPr>
        <xdr:cNvPr id="41" name="Rectángulo 40">
          <a:extLst>
            <a:ext uri="{FF2B5EF4-FFF2-40B4-BE49-F238E27FC236}">
              <a16:creationId xmlns:a16="http://schemas.microsoft.com/office/drawing/2014/main" id="{72A1B497-DF97-44B5-84DE-DADF15794BDB}"/>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8</xdr:row>
      <xdr:rowOff>142875</xdr:rowOff>
    </xdr:from>
    <xdr:to>
      <xdr:col>6</xdr:col>
      <xdr:colOff>657225</xdr:colOff>
      <xdr:row>8</xdr:row>
      <xdr:rowOff>371475</xdr:rowOff>
    </xdr:to>
    <xdr:sp macro="" textlink="">
      <xdr:nvSpPr>
        <xdr:cNvPr id="42" name="Flecha: pentágono 41">
          <a:extLst>
            <a:ext uri="{FF2B5EF4-FFF2-40B4-BE49-F238E27FC236}">
              <a16:creationId xmlns:a16="http://schemas.microsoft.com/office/drawing/2014/main" id="{F3139F9A-C847-4D69-83A2-3AAF6927E00D}"/>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8</xdr:row>
      <xdr:rowOff>95250</xdr:rowOff>
    </xdr:from>
    <xdr:to>
      <xdr:col>7</xdr:col>
      <xdr:colOff>619125</xdr:colOff>
      <xdr:row>8</xdr:row>
      <xdr:rowOff>428625</xdr:rowOff>
    </xdr:to>
    <xdr:sp macro="" textlink="">
      <xdr:nvSpPr>
        <xdr:cNvPr id="43" name="Diagrama de flujo: combinar 42">
          <a:extLst>
            <a:ext uri="{FF2B5EF4-FFF2-40B4-BE49-F238E27FC236}">
              <a16:creationId xmlns:a16="http://schemas.microsoft.com/office/drawing/2014/main" id="{75AA712B-BA8E-49C7-86B3-A804C7F32493}"/>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9</xdr:row>
      <xdr:rowOff>114300</xdr:rowOff>
    </xdr:from>
    <xdr:to>
      <xdr:col>3</xdr:col>
      <xdr:colOff>619125</xdr:colOff>
      <xdr:row>9</xdr:row>
      <xdr:rowOff>409575</xdr:rowOff>
    </xdr:to>
    <xdr:sp macro="" textlink="">
      <xdr:nvSpPr>
        <xdr:cNvPr id="44" name="Elipse 43">
          <a:extLst>
            <a:ext uri="{FF2B5EF4-FFF2-40B4-BE49-F238E27FC236}">
              <a16:creationId xmlns:a16="http://schemas.microsoft.com/office/drawing/2014/main" id="{61C0FEE8-FE28-4763-B1DA-10D8DCF003AD}"/>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9</xdr:row>
      <xdr:rowOff>152400</xdr:rowOff>
    </xdr:from>
    <xdr:to>
      <xdr:col>4</xdr:col>
      <xdr:colOff>600075</xdr:colOff>
      <xdr:row>9</xdr:row>
      <xdr:rowOff>400050</xdr:rowOff>
    </xdr:to>
    <xdr:sp macro="" textlink="">
      <xdr:nvSpPr>
        <xdr:cNvPr id="45" name="Flecha: a la derecha 44">
          <a:extLst>
            <a:ext uri="{FF2B5EF4-FFF2-40B4-BE49-F238E27FC236}">
              <a16:creationId xmlns:a16="http://schemas.microsoft.com/office/drawing/2014/main" id="{4F734CBB-E6DF-494C-97D9-B03C439F1EA2}"/>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9</xdr:row>
      <xdr:rowOff>142875</xdr:rowOff>
    </xdr:from>
    <xdr:to>
      <xdr:col>5</xdr:col>
      <xdr:colOff>647700</xdr:colOff>
      <xdr:row>9</xdr:row>
      <xdr:rowOff>381000</xdr:rowOff>
    </xdr:to>
    <xdr:sp macro="" textlink="">
      <xdr:nvSpPr>
        <xdr:cNvPr id="46" name="Rectángulo 45">
          <a:extLst>
            <a:ext uri="{FF2B5EF4-FFF2-40B4-BE49-F238E27FC236}">
              <a16:creationId xmlns:a16="http://schemas.microsoft.com/office/drawing/2014/main" id="{80E524D4-994F-44E2-9A8E-F3637C302C09}"/>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9</xdr:row>
      <xdr:rowOff>142875</xdr:rowOff>
    </xdr:from>
    <xdr:to>
      <xdr:col>6</xdr:col>
      <xdr:colOff>657225</xdr:colOff>
      <xdr:row>9</xdr:row>
      <xdr:rowOff>371475</xdr:rowOff>
    </xdr:to>
    <xdr:sp macro="" textlink="">
      <xdr:nvSpPr>
        <xdr:cNvPr id="47" name="Flecha: pentágono 46">
          <a:extLst>
            <a:ext uri="{FF2B5EF4-FFF2-40B4-BE49-F238E27FC236}">
              <a16:creationId xmlns:a16="http://schemas.microsoft.com/office/drawing/2014/main" id="{43897D05-CC58-41A1-AA8B-01815165F448}"/>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9</xdr:row>
      <xdr:rowOff>95250</xdr:rowOff>
    </xdr:from>
    <xdr:to>
      <xdr:col>7</xdr:col>
      <xdr:colOff>619125</xdr:colOff>
      <xdr:row>9</xdr:row>
      <xdr:rowOff>428625</xdr:rowOff>
    </xdr:to>
    <xdr:sp macro="" textlink="">
      <xdr:nvSpPr>
        <xdr:cNvPr id="48" name="Diagrama de flujo: combinar 47">
          <a:extLst>
            <a:ext uri="{FF2B5EF4-FFF2-40B4-BE49-F238E27FC236}">
              <a16:creationId xmlns:a16="http://schemas.microsoft.com/office/drawing/2014/main" id="{8F614A46-D2FB-49BE-A8A0-CCAE5BCC15D2}"/>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10</xdr:row>
      <xdr:rowOff>114300</xdr:rowOff>
    </xdr:from>
    <xdr:to>
      <xdr:col>3</xdr:col>
      <xdr:colOff>619125</xdr:colOff>
      <xdr:row>10</xdr:row>
      <xdr:rowOff>409575</xdr:rowOff>
    </xdr:to>
    <xdr:sp macro="" textlink="">
      <xdr:nvSpPr>
        <xdr:cNvPr id="49" name="Elipse 48">
          <a:extLst>
            <a:ext uri="{FF2B5EF4-FFF2-40B4-BE49-F238E27FC236}">
              <a16:creationId xmlns:a16="http://schemas.microsoft.com/office/drawing/2014/main" id="{2BA088E9-3917-4483-8E74-E5C1AF197B1D}"/>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10</xdr:row>
      <xdr:rowOff>152400</xdr:rowOff>
    </xdr:from>
    <xdr:to>
      <xdr:col>4</xdr:col>
      <xdr:colOff>600075</xdr:colOff>
      <xdr:row>10</xdr:row>
      <xdr:rowOff>400050</xdr:rowOff>
    </xdr:to>
    <xdr:sp macro="" textlink="">
      <xdr:nvSpPr>
        <xdr:cNvPr id="50" name="Flecha: a la derecha 49">
          <a:extLst>
            <a:ext uri="{FF2B5EF4-FFF2-40B4-BE49-F238E27FC236}">
              <a16:creationId xmlns:a16="http://schemas.microsoft.com/office/drawing/2014/main" id="{82D204EC-2D11-4888-967D-B452AED324D7}"/>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10</xdr:row>
      <xdr:rowOff>142875</xdr:rowOff>
    </xdr:from>
    <xdr:to>
      <xdr:col>5</xdr:col>
      <xdr:colOff>647700</xdr:colOff>
      <xdr:row>10</xdr:row>
      <xdr:rowOff>381000</xdr:rowOff>
    </xdr:to>
    <xdr:sp macro="" textlink="">
      <xdr:nvSpPr>
        <xdr:cNvPr id="51" name="Rectángulo 50">
          <a:extLst>
            <a:ext uri="{FF2B5EF4-FFF2-40B4-BE49-F238E27FC236}">
              <a16:creationId xmlns:a16="http://schemas.microsoft.com/office/drawing/2014/main" id="{EF66DDCE-D466-4D6B-91B4-9C68759534E5}"/>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10</xdr:row>
      <xdr:rowOff>142875</xdr:rowOff>
    </xdr:from>
    <xdr:to>
      <xdr:col>6</xdr:col>
      <xdr:colOff>657225</xdr:colOff>
      <xdr:row>10</xdr:row>
      <xdr:rowOff>371475</xdr:rowOff>
    </xdr:to>
    <xdr:sp macro="" textlink="">
      <xdr:nvSpPr>
        <xdr:cNvPr id="52" name="Flecha: pentágono 51">
          <a:extLst>
            <a:ext uri="{FF2B5EF4-FFF2-40B4-BE49-F238E27FC236}">
              <a16:creationId xmlns:a16="http://schemas.microsoft.com/office/drawing/2014/main" id="{279E2CC6-4A91-42CF-837E-7CC6881920F1}"/>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10</xdr:row>
      <xdr:rowOff>95250</xdr:rowOff>
    </xdr:from>
    <xdr:to>
      <xdr:col>7</xdr:col>
      <xdr:colOff>619125</xdr:colOff>
      <xdr:row>10</xdr:row>
      <xdr:rowOff>428625</xdr:rowOff>
    </xdr:to>
    <xdr:sp macro="" textlink="">
      <xdr:nvSpPr>
        <xdr:cNvPr id="53" name="Diagrama de flujo: combinar 52">
          <a:extLst>
            <a:ext uri="{FF2B5EF4-FFF2-40B4-BE49-F238E27FC236}">
              <a16:creationId xmlns:a16="http://schemas.microsoft.com/office/drawing/2014/main" id="{AE39784A-EED3-4747-A247-94EF71DD1966}"/>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11</xdr:row>
      <xdr:rowOff>114300</xdr:rowOff>
    </xdr:from>
    <xdr:to>
      <xdr:col>3</xdr:col>
      <xdr:colOff>619125</xdr:colOff>
      <xdr:row>11</xdr:row>
      <xdr:rowOff>409575</xdr:rowOff>
    </xdr:to>
    <xdr:sp macro="" textlink="">
      <xdr:nvSpPr>
        <xdr:cNvPr id="54" name="Elipse 53">
          <a:extLst>
            <a:ext uri="{FF2B5EF4-FFF2-40B4-BE49-F238E27FC236}">
              <a16:creationId xmlns:a16="http://schemas.microsoft.com/office/drawing/2014/main" id="{79A9D1CD-C970-440C-A69C-D1337EFF15D1}"/>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11</xdr:row>
      <xdr:rowOff>152400</xdr:rowOff>
    </xdr:from>
    <xdr:to>
      <xdr:col>4</xdr:col>
      <xdr:colOff>600075</xdr:colOff>
      <xdr:row>11</xdr:row>
      <xdr:rowOff>400050</xdr:rowOff>
    </xdr:to>
    <xdr:sp macro="" textlink="">
      <xdr:nvSpPr>
        <xdr:cNvPr id="55" name="Flecha: a la derecha 54">
          <a:extLst>
            <a:ext uri="{FF2B5EF4-FFF2-40B4-BE49-F238E27FC236}">
              <a16:creationId xmlns:a16="http://schemas.microsoft.com/office/drawing/2014/main" id="{9022C27A-62F2-4089-A3E3-644979903218}"/>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11</xdr:row>
      <xdr:rowOff>142875</xdr:rowOff>
    </xdr:from>
    <xdr:to>
      <xdr:col>5</xdr:col>
      <xdr:colOff>647700</xdr:colOff>
      <xdr:row>11</xdr:row>
      <xdr:rowOff>381000</xdr:rowOff>
    </xdr:to>
    <xdr:sp macro="" textlink="">
      <xdr:nvSpPr>
        <xdr:cNvPr id="56" name="Rectángulo 55">
          <a:extLst>
            <a:ext uri="{FF2B5EF4-FFF2-40B4-BE49-F238E27FC236}">
              <a16:creationId xmlns:a16="http://schemas.microsoft.com/office/drawing/2014/main" id="{C42A7179-AFDC-4455-AA42-3FAA31B7CD35}"/>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11</xdr:row>
      <xdr:rowOff>142875</xdr:rowOff>
    </xdr:from>
    <xdr:to>
      <xdr:col>6</xdr:col>
      <xdr:colOff>657225</xdr:colOff>
      <xdr:row>11</xdr:row>
      <xdr:rowOff>371475</xdr:rowOff>
    </xdr:to>
    <xdr:sp macro="" textlink="">
      <xdr:nvSpPr>
        <xdr:cNvPr id="57" name="Flecha: pentágono 56">
          <a:extLst>
            <a:ext uri="{FF2B5EF4-FFF2-40B4-BE49-F238E27FC236}">
              <a16:creationId xmlns:a16="http://schemas.microsoft.com/office/drawing/2014/main" id="{79F304F8-8676-4957-84D4-2D5611A266A6}"/>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11</xdr:row>
      <xdr:rowOff>95250</xdr:rowOff>
    </xdr:from>
    <xdr:to>
      <xdr:col>7</xdr:col>
      <xdr:colOff>619125</xdr:colOff>
      <xdr:row>11</xdr:row>
      <xdr:rowOff>428625</xdr:rowOff>
    </xdr:to>
    <xdr:sp macro="" textlink="">
      <xdr:nvSpPr>
        <xdr:cNvPr id="58" name="Diagrama de flujo: combinar 57">
          <a:extLst>
            <a:ext uri="{FF2B5EF4-FFF2-40B4-BE49-F238E27FC236}">
              <a16:creationId xmlns:a16="http://schemas.microsoft.com/office/drawing/2014/main" id="{BA8BE246-3335-42CE-BBCD-A64D88F95D58}"/>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12</xdr:row>
      <xdr:rowOff>114300</xdr:rowOff>
    </xdr:from>
    <xdr:to>
      <xdr:col>3</xdr:col>
      <xdr:colOff>619125</xdr:colOff>
      <xdr:row>12</xdr:row>
      <xdr:rowOff>409575</xdr:rowOff>
    </xdr:to>
    <xdr:sp macro="" textlink="">
      <xdr:nvSpPr>
        <xdr:cNvPr id="59" name="Elipse 58">
          <a:extLst>
            <a:ext uri="{FF2B5EF4-FFF2-40B4-BE49-F238E27FC236}">
              <a16:creationId xmlns:a16="http://schemas.microsoft.com/office/drawing/2014/main" id="{8CFFFC75-60C2-4C7B-971F-560D688867FF}"/>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12</xdr:row>
      <xdr:rowOff>152400</xdr:rowOff>
    </xdr:from>
    <xdr:to>
      <xdr:col>4</xdr:col>
      <xdr:colOff>600075</xdr:colOff>
      <xdr:row>12</xdr:row>
      <xdr:rowOff>400050</xdr:rowOff>
    </xdr:to>
    <xdr:sp macro="" textlink="">
      <xdr:nvSpPr>
        <xdr:cNvPr id="60" name="Flecha: a la derecha 59">
          <a:extLst>
            <a:ext uri="{FF2B5EF4-FFF2-40B4-BE49-F238E27FC236}">
              <a16:creationId xmlns:a16="http://schemas.microsoft.com/office/drawing/2014/main" id="{BAC49ECE-D65E-4A40-8223-320FB5B058FB}"/>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12</xdr:row>
      <xdr:rowOff>142875</xdr:rowOff>
    </xdr:from>
    <xdr:to>
      <xdr:col>5</xdr:col>
      <xdr:colOff>647700</xdr:colOff>
      <xdr:row>12</xdr:row>
      <xdr:rowOff>381000</xdr:rowOff>
    </xdr:to>
    <xdr:sp macro="" textlink="">
      <xdr:nvSpPr>
        <xdr:cNvPr id="61" name="Rectángulo 60">
          <a:extLst>
            <a:ext uri="{FF2B5EF4-FFF2-40B4-BE49-F238E27FC236}">
              <a16:creationId xmlns:a16="http://schemas.microsoft.com/office/drawing/2014/main" id="{BE907823-7466-4C70-A1E9-2EB9E158AA1D}"/>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12</xdr:row>
      <xdr:rowOff>142875</xdr:rowOff>
    </xdr:from>
    <xdr:to>
      <xdr:col>6</xdr:col>
      <xdr:colOff>657225</xdr:colOff>
      <xdr:row>12</xdr:row>
      <xdr:rowOff>371475</xdr:rowOff>
    </xdr:to>
    <xdr:sp macro="" textlink="">
      <xdr:nvSpPr>
        <xdr:cNvPr id="62" name="Flecha: pentágono 61">
          <a:extLst>
            <a:ext uri="{FF2B5EF4-FFF2-40B4-BE49-F238E27FC236}">
              <a16:creationId xmlns:a16="http://schemas.microsoft.com/office/drawing/2014/main" id="{DFC8F06F-F6BF-4137-AFB1-C29D4652E9C7}"/>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12</xdr:row>
      <xdr:rowOff>95250</xdr:rowOff>
    </xdr:from>
    <xdr:to>
      <xdr:col>7</xdr:col>
      <xdr:colOff>619125</xdr:colOff>
      <xdr:row>12</xdr:row>
      <xdr:rowOff>428625</xdr:rowOff>
    </xdr:to>
    <xdr:sp macro="" textlink="">
      <xdr:nvSpPr>
        <xdr:cNvPr id="63" name="Diagrama de flujo: combinar 62">
          <a:extLst>
            <a:ext uri="{FF2B5EF4-FFF2-40B4-BE49-F238E27FC236}">
              <a16:creationId xmlns:a16="http://schemas.microsoft.com/office/drawing/2014/main" id="{2CE8EE5D-D04A-4C86-B905-086D01FA6AF1}"/>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13</xdr:row>
      <xdr:rowOff>114300</xdr:rowOff>
    </xdr:from>
    <xdr:to>
      <xdr:col>3</xdr:col>
      <xdr:colOff>619125</xdr:colOff>
      <xdr:row>13</xdr:row>
      <xdr:rowOff>409575</xdr:rowOff>
    </xdr:to>
    <xdr:sp macro="" textlink="">
      <xdr:nvSpPr>
        <xdr:cNvPr id="64" name="Elipse 63">
          <a:extLst>
            <a:ext uri="{FF2B5EF4-FFF2-40B4-BE49-F238E27FC236}">
              <a16:creationId xmlns:a16="http://schemas.microsoft.com/office/drawing/2014/main" id="{05B0CDFB-85E2-479A-9FFC-B2E7F698C6E3}"/>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13</xdr:row>
      <xdr:rowOff>152400</xdr:rowOff>
    </xdr:from>
    <xdr:to>
      <xdr:col>4</xdr:col>
      <xdr:colOff>600075</xdr:colOff>
      <xdr:row>13</xdr:row>
      <xdr:rowOff>400050</xdr:rowOff>
    </xdr:to>
    <xdr:sp macro="" textlink="">
      <xdr:nvSpPr>
        <xdr:cNvPr id="65" name="Flecha: a la derecha 64">
          <a:extLst>
            <a:ext uri="{FF2B5EF4-FFF2-40B4-BE49-F238E27FC236}">
              <a16:creationId xmlns:a16="http://schemas.microsoft.com/office/drawing/2014/main" id="{E8EB11AA-034F-4C6D-A260-9905B5D3AD41}"/>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13</xdr:row>
      <xdr:rowOff>142875</xdr:rowOff>
    </xdr:from>
    <xdr:to>
      <xdr:col>5</xdr:col>
      <xdr:colOff>647700</xdr:colOff>
      <xdr:row>13</xdr:row>
      <xdr:rowOff>381000</xdr:rowOff>
    </xdr:to>
    <xdr:sp macro="" textlink="">
      <xdr:nvSpPr>
        <xdr:cNvPr id="66" name="Rectángulo 65">
          <a:extLst>
            <a:ext uri="{FF2B5EF4-FFF2-40B4-BE49-F238E27FC236}">
              <a16:creationId xmlns:a16="http://schemas.microsoft.com/office/drawing/2014/main" id="{899CD363-644B-4C78-A423-86C308A655C1}"/>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13</xdr:row>
      <xdr:rowOff>142875</xdr:rowOff>
    </xdr:from>
    <xdr:to>
      <xdr:col>6</xdr:col>
      <xdr:colOff>657225</xdr:colOff>
      <xdr:row>13</xdr:row>
      <xdr:rowOff>371475</xdr:rowOff>
    </xdr:to>
    <xdr:sp macro="" textlink="">
      <xdr:nvSpPr>
        <xdr:cNvPr id="67" name="Flecha: pentágono 66">
          <a:extLst>
            <a:ext uri="{FF2B5EF4-FFF2-40B4-BE49-F238E27FC236}">
              <a16:creationId xmlns:a16="http://schemas.microsoft.com/office/drawing/2014/main" id="{E1E6DEFF-8D84-4EC3-896C-D511358D846C}"/>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13</xdr:row>
      <xdr:rowOff>95250</xdr:rowOff>
    </xdr:from>
    <xdr:to>
      <xdr:col>7</xdr:col>
      <xdr:colOff>619125</xdr:colOff>
      <xdr:row>13</xdr:row>
      <xdr:rowOff>428625</xdr:rowOff>
    </xdr:to>
    <xdr:sp macro="" textlink="">
      <xdr:nvSpPr>
        <xdr:cNvPr id="68" name="Diagrama de flujo: combinar 67">
          <a:extLst>
            <a:ext uri="{FF2B5EF4-FFF2-40B4-BE49-F238E27FC236}">
              <a16:creationId xmlns:a16="http://schemas.microsoft.com/office/drawing/2014/main" id="{FD8CD629-A537-4D3B-85A1-716E1B4F95B4}"/>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180975</xdr:colOff>
      <xdr:row>14</xdr:row>
      <xdr:rowOff>114300</xdr:rowOff>
    </xdr:from>
    <xdr:to>
      <xdr:col>3</xdr:col>
      <xdr:colOff>619125</xdr:colOff>
      <xdr:row>14</xdr:row>
      <xdr:rowOff>409575</xdr:rowOff>
    </xdr:to>
    <xdr:sp macro="" textlink="">
      <xdr:nvSpPr>
        <xdr:cNvPr id="69" name="Elipse 68">
          <a:extLst>
            <a:ext uri="{FF2B5EF4-FFF2-40B4-BE49-F238E27FC236}">
              <a16:creationId xmlns:a16="http://schemas.microsoft.com/office/drawing/2014/main" id="{18337066-5997-47DF-981C-7FFC20E428AC}"/>
            </a:ext>
          </a:extLst>
        </xdr:cNvPr>
        <xdr:cNvSpPr/>
      </xdr:nvSpPr>
      <xdr:spPr>
        <a:xfrm>
          <a:off x="2676525" y="514350"/>
          <a:ext cx="438150" cy="295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133350</xdr:colOff>
      <xdr:row>14</xdr:row>
      <xdr:rowOff>152400</xdr:rowOff>
    </xdr:from>
    <xdr:to>
      <xdr:col>4</xdr:col>
      <xdr:colOff>600075</xdr:colOff>
      <xdr:row>14</xdr:row>
      <xdr:rowOff>400050</xdr:rowOff>
    </xdr:to>
    <xdr:sp macro="" textlink="">
      <xdr:nvSpPr>
        <xdr:cNvPr id="70" name="Flecha: a la derecha 69">
          <a:extLst>
            <a:ext uri="{FF2B5EF4-FFF2-40B4-BE49-F238E27FC236}">
              <a16:creationId xmlns:a16="http://schemas.microsoft.com/office/drawing/2014/main" id="{FCEA5623-C063-4A2F-AD58-03D80E36A159}"/>
            </a:ext>
          </a:extLst>
        </xdr:cNvPr>
        <xdr:cNvSpPr/>
      </xdr:nvSpPr>
      <xdr:spPr>
        <a:xfrm>
          <a:off x="3390900" y="552450"/>
          <a:ext cx="466725" cy="247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14</xdr:row>
      <xdr:rowOff>142875</xdr:rowOff>
    </xdr:from>
    <xdr:to>
      <xdr:col>5</xdr:col>
      <xdr:colOff>647700</xdr:colOff>
      <xdr:row>14</xdr:row>
      <xdr:rowOff>381000</xdr:rowOff>
    </xdr:to>
    <xdr:sp macro="" textlink="">
      <xdr:nvSpPr>
        <xdr:cNvPr id="71" name="Rectángulo 70">
          <a:extLst>
            <a:ext uri="{FF2B5EF4-FFF2-40B4-BE49-F238E27FC236}">
              <a16:creationId xmlns:a16="http://schemas.microsoft.com/office/drawing/2014/main" id="{34708DE8-F256-449A-A794-DEF25D8B2C3D}"/>
            </a:ext>
          </a:extLst>
        </xdr:cNvPr>
        <xdr:cNvSpPr/>
      </xdr:nvSpPr>
      <xdr:spPr>
        <a:xfrm>
          <a:off x="4143375" y="542925"/>
          <a:ext cx="523875"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142875</xdr:colOff>
      <xdr:row>14</xdr:row>
      <xdr:rowOff>142875</xdr:rowOff>
    </xdr:from>
    <xdr:to>
      <xdr:col>6</xdr:col>
      <xdr:colOff>657225</xdr:colOff>
      <xdr:row>14</xdr:row>
      <xdr:rowOff>371475</xdr:rowOff>
    </xdr:to>
    <xdr:sp macro="" textlink="">
      <xdr:nvSpPr>
        <xdr:cNvPr id="72" name="Flecha: pentágono 71">
          <a:extLst>
            <a:ext uri="{FF2B5EF4-FFF2-40B4-BE49-F238E27FC236}">
              <a16:creationId xmlns:a16="http://schemas.microsoft.com/office/drawing/2014/main" id="{D7B69060-31A3-439D-9A82-1D6EA80F5CC7}"/>
            </a:ext>
          </a:extLst>
        </xdr:cNvPr>
        <xdr:cNvSpPr/>
      </xdr:nvSpPr>
      <xdr:spPr>
        <a:xfrm>
          <a:off x="4924425" y="542925"/>
          <a:ext cx="514350" cy="22860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161925</xdr:colOff>
      <xdr:row>14</xdr:row>
      <xdr:rowOff>95250</xdr:rowOff>
    </xdr:from>
    <xdr:to>
      <xdr:col>7</xdr:col>
      <xdr:colOff>619125</xdr:colOff>
      <xdr:row>14</xdr:row>
      <xdr:rowOff>428625</xdr:rowOff>
    </xdr:to>
    <xdr:sp macro="" textlink="">
      <xdr:nvSpPr>
        <xdr:cNvPr id="73" name="Diagrama de flujo: combinar 72">
          <a:extLst>
            <a:ext uri="{FF2B5EF4-FFF2-40B4-BE49-F238E27FC236}">
              <a16:creationId xmlns:a16="http://schemas.microsoft.com/office/drawing/2014/main" id="{BCE96047-1C0D-4855-A829-4E02A486F878}"/>
            </a:ext>
          </a:extLst>
        </xdr:cNvPr>
        <xdr:cNvSpPr/>
      </xdr:nvSpPr>
      <xdr:spPr>
        <a:xfrm>
          <a:off x="5705475" y="495300"/>
          <a:ext cx="457200" cy="33337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400050</xdr:colOff>
      <xdr:row>2</xdr:row>
      <xdr:rowOff>409575</xdr:rowOff>
    </xdr:from>
    <xdr:to>
      <xdr:col>3</xdr:col>
      <xdr:colOff>400050</xdr:colOff>
      <xdr:row>3</xdr:row>
      <xdr:rowOff>114300</xdr:rowOff>
    </xdr:to>
    <xdr:cxnSp macro="">
      <xdr:nvCxnSpPr>
        <xdr:cNvPr id="75" name="Conector recto de flecha 74">
          <a:extLst>
            <a:ext uri="{FF2B5EF4-FFF2-40B4-BE49-F238E27FC236}">
              <a16:creationId xmlns:a16="http://schemas.microsoft.com/office/drawing/2014/main" id="{3FEE3B94-2086-486D-9865-5D7C8F04A424}"/>
            </a:ext>
          </a:extLst>
        </xdr:cNvPr>
        <xdr:cNvCxnSpPr>
          <a:stCxn id="4" idx="4"/>
          <a:endCxn id="9" idx="0"/>
        </xdr:cNvCxnSpPr>
      </xdr:nvCxnSpPr>
      <xdr:spPr>
        <a:xfrm>
          <a:off x="3079750" y="828675"/>
          <a:ext cx="0" cy="1873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400050</xdr:colOff>
      <xdr:row>3</xdr:row>
      <xdr:rowOff>409575</xdr:rowOff>
    </xdr:from>
    <xdr:to>
      <xdr:col>6</xdr:col>
      <xdr:colOff>342900</xdr:colOff>
      <xdr:row>4</xdr:row>
      <xdr:rowOff>142875</xdr:rowOff>
    </xdr:to>
    <xdr:cxnSp macro="">
      <xdr:nvCxnSpPr>
        <xdr:cNvPr id="77" name="Conector recto de flecha 76">
          <a:extLst>
            <a:ext uri="{FF2B5EF4-FFF2-40B4-BE49-F238E27FC236}">
              <a16:creationId xmlns:a16="http://schemas.microsoft.com/office/drawing/2014/main" id="{463D41EB-503B-44A3-8BF0-0D9642DA42B9}"/>
            </a:ext>
          </a:extLst>
        </xdr:cNvPr>
        <xdr:cNvCxnSpPr>
          <a:stCxn id="9" idx="4"/>
          <a:endCxn id="17" idx="0"/>
        </xdr:cNvCxnSpPr>
      </xdr:nvCxnSpPr>
      <xdr:spPr>
        <a:xfrm>
          <a:off x="3079750" y="1311275"/>
          <a:ext cx="2228850" cy="4318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4</xdr:row>
      <xdr:rowOff>371475</xdr:rowOff>
    </xdr:from>
    <xdr:to>
      <xdr:col>6</xdr:col>
      <xdr:colOff>342900</xdr:colOff>
      <xdr:row>5</xdr:row>
      <xdr:rowOff>114300</xdr:rowOff>
    </xdr:to>
    <xdr:cxnSp macro="">
      <xdr:nvCxnSpPr>
        <xdr:cNvPr id="79" name="Conector recto de flecha 78">
          <a:extLst>
            <a:ext uri="{FF2B5EF4-FFF2-40B4-BE49-F238E27FC236}">
              <a16:creationId xmlns:a16="http://schemas.microsoft.com/office/drawing/2014/main" id="{CF71210B-454C-472B-BDB3-3D66130C8BA6}"/>
            </a:ext>
          </a:extLst>
        </xdr:cNvPr>
        <xdr:cNvCxnSpPr>
          <a:stCxn id="17" idx="2"/>
          <a:endCxn id="24" idx="0"/>
        </xdr:cNvCxnSpPr>
      </xdr:nvCxnSpPr>
      <xdr:spPr>
        <a:xfrm flipH="1">
          <a:off x="3079750" y="1971675"/>
          <a:ext cx="2228850" cy="2889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400050</xdr:colOff>
      <xdr:row>5</xdr:row>
      <xdr:rowOff>409575</xdr:rowOff>
    </xdr:from>
    <xdr:to>
      <xdr:col>3</xdr:col>
      <xdr:colOff>400050</xdr:colOff>
      <xdr:row>6</xdr:row>
      <xdr:rowOff>114300</xdr:rowOff>
    </xdr:to>
    <xdr:cxnSp macro="">
      <xdr:nvCxnSpPr>
        <xdr:cNvPr id="81" name="Conector recto de flecha 80">
          <a:extLst>
            <a:ext uri="{FF2B5EF4-FFF2-40B4-BE49-F238E27FC236}">
              <a16:creationId xmlns:a16="http://schemas.microsoft.com/office/drawing/2014/main" id="{7B63AD8C-FC68-49AA-BB86-1E99918A6557}"/>
            </a:ext>
          </a:extLst>
        </xdr:cNvPr>
        <xdr:cNvCxnSpPr>
          <a:stCxn id="24" idx="4"/>
          <a:endCxn id="29" idx="0"/>
        </xdr:cNvCxnSpPr>
      </xdr:nvCxnSpPr>
      <xdr:spPr>
        <a:xfrm>
          <a:off x="3079750" y="2555875"/>
          <a:ext cx="0" cy="3524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6</xdr:row>
      <xdr:rowOff>409575</xdr:rowOff>
    </xdr:from>
    <xdr:to>
      <xdr:col>5</xdr:col>
      <xdr:colOff>385763</xdr:colOff>
      <xdr:row>7</xdr:row>
      <xdr:rowOff>142875</xdr:rowOff>
    </xdr:to>
    <xdr:cxnSp macro="">
      <xdr:nvCxnSpPr>
        <xdr:cNvPr id="83" name="Conector recto de flecha 82">
          <a:extLst>
            <a:ext uri="{FF2B5EF4-FFF2-40B4-BE49-F238E27FC236}">
              <a16:creationId xmlns:a16="http://schemas.microsoft.com/office/drawing/2014/main" id="{DE483BA6-1A42-465F-8FB6-7F0043922D0F}"/>
            </a:ext>
          </a:extLst>
        </xdr:cNvPr>
        <xdr:cNvCxnSpPr>
          <a:stCxn id="29" idx="4"/>
          <a:endCxn id="36" idx="0"/>
        </xdr:cNvCxnSpPr>
      </xdr:nvCxnSpPr>
      <xdr:spPr>
        <a:xfrm>
          <a:off x="3079750" y="3203575"/>
          <a:ext cx="1522413" cy="2413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7</xdr:row>
      <xdr:rowOff>381000</xdr:rowOff>
    </xdr:from>
    <xdr:to>
      <xdr:col>5</xdr:col>
      <xdr:colOff>385763</xdr:colOff>
      <xdr:row>8</xdr:row>
      <xdr:rowOff>114300</xdr:rowOff>
    </xdr:to>
    <xdr:cxnSp macro="">
      <xdr:nvCxnSpPr>
        <xdr:cNvPr id="85" name="Conector recto de flecha 84">
          <a:extLst>
            <a:ext uri="{FF2B5EF4-FFF2-40B4-BE49-F238E27FC236}">
              <a16:creationId xmlns:a16="http://schemas.microsoft.com/office/drawing/2014/main" id="{E0591035-956F-4BA5-9D19-01954DAF1B11}"/>
            </a:ext>
          </a:extLst>
        </xdr:cNvPr>
        <xdr:cNvCxnSpPr>
          <a:stCxn id="36" idx="2"/>
          <a:endCxn id="39" idx="0"/>
        </xdr:cNvCxnSpPr>
      </xdr:nvCxnSpPr>
      <xdr:spPr>
        <a:xfrm flipH="1">
          <a:off x="3079750" y="3683000"/>
          <a:ext cx="1522413" cy="2667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8</xdr:row>
      <xdr:rowOff>409575</xdr:rowOff>
    </xdr:from>
    <xdr:to>
      <xdr:col>4</xdr:col>
      <xdr:colOff>133350</xdr:colOff>
      <xdr:row>9</xdr:row>
      <xdr:rowOff>276225</xdr:rowOff>
    </xdr:to>
    <xdr:cxnSp macro="">
      <xdr:nvCxnSpPr>
        <xdr:cNvPr id="87" name="Conector recto de flecha 86">
          <a:extLst>
            <a:ext uri="{FF2B5EF4-FFF2-40B4-BE49-F238E27FC236}">
              <a16:creationId xmlns:a16="http://schemas.microsoft.com/office/drawing/2014/main" id="{90BE902D-C80F-44EF-BFDC-A7F72E614894}"/>
            </a:ext>
          </a:extLst>
        </xdr:cNvPr>
        <xdr:cNvCxnSpPr>
          <a:stCxn id="39" idx="4"/>
          <a:endCxn id="45" idx="1"/>
        </xdr:cNvCxnSpPr>
      </xdr:nvCxnSpPr>
      <xdr:spPr>
        <a:xfrm>
          <a:off x="3079750" y="4244975"/>
          <a:ext cx="482600" cy="46355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9</xdr:row>
      <xdr:rowOff>276225</xdr:rowOff>
    </xdr:from>
    <xdr:to>
      <xdr:col>4</xdr:col>
      <xdr:colOff>133350</xdr:colOff>
      <xdr:row>10</xdr:row>
      <xdr:rowOff>114300</xdr:rowOff>
    </xdr:to>
    <xdr:cxnSp macro="">
      <xdr:nvCxnSpPr>
        <xdr:cNvPr id="89" name="Conector recto de flecha 88">
          <a:extLst>
            <a:ext uri="{FF2B5EF4-FFF2-40B4-BE49-F238E27FC236}">
              <a16:creationId xmlns:a16="http://schemas.microsoft.com/office/drawing/2014/main" id="{FC951478-AF55-454D-9895-0035A06D17D1}"/>
            </a:ext>
          </a:extLst>
        </xdr:cNvPr>
        <xdr:cNvCxnSpPr>
          <a:stCxn id="45" idx="1"/>
          <a:endCxn id="49" idx="0"/>
        </xdr:cNvCxnSpPr>
      </xdr:nvCxnSpPr>
      <xdr:spPr>
        <a:xfrm flipH="1">
          <a:off x="3079750" y="4708525"/>
          <a:ext cx="482600" cy="3968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10</xdr:row>
      <xdr:rowOff>409575</xdr:rowOff>
    </xdr:from>
    <xdr:to>
      <xdr:col>6</xdr:col>
      <xdr:colOff>342900</xdr:colOff>
      <xdr:row>11</xdr:row>
      <xdr:rowOff>142875</xdr:rowOff>
    </xdr:to>
    <xdr:cxnSp macro="">
      <xdr:nvCxnSpPr>
        <xdr:cNvPr id="91" name="Conector recto de flecha 90">
          <a:extLst>
            <a:ext uri="{FF2B5EF4-FFF2-40B4-BE49-F238E27FC236}">
              <a16:creationId xmlns:a16="http://schemas.microsoft.com/office/drawing/2014/main" id="{92EC5AFE-B103-4DA8-B581-C91BD9F30135}"/>
            </a:ext>
          </a:extLst>
        </xdr:cNvPr>
        <xdr:cNvCxnSpPr>
          <a:stCxn id="49" idx="4"/>
          <a:endCxn id="57" idx="0"/>
        </xdr:cNvCxnSpPr>
      </xdr:nvCxnSpPr>
      <xdr:spPr>
        <a:xfrm>
          <a:off x="3079750" y="5400675"/>
          <a:ext cx="2228850" cy="2540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11</xdr:row>
      <xdr:rowOff>371475</xdr:rowOff>
    </xdr:from>
    <xdr:to>
      <xdr:col>6</xdr:col>
      <xdr:colOff>342900</xdr:colOff>
      <xdr:row>12</xdr:row>
      <xdr:rowOff>114300</xdr:rowOff>
    </xdr:to>
    <xdr:cxnSp macro="">
      <xdr:nvCxnSpPr>
        <xdr:cNvPr id="93" name="Conector recto de flecha 92">
          <a:extLst>
            <a:ext uri="{FF2B5EF4-FFF2-40B4-BE49-F238E27FC236}">
              <a16:creationId xmlns:a16="http://schemas.microsoft.com/office/drawing/2014/main" id="{327FBA51-411F-4F92-A5CB-8DDD4B6FC243}"/>
            </a:ext>
          </a:extLst>
        </xdr:cNvPr>
        <xdr:cNvCxnSpPr>
          <a:stCxn id="57" idx="2"/>
          <a:endCxn id="59" idx="0"/>
        </xdr:cNvCxnSpPr>
      </xdr:nvCxnSpPr>
      <xdr:spPr>
        <a:xfrm flipH="1">
          <a:off x="3079750" y="5883275"/>
          <a:ext cx="2228850" cy="390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12</xdr:row>
      <xdr:rowOff>409575</xdr:rowOff>
    </xdr:from>
    <xdr:to>
      <xdr:col>3</xdr:col>
      <xdr:colOff>400050</xdr:colOff>
      <xdr:row>13</xdr:row>
      <xdr:rowOff>114300</xdr:rowOff>
    </xdr:to>
    <xdr:cxnSp macro="">
      <xdr:nvCxnSpPr>
        <xdr:cNvPr id="95" name="Conector recto de flecha 94">
          <a:extLst>
            <a:ext uri="{FF2B5EF4-FFF2-40B4-BE49-F238E27FC236}">
              <a16:creationId xmlns:a16="http://schemas.microsoft.com/office/drawing/2014/main" id="{EED86456-42C3-453D-9C0E-9A289AF6A5B5}"/>
            </a:ext>
          </a:extLst>
        </xdr:cNvPr>
        <xdr:cNvCxnSpPr>
          <a:stCxn id="59" idx="4"/>
          <a:endCxn id="64" idx="0"/>
        </xdr:cNvCxnSpPr>
      </xdr:nvCxnSpPr>
      <xdr:spPr>
        <a:xfrm>
          <a:off x="3079750" y="6569075"/>
          <a:ext cx="0" cy="4159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13</xdr:row>
      <xdr:rowOff>409575</xdr:rowOff>
    </xdr:from>
    <xdr:to>
      <xdr:col>3</xdr:col>
      <xdr:colOff>400050</xdr:colOff>
      <xdr:row>14</xdr:row>
      <xdr:rowOff>114300</xdr:rowOff>
    </xdr:to>
    <xdr:cxnSp macro="">
      <xdr:nvCxnSpPr>
        <xdr:cNvPr id="97" name="Conector recto de flecha 96">
          <a:extLst>
            <a:ext uri="{FF2B5EF4-FFF2-40B4-BE49-F238E27FC236}">
              <a16:creationId xmlns:a16="http://schemas.microsoft.com/office/drawing/2014/main" id="{7538BD5A-5F2C-40C3-AA0E-B51D99AD46D2}"/>
            </a:ext>
          </a:extLst>
        </xdr:cNvPr>
        <xdr:cNvCxnSpPr>
          <a:stCxn id="64" idx="4"/>
          <a:endCxn id="69" idx="0"/>
        </xdr:cNvCxnSpPr>
      </xdr:nvCxnSpPr>
      <xdr:spPr>
        <a:xfrm>
          <a:off x="3079750" y="7280275"/>
          <a:ext cx="0" cy="3397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123825</xdr:colOff>
      <xdr:row>28</xdr:row>
      <xdr:rowOff>152400</xdr:rowOff>
    </xdr:from>
    <xdr:ext cx="5715000" cy="3533775"/>
    <xdr:graphicFrame macro="">
      <xdr:nvGraphicFramePr>
        <xdr:cNvPr id="2" name="Chart 1" title="Gráfico">
          <a:extLst>
            <a:ext uri="{FF2B5EF4-FFF2-40B4-BE49-F238E27FC236}">
              <a16:creationId xmlns:a16="http://schemas.microsoft.com/office/drawing/2014/main" id="{68FB099D-D07D-4D26-8AE5-E565AD2ED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20</xdr:col>
      <xdr:colOff>0</xdr:colOff>
      <xdr:row>13</xdr:row>
      <xdr:rowOff>114300</xdr:rowOff>
    </xdr:to>
    <xdr:graphicFrame macro="">
      <xdr:nvGraphicFramePr>
        <xdr:cNvPr id="2" name="Gráfico 1">
          <a:extLst>
            <a:ext uri="{FF2B5EF4-FFF2-40B4-BE49-F238E27FC236}">
              <a16:creationId xmlns:a16="http://schemas.microsoft.com/office/drawing/2014/main" id="{A41B0412-763B-45AD-A6F8-ACC3EC281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231775</xdr:colOff>
      <xdr:row>0</xdr:row>
      <xdr:rowOff>6350</xdr:rowOff>
    </xdr:from>
    <xdr:to>
      <xdr:col>26</xdr:col>
      <xdr:colOff>231775</xdr:colOff>
      <xdr:row>13</xdr:row>
      <xdr:rowOff>120650</xdr:rowOff>
    </xdr:to>
    <xdr:graphicFrame macro="">
      <xdr:nvGraphicFramePr>
        <xdr:cNvPr id="3" name="Gráfico 2">
          <a:extLst>
            <a:ext uri="{FF2B5EF4-FFF2-40B4-BE49-F238E27FC236}">
              <a16:creationId xmlns:a16="http://schemas.microsoft.com/office/drawing/2014/main" id="{0B006F07-5514-4B64-9A73-1F3CCE062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238132</xdr:colOff>
      <xdr:row>12</xdr:row>
      <xdr:rowOff>63042</xdr:rowOff>
    </xdr:from>
    <xdr:to>
      <xdr:col>5</xdr:col>
      <xdr:colOff>238492</xdr:colOff>
      <xdr:row>12</xdr:row>
      <xdr:rowOff>63402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trada de lápiz 1">
              <a:extLst>
                <a:ext uri="{FF2B5EF4-FFF2-40B4-BE49-F238E27FC236}">
                  <a16:creationId xmlns:a16="http://schemas.microsoft.com/office/drawing/2014/main" id="{C2B34CBD-2F75-4A4D-959F-BE7B3D403620}"/>
                </a:ext>
              </a:extLst>
            </xdr14:cNvPr>
            <xdr14:cNvContentPartPr/>
          </xdr14:nvContentPartPr>
          <xdr14:nvPr macro=""/>
          <xdr14:xfrm>
            <a:off x="4677840" y="2439000"/>
            <a:ext cx="360" cy="360"/>
          </xdr14:xfrm>
        </xdr:contentPart>
      </mc:Choice>
      <mc:Fallback xmlns="">
        <xdr:pic>
          <xdr:nvPicPr>
            <xdr:cNvPr id="14" name="Entrada de lápiz 13">
              <a:extLst>
                <a:ext uri="{FF2B5EF4-FFF2-40B4-BE49-F238E27FC236}">
                  <a16:creationId xmlns:a16="http://schemas.microsoft.com/office/drawing/2014/main" id="{AB2F050D-B80E-4617-ABF3-1E311E8C6F66}"/>
                </a:ext>
              </a:extLst>
            </xdr:cNvPr>
            <xdr:cNvPicPr/>
          </xdr:nvPicPr>
          <xdr:blipFill>
            <a:blip xmlns:r="http://schemas.openxmlformats.org/officeDocument/2006/relationships" r:embed="rId2"/>
            <a:stretch>
              <a:fillRect/>
            </a:stretch>
          </xdr:blipFill>
          <xdr:spPr>
            <a:xfrm>
              <a:off x="4668840" y="2430360"/>
              <a:ext cx="18000" cy="180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UDIO%20FINANCIERO-PLAN%20DE%20NEGOCIOS%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0Proyecciones%20Idea%20de%20negocio%20CaBook%20-%20INDUSTRIAL%20-%20SERVICI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0Proyecciones%20Idea%20de%20negocio%20CaBook%20-%20INDUSTRIAL%20-%20SERVICIO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nanzas%20excel%20tpi%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rchivo%20soporte%20practica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AESTRO DE DATOS"/>
      <sheetName val="2. PLAN DE INVERSIÓN"/>
      <sheetName val="3. GASTOS DE PUESTA EN MARCHA"/>
      <sheetName val="4. PRESTAMO BANCARIO"/>
      <sheetName val="5. PROYECCIÓN DE VENTAS"/>
      <sheetName val="6. PLAN DE COMPRAS"/>
      <sheetName val="7. COSTOS DE PRODUCCIÓN"/>
      <sheetName val="9. GASTOS DE ADMÓN Y VENTAS"/>
      <sheetName val="10. BALANCE INICIAL"/>
      <sheetName val="11. DEPRECIACIÓN "/>
      <sheetName val="14 FLUJO DE CAJA"/>
      <sheetName val="12. ESTADO RESULTADOS PROYECTAD"/>
      <sheetName val="13. BALANCE GENERAL PROYECTADO"/>
      <sheetName val="15. ANÁLISIS DE CAPITAL"/>
    </sheetNames>
    <sheetDataSet>
      <sheetData sheetId="0"/>
      <sheetData sheetId="1"/>
      <sheetData sheetId="2">
        <row r="4">
          <cell r="F4">
            <v>10000000</v>
          </cell>
        </row>
        <row r="7">
          <cell r="C7">
            <v>161250</v>
          </cell>
          <cell r="I7">
            <v>145354564</v>
          </cell>
        </row>
      </sheetData>
      <sheetData sheetId="3">
        <row r="3">
          <cell r="G3">
            <v>24216717.825159639</v>
          </cell>
          <cell r="H3">
            <v>20139778.982003532</v>
          </cell>
          <cell r="I3">
            <v>15435421.167764533</v>
          </cell>
          <cell r="J3">
            <v>10007087.97568281</v>
          </cell>
          <cell r="K3">
            <v>3743363.4870678149</v>
          </cell>
        </row>
        <row r="10">
          <cell r="L10">
            <v>26491756.062376034</v>
          </cell>
        </row>
        <row r="11">
          <cell r="L11">
            <v>30568694.90553214</v>
          </cell>
        </row>
        <row r="12">
          <cell r="L12">
            <v>35273052.719771139</v>
          </cell>
        </row>
        <row r="13">
          <cell r="L13">
            <v>40701385.911852866</v>
          </cell>
        </row>
        <row r="14">
          <cell r="L14">
            <v>46965110.400467858</v>
          </cell>
        </row>
      </sheetData>
      <sheetData sheetId="4">
        <row r="47">
          <cell r="F47">
            <v>79872000</v>
          </cell>
          <cell r="G47">
            <v>85642592.256000012</v>
          </cell>
          <cell r="H47">
            <v>91964214.560784385</v>
          </cell>
          <cell r="I47">
            <v>98276546.284022093</v>
          </cell>
          <cell r="J47">
            <v>104666487.32340923</v>
          </cell>
          <cell r="K47">
            <v>111471902.32917729</v>
          </cell>
        </row>
        <row r="48">
          <cell r="F48">
            <v>196560000</v>
          </cell>
          <cell r="G48">
            <v>210761066.88</v>
          </cell>
          <cell r="H48">
            <v>226318184.27068034</v>
          </cell>
          <cell r="I48">
            <v>241852438.1208356</v>
          </cell>
          <cell r="J48">
            <v>257577683.64745232</v>
          </cell>
          <cell r="K48">
            <v>274325384.6382097</v>
          </cell>
        </row>
        <row r="49">
          <cell r="F49">
            <v>96033600</v>
          </cell>
          <cell r="G49">
            <v>102971835.53279999</v>
          </cell>
          <cell r="H49">
            <v>110572598.6008181</v>
          </cell>
          <cell r="I49">
            <v>118162191.19617967</v>
          </cell>
          <cell r="J49">
            <v>125845096.86775526</v>
          </cell>
          <cell r="K49">
            <v>134027545.06609674</v>
          </cell>
        </row>
        <row r="50">
          <cell r="F50">
            <v>94848000</v>
          </cell>
          <cell r="G50">
            <v>101700578.30400001</v>
          </cell>
          <cell r="H50">
            <v>109207504.79093145</v>
          </cell>
          <cell r="I50">
            <v>116703398.71227621</v>
          </cell>
          <cell r="J50">
            <v>124291453.6965484</v>
          </cell>
          <cell r="K50">
            <v>132372884.01589799</v>
          </cell>
        </row>
      </sheetData>
      <sheetData sheetId="5"/>
      <sheetData sheetId="6">
        <row r="180">
          <cell r="B180">
            <v>302719560</v>
          </cell>
        </row>
      </sheetData>
      <sheetData sheetId="7">
        <row r="12">
          <cell r="C12">
            <v>108160000</v>
          </cell>
        </row>
      </sheetData>
      <sheetData sheetId="8"/>
      <sheetData sheetId="9">
        <row r="12">
          <cell r="F12">
            <v>2226116.1616161615</v>
          </cell>
        </row>
      </sheetData>
      <sheetData sheetId="10"/>
      <sheetData sheetId="11">
        <row r="19">
          <cell r="D19">
            <v>12805949.113149039</v>
          </cell>
          <cell r="E19">
            <v>17226711.866048455</v>
          </cell>
          <cell r="F19">
            <v>21922193.90026943</v>
          </cell>
          <cell r="G19">
            <v>27017014.21965776</v>
          </cell>
          <cell r="H19">
            <v>32650130.698220763</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AESTRO DE DATOS."/>
      <sheetName val="2. PLAN DE INVERSIÓN"/>
      <sheetName val="3. GASTOS DE PUESTA EN MARCHA"/>
      <sheetName val="4. PRESTAMO BANCARIO"/>
      <sheetName val="5, PROYECCIÓN DE VENTAS."/>
      <sheetName val="6. PLAN DE COMPRAS"/>
      <sheetName val="7. COSTOS DE PRODUCCIÓN"/>
      <sheetName val="8.GASTOS DE AMIND Y VENTAS"/>
      <sheetName val="9. ANÁLISIS DEL PUNTO DE EQUILI"/>
      <sheetName val="10. PLAN DE PRODUCCIÓN"/>
      <sheetName val="11. INFRAESTRUCTURA"/>
      <sheetName val="12. DEPRECIACIÓN"/>
      <sheetName val="13. BALANCE INICIAL"/>
      <sheetName val="14 . FLUJO DE CAJA"/>
      <sheetName val="15. ESTADO DE RESULTADOS PROYEC"/>
      <sheetName val="16. BALANCE GENERAL PROYECTADO"/>
    </sheetNames>
    <sheetDataSet>
      <sheetData sheetId="0"/>
      <sheetData sheetId="1"/>
      <sheetData sheetId="2"/>
      <sheetData sheetId="3"/>
      <sheetData sheetId="4">
        <row r="24">
          <cell r="D24">
            <v>292.8</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MAESTRO DE DATOS."/>
      <sheetName val="2. PLAN DE INVERSIÓN"/>
      <sheetName val="3. GASTOS DE PUESTA EN MARCHA"/>
      <sheetName val="4. PRESTAMO BANCARIO"/>
      <sheetName val="5, PROYECCIÓN DE VENTAS."/>
      <sheetName val="6. PLAN DE COMPRAS"/>
      <sheetName val="7. COSTOS DE PRODUCCIÓN"/>
      <sheetName val="8.GASTOS DE AMIND Y VENTAS"/>
      <sheetName val="9. ANÁLISIS DEL PUNTO DE EQUILI"/>
      <sheetName val="10. PLAN DE PRODUCCIÓN"/>
      <sheetName val="11. INFRAESTRUCTURA"/>
      <sheetName val="12. DEPRECIACIÓN"/>
      <sheetName val="13. BALANCE INICIAL"/>
      <sheetName val="14 . FLUJO DE CAJA"/>
      <sheetName val="15. ESTADO DE RESULTADOS PROYEC"/>
      <sheetName val="16. BALANCE GENERAL PROYECTADO"/>
    </sheetNames>
    <sheetDataSet>
      <sheetData sheetId="0"/>
      <sheetData sheetId="1"/>
      <sheetData sheetId="2"/>
      <sheetData sheetId="3"/>
      <sheetData sheetId="4"/>
      <sheetData sheetId="5"/>
      <sheetData sheetId="6"/>
      <sheetData sheetId="7"/>
      <sheetData sheetId="8">
        <row r="22">
          <cell r="B22">
            <v>500</v>
          </cell>
          <cell r="C22">
            <v>8500000</v>
          </cell>
          <cell r="D22">
            <v>40788116</v>
          </cell>
          <cell r="E22">
            <v>2990750</v>
          </cell>
          <cell r="F22">
            <v>43778866</v>
          </cell>
        </row>
        <row r="23">
          <cell r="B23">
            <v>1000</v>
          </cell>
          <cell r="C23">
            <v>17000000</v>
          </cell>
          <cell r="D23">
            <v>40788116</v>
          </cell>
          <cell r="E23">
            <v>5981500</v>
          </cell>
          <cell r="F23">
            <v>46769616</v>
          </cell>
        </row>
        <row r="24">
          <cell r="B24">
            <v>1500</v>
          </cell>
          <cell r="C24">
            <v>25500000</v>
          </cell>
          <cell r="D24">
            <v>40788116</v>
          </cell>
          <cell r="E24">
            <v>8972250</v>
          </cell>
          <cell r="F24">
            <v>49760366</v>
          </cell>
        </row>
        <row r="25">
          <cell r="B25">
            <v>2000</v>
          </cell>
          <cell r="C25">
            <v>34000000</v>
          </cell>
          <cell r="D25">
            <v>40788116</v>
          </cell>
          <cell r="E25">
            <v>11963000</v>
          </cell>
          <cell r="F25">
            <v>52751116</v>
          </cell>
        </row>
        <row r="26">
          <cell r="B26">
            <v>3000</v>
          </cell>
          <cell r="C26">
            <v>51000000</v>
          </cell>
          <cell r="D26">
            <v>40788116</v>
          </cell>
          <cell r="E26">
            <v>17944500</v>
          </cell>
          <cell r="F26">
            <v>58732616</v>
          </cell>
        </row>
        <row r="27">
          <cell r="B27">
            <v>3500</v>
          </cell>
          <cell r="C27">
            <v>59500000</v>
          </cell>
          <cell r="D27">
            <v>40788116</v>
          </cell>
          <cell r="E27">
            <v>20935250</v>
          </cell>
          <cell r="F27">
            <v>61723366</v>
          </cell>
        </row>
        <row r="28">
          <cell r="B28">
            <v>4000</v>
          </cell>
          <cell r="C28">
            <v>68000000</v>
          </cell>
          <cell r="D28">
            <v>40788116</v>
          </cell>
          <cell r="E28">
            <v>23926000</v>
          </cell>
          <cell r="F28">
            <v>64714116</v>
          </cell>
        </row>
      </sheetData>
      <sheetData sheetId="9"/>
      <sheetData sheetId="10"/>
      <sheetData sheetId="11"/>
      <sheetData sheetId="12">
        <row r="27">
          <cell r="F27"/>
        </row>
        <row r="29">
          <cell r="C29"/>
        </row>
      </sheetData>
      <sheetData sheetId="13">
        <row r="20">
          <cell r="K20"/>
          <cell r="L20"/>
          <cell r="M20"/>
          <cell r="N20"/>
          <cell r="O20"/>
        </row>
      </sheetData>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Inversión"/>
      <sheetName val="Gastos"/>
      <sheetName val="Compras"/>
      <sheetName val="Costeo"/>
      <sheetName val="Proyección de ventas"/>
      <sheetName val="VAN TIRM "/>
    </sheetNames>
    <sheetDataSet>
      <sheetData sheetId="0"/>
      <sheetData sheetId="1">
        <row r="3">
          <cell r="G3">
            <v>20000000</v>
          </cell>
        </row>
      </sheetData>
      <sheetData sheetId="2"/>
      <sheetData sheetId="3"/>
      <sheetData sheetId="4">
        <row r="25">
          <cell r="D25">
            <v>85000</v>
          </cell>
          <cell r="E25">
            <v>91800</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1"/>
      <sheetName val="Kd"/>
      <sheetName val="Rm"/>
      <sheetName val="Rf"/>
      <sheetName val="Beta"/>
      <sheetName val="Beta desapalancado"/>
      <sheetName val="Tdescuento"/>
      <sheetName val="Ind de bondad_1"/>
      <sheetName val="Ind de bondad_2"/>
      <sheetName val="CAUE"/>
      <sheetName val="PAYBACK"/>
      <sheetName val="Acciones_Bonos"/>
    </sheetNames>
    <sheetDataSet>
      <sheetData sheetId="0"/>
      <sheetData sheetId="1"/>
      <sheetData sheetId="2">
        <row r="15">
          <cell r="H15" t="str">
            <v>IPC Acumulado</v>
          </cell>
          <cell r="I15">
            <v>5.6199999999999993E-2</v>
          </cell>
          <cell r="J15">
            <v>4.0199999999999993E-2</v>
          </cell>
          <cell r="K15">
            <v>3.1300000000000001E-2</v>
          </cell>
          <cell r="L15">
            <v>3.7400000000000003E-2</v>
          </cell>
          <cell r="M15">
            <v>1.6000000000000004E-2</v>
          </cell>
        </row>
        <row r="18">
          <cell r="P18">
            <v>7.389828493813333E-2</v>
          </cell>
        </row>
        <row r="30">
          <cell r="A30" t="str">
            <v>Rendimiento Acumulado</v>
          </cell>
          <cell r="B30">
            <v>0.17300994758570887</v>
          </cell>
          <cell r="C30">
            <v>2.073561647789901E-2</v>
          </cell>
          <cell r="D30">
            <v>0.35804964780574744</v>
          </cell>
          <cell r="E30">
            <v>-7.9008936581478673E-2</v>
          </cell>
          <cell r="F30">
            <v>7.780514940278993E-2</v>
          </cell>
        </row>
      </sheetData>
      <sheetData sheetId="3">
        <row r="16">
          <cell r="B16">
            <v>3.3049999999999996E-2</v>
          </cell>
        </row>
      </sheetData>
      <sheetData sheetId="4">
        <row r="13">
          <cell r="C13">
            <v>3.0516528849963045E-2</v>
          </cell>
        </row>
      </sheetData>
      <sheetData sheetId="5"/>
      <sheetData sheetId="6"/>
      <sheetData sheetId="7"/>
      <sheetData sheetId="8"/>
      <sheetData sheetId="9"/>
      <sheetData sheetId="10"/>
      <sheetData sheetId="1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9-16T03:53:05.813"/>
    </inkml:context>
    <inkml:brush xml:id="br0">
      <inkml:brushProperty name="width" value="0.05" units="cm"/>
      <inkml:brushProperty name="height" value="0.05" units="cm"/>
      <inkml:brushProperty name="color" value="#E71224"/>
    </inkml:brush>
  </inkml:definitions>
  <inkml:trace contextRef="#ctx0" brushRef="#br0">0 1 24575,'0'0'-8191</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6FDC-193A-4E70-BE05-157D16E9923C}">
  <dimension ref="A1:C5"/>
  <sheetViews>
    <sheetView workbookViewId="0">
      <selection activeCell="F13" sqref="F13"/>
    </sheetView>
  </sheetViews>
  <sheetFormatPr baseColWidth="10" defaultRowHeight="15" x14ac:dyDescent="0.25"/>
  <cols>
    <col min="2" max="2" width="19.7109375" bestFit="1" customWidth="1"/>
    <col min="3" max="3" width="15.5703125" bestFit="1" customWidth="1"/>
  </cols>
  <sheetData>
    <row r="1" spans="1:3" ht="15.75" thickBot="1" x14ac:dyDescent="0.3"/>
    <row r="2" spans="1:3" ht="15.75" thickBot="1" x14ac:dyDescent="0.3">
      <c r="B2" s="446" t="s">
        <v>25</v>
      </c>
      <c r="C2" s="447"/>
    </row>
    <row r="3" spans="1:3" ht="15.75" thickBot="1" x14ac:dyDescent="0.3">
      <c r="B3" s="17" t="s">
        <v>22</v>
      </c>
      <c r="C3" s="18" t="s">
        <v>24</v>
      </c>
    </row>
    <row r="4" spans="1:3" x14ac:dyDescent="0.25">
      <c r="B4" s="3" t="s">
        <v>23</v>
      </c>
      <c r="C4" s="15">
        <v>41773000</v>
      </c>
    </row>
    <row r="5" spans="1:3" ht="15.75" thickBot="1" x14ac:dyDescent="0.3">
      <c r="A5" s="1"/>
      <c r="B5" s="4" t="s">
        <v>26</v>
      </c>
      <c r="C5" s="16">
        <f>SUM(C4:C4)</f>
        <v>41773000</v>
      </c>
    </row>
  </sheetData>
  <mergeCells count="1">
    <mergeCell ref="B2:C2"/>
  </mergeCells>
  <pageMargins left="0.7" right="0.7" top="0.75" bottom="0.75" header="0.3" footer="0.3"/>
  <pageSetup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E21F-54B7-46E6-B00B-394C591BBD84}">
  <dimension ref="B1:J3"/>
  <sheetViews>
    <sheetView workbookViewId="0">
      <selection activeCell="J43" sqref="J43"/>
    </sheetView>
  </sheetViews>
  <sheetFormatPr baseColWidth="10" defaultRowHeight="15" x14ac:dyDescent="0.25"/>
  <cols>
    <col min="2" max="2" width="15" customWidth="1"/>
    <col min="7" max="7" width="12.5703125" bestFit="1" customWidth="1"/>
    <col min="8" max="8" width="10" bestFit="1" customWidth="1"/>
    <col min="9" max="9" width="14.7109375" bestFit="1" customWidth="1"/>
  </cols>
  <sheetData>
    <row r="1" spans="2:10" ht="15.75" thickBot="1" x14ac:dyDescent="0.3"/>
    <row r="2" spans="2:10" ht="30.75" thickBot="1" x14ac:dyDescent="0.3">
      <c r="B2" s="135" t="s">
        <v>57</v>
      </c>
      <c r="C2" s="136" t="s">
        <v>149</v>
      </c>
      <c r="D2" s="136" t="s">
        <v>150</v>
      </c>
      <c r="E2" s="137" t="s">
        <v>155</v>
      </c>
      <c r="F2" s="137" t="s">
        <v>176</v>
      </c>
      <c r="G2" s="137" t="s">
        <v>177</v>
      </c>
      <c r="H2" s="137" t="s">
        <v>151</v>
      </c>
      <c r="I2" s="136" t="s">
        <v>152</v>
      </c>
      <c r="J2" s="138" t="s">
        <v>153</v>
      </c>
    </row>
    <row r="3" spans="2:10" ht="45.75" thickBot="1" x14ac:dyDescent="0.3">
      <c r="B3" s="139" t="s">
        <v>154</v>
      </c>
      <c r="C3" s="140">
        <v>147631</v>
      </c>
      <c r="D3" s="141">
        <v>0.43</v>
      </c>
      <c r="E3" s="140">
        <f>C3*D3</f>
        <v>63481.33</v>
      </c>
      <c r="F3" s="141">
        <v>0.03</v>
      </c>
      <c r="G3" s="140">
        <v>2</v>
      </c>
      <c r="H3" s="140">
        <f>E3*F3</f>
        <v>1904.4399000000001</v>
      </c>
      <c r="I3" s="140">
        <f>H3*J3*G3</f>
        <v>3808.8798000000002</v>
      </c>
      <c r="J3" s="142">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665C-7A58-4971-8961-BFD00C9E7853}">
  <dimension ref="A1:R1000"/>
  <sheetViews>
    <sheetView topLeftCell="A31" zoomScale="85" zoomScaleNormal="85" workbookViewId="0">
      <selection activeCell="H80" sqref="H80"/>
    </sheetView>
  </sheetViews>
  <sheetFormatPr baseColWidth="10" defaultColWidth="14.42578125" defaultRowHeight="15" x14ac:dyDescent="0.25"/>
  <cols>
    <col min="1" max="1" width="8.42578125" customWidth="1"/>
    <col min="2" max="2" width="15.140625" customWidth="1"/>
    <col min="3" max="3" width="15.5703125" bestFit="1" customWidth="1"/>
    <col min="4" max="4" width="11.7109375" bestFit="1" customWidth="1"/>
    <col min="5" max="8" width="15.140625" customWidth="1"/>
    <col min="9" max="9" width="16.7109375" customWidth="1"/>
    <col min="10" max="14" width="15.140625" customWidth="1"/>
  </cols>
  <sheetData>
    <row r="1" spans="1:18" x14ac:dyDescent="0.25">
      <c r="A1" s="159"/>
      <c r="B1" s="160"/>
      <c r="C1" s="159"/>
      <c r="D1" s="159"/>
      <c r="E1" s="159"/>
      <c r="F1" s="159"/>
      <c r="G1" s="159"/>
      <c r="H1" s="159"/>
      <c r="I1" s="160"/>
      <c r="J1" s="159"/>
      <c r="K1" s="159"/>
      <c r="L1" s="159"/>
      <c r="M1" s="159"/>
      <c r="N1" s="159"/>
      <c r="O1" s="159"/>
      <c r="P1" s="159"/>
      <c r="Q1" s="159"/>
      <c r="R1" s="159"/>
    </row>
    <row r="2" spans="1:18" x14ac:dyDescent="0.25">
      <c r="A2" s="159"/>
      <c r="B2" s="160"/>
      <c r="C2" s="159"/>
      <c r="D2" s="159"/>
      <c r="E2" s="159"/>
      <c r="F2" s="159"/>
      <c r="G2" s="159"/>
      <c r="H2" s="159"/>
      <c r="I2" s="160"/>
      <c r="J2" s="159"/>
      <c r="K2" s="159"/>
      <c r="L2" s="159"/>
      <c r="M2" s="159"/>
      <c r="N2" s="159"/>
      <c r="O2" s="159"/>
      <c r="P2" s="159"/>
      <c r="Q2" s="159"/>
      <c r="R2" s="159"/>
    </row>
    <row r="3" spans="1:18" x14ac:dyDescent="0.25">
      <c r="A3" s="159"/>
      <c r="B3" s="508" t="s">
        <v>207</v>
      </c>
      <c r="C3" s="509"/>
      <c r="D3" s="509"/>
      <c r="E3" s="509"/>
      <c r="F3" s="509"/>
      <c r="G3" s="509"/>
      <c r="H3" s="509"/>
      <c r="I3" s="509"/>
      <c r="J3" s="509"/>
      <c r="K3" s="509"/>
      <c r="L3" s="509"/>
      <c r="M3" s="509"/>
      <c r="N3" s="509"/>
      <c r="O3" s="159"/>
      <c r="P3" s="159"/>
      <c r="Q3" s="159"/>
      <c r="R3" s="159"/>
    </row>
    <row r="4" spans="1:18" x14ac:dyDescent="0.25">
      <c r="A4" s="159"/>
      <c r="B4" s="160"/>
      <c r="C4" s="159"/>
      <c r="D4" s="159"/>
      <c r="E4" s="159"/>
      <c r="F4" s="159"/>
      <c r="G4" s="159"/>
      <c r="H4" s="159"/>
      <c r="I4" s="160"/>
      <c r="J4" s="159"/>
      <c r="K4" s="159"/>
      <c r="L4" s="159"/>
      <c r="M4" s="159"/>
      <c r="N4" s="159"/>
      <c r="O4" s="159"/>
      <c r="P4" s="159"/>
      <c r="Q4" s="159"/>
      <c r="R4" s="159"/>
    </row>
    <row r="5" spans="1:18" ht="15.75" thickBot="1" x14ac:dyDescent="0.3">
      <c r="A5" s="159"/>
      <c r="B5" s="160"/>
      <c r="C5" s="159"/>
      <c r="D5" s="159"/>
      <c r="E5" s="159"/>
      <c r="F5" s="159"/>
      <c r="G5" s="159"/>
      <c r="H5" s="159"/>
      <c r="O5" s="159"/>
      <c r="P5" s="159"/>
      <c r="Q5" s="159"/>
      <c r="R5" s="159"/>
    </row>
    <row r="6" spans="1:18" ht="24.75" customHeight="1" x14ac:dyDescent="0.25">
      <c r="A6" s="161"/>
      <c r="B6" s="510" t="s">
        <v>222</v>
      </c>
      <c r="C6" s="511"/>
      <c r="D6" s="161"/>
      <c r="E6" s="161"/>
      <c r="F6" s="161"/>
      <c r="G6" s="162"/>
      <c r="H6" s="162"/>
      <c r="O6" s="161"/>
      <c r="P6" s="161"/>
      <c r="Q6" s="161"/>
      <c r="R6" s="161"/>
    </row>
    <row r="7" spans="1:18" x14ac:dyDescent="0.25">
      <c r="A7" s="159"/>
      <c r="B7" s="176" t="s">
        <v>208</v>
      </c>
      <c r="C7" s="177" t="s">
        <v>209</v>
      </c>
      <c r="D7" s="159"/>
      <c r="E7" s="159"/>
      <c r="F7" s="159"/>
      <c r="G7" s="163"/>
      <c r="H7" s="163"/>
      <c r="O7" s="159"/>
      <c r="P7" s="159"/>
      <c r="Q7" s="159"/>
      <c r="R7" s="159"/>
    </row>
    <row r="8" spans="1:18" ht="15.75" thickBot="1" x14ac:dyDescent="0.3">
      <c r="A8" s="159"/>
      <c r="B8" s="178" t="s">
        <v>210</v>
      </c>
      <c r="C8" s="179">
        <f>Gastos!C7+Gastos!G3+Costeo!J18*12+Costeo!J6*12+Costeo!J7*12</f>
        <v>40788116</v>
      </c>
      <c r="D8" s="159"/>
      <c r="E8" s="159"/>
      <c r="F8" s="159"/>
      <c r="G8" s="164"/>
      <c r="H8" s="164"/>
      <c r="O8" s="159"/>
      <c r="P8" s="159"/>
      <c r="Q8" s="159"/>
      <c r="R8" s="159"/>
    </row>
    <row r="9" spans="1:18" ht="27" thickBot="1" x14ac:dyDescent="0.3">
      <c r="A9" s="159"/>
      <c r="B9" s="178" t="s">
        <v>211</v>
      </c>
      <c r="C9" s="180">
        <f>Costeo!E24+Costeo!E26++Costeo!E19</f>
        <v>5981.5</v>
      </c>
      <c r="D9" s="175" t="s">
        <v>224</v>
      </c>
      <c r="E9" s="174"/>
      <c r="F9" s="159"/>
      <c r="G9" s="164"/>
      <c r="H9" s="164"/>
      <c r="O9" s="159"/>
      <c r="P9" s="159"/>
      <c r="Q9" s="159"/>
      <c r="R9" s="159"/>
    </row>
    <row r="10" spans="1:18" ht="26.25" thickBot="1" x14ac:dyDescent="0.3">
      <c r="A10" s="159"/>
      <c r="B10" s="181" t="s">
        <v>212</v>
      </c>
      <c r="C10" s="182">
        <f>'Proyección de ventas'!D25*0.2</f>
        <v>17000</v>
      </c>
      <c r="D10" s="183" t="s">
        <v>223</v>
      </c>
      <c r="E10" s="159"/>
      <c r="F10" s="159"/>
      <c r="G10" s="164"/>
      <c r="H10" s="164"/>
      <c r="O10" s="159"/>
      <c r="P10" s="159"/>
      <c r="Q10" s="159"/>
      <c r="R10" s="159"/>
    </row>
    <row r="11" spans="1:18" x14ac:dyDescent="0.25">
      <c r="A11" s="159"/>
      <c r="B11" s="160"/>
      <c r="C11" s="159"/>
      <c r="D11" s="159"/>
      <c r="E11" s="159"/>
      <c r="F11" s="159"/>
      <c r="G11" s="165"/>
      <c r="H11" s="165"/>
      <c r="O11" s="159"/>
      <c r="P11" s="159"/>
      <c r="Q11" s="159"/>
      <c r="R11" s="159"/>
    </row>
    <row r="12" spans="1:18" x14ac:dyDescent="0.25">
      <c r="A12" s="159"/>
      <c r="B12" s="160"/>
      <c r="C12" s="159"/>
      <c r="D12" s="159"/>
      <c r="E12" s="159"/>
      <c r="F12" s="159"/>
      <c r="G12" s="165"/>
      <c r="H12" s="165"/>
      <c r="O12" s="159"/>
      <c r="P12" s="159"/>
      <c r="Q12" s="159"/>
      <c r="R12" s="159"/>
    </row>
    <row r="13" spans="1:18" ht="39" x14ac:dyDescent="0.25">
      <c r="A13" s="159"/>
      <c r="B13" s="166" t="s">
        <v>213</v>
      </c>
      <c r="C13" s="512" t="s">
        <v>214</v>
      </c>
      <c r="D13" s="513"/>
      <c r="E13" s="159"/>
      <c r="F13" s="159"/>
      <c r="G13" s="167"/>
      <c r="H13" s="167"/>
      <c r="O13" s="159"/>
      <c r="P13" s="159"/>
      <c r="Q13" s="159"/>
      <c r="R13" s="159"/>
    </row>
    <row r="14" spans="1:18" x14ac:dyDescent="0.25">
      <c r="A14" s="159"/>
      <c r="B14" s="168"/>
      <c r="C14" s="518" t="s">
        <v>215</v>
      </c>
      <c r="D14" s="513"/>
      <c r="E14" s="159"/>
      <c r="F14" s="159"/>
      <c r="G14" s="169"/>
      <c r="H14" s="169"/>
      <c r="O14" s="159"/>
      <c r="P14" s="159"/>
      <c r="Q14" s="159"/>
      <c r="R14" s="159"/>
    </row>
    <row r="15" spans="1:18" ht="39" x14ac:dyDescent="0.25">
      <c r="A15" s="159"/>
      <c r="B15" s="166" t="s">
        <v>213</v>
      </c>
      <c r="C15" s="516">
        <f>C8</f>
        <v>40788116</v>
      </c>
      <c r="D15" s="513"/>
      <c r="E15" s="165"/>
      <c r="F15" s="159"/>
      <c r="G15" s="167"/>
      <c r="H15" s="167"/>
      <c r="O15" s="159"/>
      <c r="P15" s="159"/>
      <c r="Q15" s="159"/>
      <c r="R15" s="159"/>
    </row>
    <row r="16" spans="1:18" x14ac:dyDescent="0.25">
      <c r="A16" s="159"/>
      <c r="B16" s="168"/>
      <c r="C16" s="516">
        <f>C10-C9</f>
        <v>11018.5</v>
      </c>
      <c r="D16" s="513"/>
      <c r="E16" s="165"/>
      <c r="F16" s="159"/>
      <c r="G16" s="169"/>
      <c r="H16" s="169"/>
      <c r="O16" s="159"/>
      <c r="P16" s="159"/>
      <c r="Q16" s="159"/>
      <c r="R16" s="159"/>
    </row>
    <row r="17" spans="1:18" ht="39" x14ac:dyDescent="0.25">
      <c r="A17" s="159"/>
      <c r="B17" s="166" t="s">
        <v>213</v>
      </c>
      <c r="C17" s="517">
        <f>C15/C16</f>
        <v>3701.7848164450697</v>
      </c>
      <c r="D17" s="513"/>
      <c r="E17" s="164"/>
      <c r="F17" s="162"/>
      <c r="G17" s="167"/>
      <c r="H17" s="167"/>
      <c r="O17" s="159"/>
      <c r="P17" s="159"/>
      <c r="Q17" s="159"/>
      <c r="R17" s="159"/>
    </row>
    <row r="18" spans="1:18" ht="39" x14ac:dyDescent="0.25">
      <c r="A18" s="159"/>
      <c r="B18" s="166" t="s">
        <v>216</v>
      </c>
      <c r="C18" s="514" t="s">
        <v>225</v>
      </c>
      <c r="D18" s="513"/>
      <c r="E18" s="159"/>
      <c r="F18" s="162"/>
      <c r="G18" s="167"/>
      <c r="H18" s="167"/>
      <c r="O18" s="159"/>
      <c r="P18" s="159"/>
      <c r="Q18" s="159"/>
      <c r="R18" s="159"/>
    </row>
    <row r="19" spans="1:18" ht="39" x14ac:dyDescent="0.25">
      <c r="A19" s="159"/>
      <c r="B19" s="166" t="s">
        <v>216</v>
      </c>
      <c r="C19" s="515">
        <f>C17*C10</f>
        <v>62930341.879566185</v>
      </c>
      <c r="D19" s="513"/>
      <c r="E19" s="159"/>
      <c r="F19" s="162"/>
      <c r="G19" s="167"/>
      <c r="H19" s="167"/>
      <c r="O19" s="159"/>
      <c r="P19" s="159"/>
      <c r="Q19" s="159"/>
      <c r="R19" s="159"/>
    </row>
    <row r="20" spans="1:18" x14ac:dyDescent="0.25">
      <c r="A20" s="159"/>
      <c r="B20" s="160"/>
      <c r="C20" s="159"/>
      <c r="D20" s="159"/>
      <c r="E20" s="159"/>
      <c r="F20" s="159"/>
      <c r="G20" s="159"/>
      <c r="H20" s="159"/>
      <c r="O20" s="159"/>
      <c r="P20" s="159"/>
      <c r="Q20" s="159"/>
      <c r="R20" s="159"/>
    </row>
    <row r="21" spans="1:18" ht="15.75" customHeight="1" x14ac:dyDescent="0.25">
      <c r="A21" s="159"/>
      <c r="B21" s="170" t="s">
        <v>217</v>
      </c>
      <c r="C21" s="171" t="s">
        <v>218</v>
      </c>
      <c r="D21" s="171" t="s">
        <v>214</v>
      </c>
      <c r="E21" s="171" t="s">
        <v>219</v>
      </c>
      <c r="F21" s="171" t="s">
        <v>220</v>
      </c>
      <c r="G21" s="171" t="s">
        <v>221</v>
      </c>
      <c r="H21" s="159"/>
      <c r="O21" s="159"/>
      <c r="P21" s="159"/>
      <c r="Q21" s="159"/>
      <c r="R21" s="159"/>
    </row>
    <row r="22" spans="1:18" ht="15.75" customHeight="1" x14ac:dyDescent="0.25">
      <c r="A22" s="159"/>
      <c r="B22" s="147">
        <v>500</v>
      </c>
      <c r="C22" s="172">
        <f t="shared" ref="C22:C28" si="0">$C$10*B22</f>
        <v>8500000</v>
      </c>
      <c r="D22" s="172">
        <f t="shared" ref="D22:D28" si="1">$C$8</f>
        <v>40788116</v>
      </c>
      <c r="E22" s="172">
        <f t="shared" ref="E22:E28" si="2">B22*$C$9</f>
        <v>2990750</v>
      </c>
      <c r="F22" s="172">
        <f t="shared" ref="F22:F28" si="3">D22+E22</f>
        <v>43778866</v>
      </c>
      <c r="G22" s="172">
        <f t="shared" ref="G22:G28" si="4">C22-F22</f>
        <v>-35278866</v>
      </c>
      <c r="H22" s="159"/>
      <c r="O22" s="159"/>
      <c r="P22" s="159"/>
      <c r="Q22" s="159"/>
      <c r="R22" s="159"/>
    </row>
    <row r="23" spans="1:18" ht="15.75" customHeight="1" x14ac:dyDescent="0.25">
      <c r="A23" s="159"/>
      <c r="B23" s="147">
        <v>1000</v>
      </c>
      <c r="C23" s="172">
        <f t="shared" si="0"/>
        <v>17000000</v>
      </c>
      <c r="D23" s="172">
        <f t="shared" si="1"/>
        <v>40788116</v>
      </c>
      <c r="E23" s="172">
        <f t="shared" si="2"/>
        <v>5981500</v>
      </c>
      <c r="F23" s="172">
        <f t="shared" si="3"/>
        <v>46769616</v>
      </c>
      <c r="G23" s="172">
        <f t="shared" si="4"/>
        <v>-29769616</v>
      </c>
      <c r="H23" s="159"/>
      <c r="O23" s="159"/>
      <c r="P23" s="159"/>
      <c r="Q23" s="159"/>
      <c r="R23" s="159"/>
    </row>
    <row r="24" spans="1:18" ht="15.75" customHeight="1" x14ac:dyDescent="0.25">
      <c r="A24" s="159"/>
      <c r="B24" s="147">
        <v>1500</v>
      </c>
      <c r="C24" s="172">
        <f t="shared" si="0"/>
        <v>25500000</v>
      </c>
      <c r="D24" s="172">
        <f t="shared" si="1"/>
        <v>40788116</v>
      </c>
      <c r="E24" s="172">
        <f t="shared" si="2"/>
        <v>8972250</v>
      </c>
      <c r="F24" s="172">
        <f t="shared" si="3"/>
        <v>49760366</v>
      </c>
      <c r="G24" s="172">
        <f t="shared" si="4"/>
        <v>-24260366</v>
      </c>
      <c r="H24" s="159"/>
      <c r="O24" s="159"/>
      <c r="P24" s="159"/>
      <c r="Q24" s="159"/>
      <c r="R24" s="159"/>
    </row>
    <row r="25" spans="1:18" ht="15.75" customHeight="1" x14ac:dyDescent="0.25">
      <c r="A25" s="159"/>
      <c r="B25" s="173">
        <v>2000</v>
      </c>
      <c r="C25" s="172">
        <f t="shared" si="0"/>
        <v>34000000</v>
      </c>
      <c r="D25" s="172">
        <f t="shared" si="1"/>
        <v>40788116</v>
      </c>
      <c r="E25" s="172">
        <f t="shared" si="2"/>
        <v>11963000</v>
      </c>
      <c r="F25" s="172">
        <f t="shared" si="3"/>
        <v>52751116</v>
      </c>
      <c r="G25" s="172">
        <f t="shared" si="4"/>
        <v>-18751116</v>
      </c>
      <c r="H25" s="159"/>
      <c r="O25" s="159"/>
      <c r="P25" s="159"/>
      <c r="Q25" s="159"/>
      <c r="R25" s="159"/>
    </row>
    <row r="26" spans="1:18" ht="15.75" customHeight="1" x14ac:dyDescent="0.25">
      <c r="A26" s="159"/>
      <c r="B26" s="147">
        <v>3000</v>
      </c>
      <c r="C26" s="172">
        <f t="shared" si="0"/>
        <v>51000000</v>
      </c>
      <c r="D26" s="172">
        <f t="shared" si="1"/>
        <v>40788116</v>
      </c>
      <c r="E26" s="172">
        <f t="shared" si="2"/>
        <v>17944500</v>
      </c>
      <c r="F26" s="172">
        <f t="shared" si="3"/>
        <v>58732616</v>
      </c>
      <c r="G26" s="172">
        <f t="shared" si="4"/>
        <v>-7732616</v>
      </c>
      <c r="H26" s="159"/>
      <c r="O26" s="159"/>
      <c r="P26" s="159"/>
      <c r="Q26" s="159"/>
      <c r="R26" s="159"/>
    </row>
    <row r="27" spans="1:18" ht="15.75" customHeight="1" x14ac:dyDescent="0.25">
      <c r="A27" s="159"/>
      <c r="B27" s="147">
        <v>3500</v>
      </c>
      <c r="C27" s="172">
        <f t="shared" si="0"/>
        <v>59500000</v>
      </c>
      <c r="D27" s="172">
        <f t="shared" si="1"/>
        <v>40788116</v>
      </c>
      <c r="E27" s="172">
        <f t="shared" si="2"/>
        <v>20935250</v>
      </c>
      <c r="F27" s="172">
        <f t="shared" si="3"/>
        <v>61723366</v>
      </c>
      <c r="G27" s="172">
        <f t="shared" si="4"/>
        <v>-2223366</v>
      </c>
      <c r="H27" s="159"/>
      <c r="O27" s="159"/>
      <c r="P27" s="159"/>
      <c r="Q27" s="159"/>
      <c r="R27" s="159"/>
    </row>
    <row r="28" spans="1:18" ht="15.75" customHeight="1" x14ac:dyDescent="0.25">
      <c r="A28" s="159"/>
      <c r="B28" s="147">
        <v>4000</v>
      </c>
      <c r="C28" s="172">
        <f t="shared" si="0"/>
        <v>68000000</v>
      </c>
      <c r="D28" s="172">
        <f t="shared" si="1"/>
        <v>40788116</v>
      </c>
      <c r="E28" s="172">
        <f t="shared" si="2"/>
        <v>23926000</v>
      </c>
      <c r="F28" s="172">
        <f t="shared" si="3"/>
        <v>64714116</v>
      </c>
      <c r="G28" s="172">
        <f t="shared" si="4"/>
        <v>3285884</v>
      </c>
      <c r="H28" s="159"/>
      <c r="O28" s="159"/>
      <c r="P28" s="159"/>
      <c r="Q28" s="159"/>
      <c r="R28" s="159"/>
    </row>
    <row r="29" spans="1:18" ht="15.75" customHeight="1" x14ac:dyDescent="0.25">
      <c r="A29" s="159"/>
      <c r="B29" s="160"/>
      <c r="C29" s="159"/>
      <c r="D29" s="159"/>
      <c r="E29" s="159"/>
      <c r="F29" s="159"/>
      <c r="G29" s="159"/>
      <c r="H29" s="159"/>
      <c r="O29" s="159"/>
      <c r="P29" s="159"/>
      <c r="Q29" s="159"/>
      <c r="R29" s="159"/>
    </row>
    <row r="30" spans="1:18" ht="15.75" customHeight="1" x14ac:dyDescent="0.25">
      <c r="A30" s="159"/>
      <c r="B30" s="160"/>
      <c r="C30" s="159"/>
      <c r="D30" s="159"/>
      <c r="E30" s="159"/>
      <c r="F30" s="159"/>
      <c r="G30" s="159"/>
      <c r="H30" s="159"/>
      <c r="I30" s="160"/>
      <c r="J30" s="159"/>
      <c r="K30" s="159"/>
      <c r="L30" s="159"/>
      <c r="M30" s="159"/>
      <c r="N30" s="159"/>
      <c r="O30" s="159"/>
      <c r="P30" s="159"/>
      <c r="Q30" s="159"/>
      <c r="R30" s="159"/>
    </row>
    <row r="31" spans="1:18" ht="15.75" customHeight="1" x14ac:dyDescent="0.25">
      <c r="A31" s="159"/>
      <c r="B31" s="160"/>
      <c r="C31" s="159"/>
      <c r="D31" s="159"/>
      <c r="E31" s="159"/>
      <c r="F31" s="159"/>
      <c r="G31" s="159"/>
      <c r="H31" s="159"/>
      <c r="I31" s="160"/>
      <c r="J31" s="159"/>
      <c r="K31" s="159"/>
      <c r="L31" s="159"/>
      <c r="M31" s="159"/>
      <c r="N31" s="159"/>
      <c r="O31" s="159"/>
      <c r="P31" s="159"/>
      <c r="Q31" s="159"/>
      <c r="R31" s="159"/>
    </row>
    <row r="32" spans="1:18" ht="15.75" customHeight="1" x14ac:dyDescent="0.25">
      <c r="A32" s="159"/>
      <c r="B32" s="160"/>
      <c r="C32" s="159"/>
      <c r="D32" s="159"/>
      <c r="E32" s="159"/>
      <c r="F32" s="159"/>
      <c r="G32" s="159"/>
      <c r="H32" s="159"/>
      <c r="I32" s="160"/>
      <c r="J32" s="159"/>
      <c r="K32" s="159"/>
      <c r="L32" s="159"/>
      <c r="M32" s="159"/>
      <c r="N32" s="159"/>
      <c r="O32" s="159"/>
      <c r="P32" s="159"/>
      <c r="Q32" s="159"/>
      <c r="R32" s="159"/>
    </row>
    <row r="33" spans="1:18" ht="15.75" customHeight="1" x14ac:dyDescent="0.25">
      <c r="A33" s="159"/>
      <c r="B33" s="160"/>
      <c r="C33" s="159"/>
      <c r="D33" s="159"/>
      <c r="E33" s="159"/>
      <c r="F33" s="159"/>
      <c r="G33" s="159"/>
      <c r="H33" s="159"/>
      <c r="I33" s="160"/>
      <c r="J33" s="159"/>
      <c r="K33" s="159"/>
      <c r="L33" s="159"/>
      <c r="M33" s="159"/>
      <c r="N33" s="159"/>
      <c r="O33" s="159"/>
      <c r="P33" s="159"/>
      <c r="Q33" s="159"/>
      <c r="R33" s="159"/>
    </row>
    <row r="34" spans="1:18" ht="15.75" customHeight="1" x14ac:dyDescent="0.25">
      <c r="A34" s="159"/>
      <c r="B34" s="160"/>
      <c r="C34" s="159"/>
      <c r="D34" s="159"/>
      <c r="E34" s="159"/>
      <c r="F34" s="159"/>
      <c r="G34" s="159"/>
      <c r="H34" s="159"/>
      <c r="I34" s="160"/>
      <c r="J34" s="159"/>
      <c r="K34" s="159"/>
      <c r="L34" s="159"/>
      <c r="M34" s="159"/>
      <c r="N34" s="159"/>
      <c r="O34" s="159"/>
      <c r="P34" s="159"/>
      <c r="Q34" s="159"/>
      <c r="R34" s="159"/>
    </row>
    <row r="35" spans="1:18" ht="15.75" customHeight="1" x14ac:dyDescent="0.25">
      <c r="A35" s="159"/>
      <c r="B35" s="160"/>
      <c r="C35" s="159"/>
      <c r="D35" s="159"/>
      <c r="E35" s="159"/>
      <c r="F35" s="159"/>
      <c r="G35" s="159"/>
      <c r="H35" s="159"/>
      <c r="I35" s="160"/>
      <c r="J35" s="159"/>
      <c r="K35" s="159"/>
      <c r="L35" s="159"/>
      <c r="M35" s="159"/>
      <c r="N35" s="159"/>
      <c r="O35" s="159"/>
      <c r="P35" s="159"/>
      <c r="Q35" s="159"/>
      <c r="R35" s="159"/>
    </row>
    <row r="36" spans="1:18" ht="15.75" customHeight="1" x14ac:dyDescent="0.25">
      <c r="A36" s="159"/>
      <c r="B36" s="160"/>
      <c r="C36" s="159"/>
      <c r="D36" s="159"/>
      <c r="E36" s="159"/>
      <c r="F36" s="159"/>
      <c r="G36" s="159"/>
      <c r="H36" s="159"/>
      <c r="I36" s="160"/>
      <c r="J36" s="159"/>
      <c r="K36" s="159"/>
      <c r="L36" s="159"/>
      <c r="M36" s="159"/>
      <c r="N36" s="159"/>
      <c r="O36" s="159"/>
      <c r="P36" s="159"/>
      <c r="Q36" s="159"/>
      <c r="R36" s="159"/>
    </row>
    <row r="37" spans="1:18" ht="15.75" customHeight="1" x14ac:dyDescent="0.25">
      <c r="A37" s="159"/>
      <c r="B37" s="160"/>
      <c r="C37" s="159"/>
      <c r="D37" s="159"/>
      <c r="E37" s="159"/>
      <c r="F37" s="159"/>
      <c r="G37" s="159"/>
      <c r="H37" s="159"/>
      <c r="I37" s="160"/>
      <c r="J37" s="159"/>
      <c r="K37" s="159"/>
      <c r="L37" s="159"/>
      <c r="M37" s="159"/>
      <c r="N37" s="159"/>
      <c r="O37" s="159"/>
      <c r="P37" s="159"/>
      <c r="Q37" s="159"/>
      <c r="R37" s="159"/>
    </row>
    <row r="38" spans="1:18" ht="15.75" customHeight="1" x14ac:dyDescent="0.25">
      <c r="A38" s="159"/>
      <c r="B38" s="160"/>
      <c r="C38" s="159"/>
      <c r="D38" s="159"/>
      <c r="E38" s="159"/>
      <c r="F38" s="159"/>
      <c r="G38" s="159"/>
      <c r="H38" s="159"/>
      <c r="I38" s="160"/>
      <c r="J38" s="159"/>
      <c r="K38" s="159"/>
      <c r="L38" s="159"/>
      <c r="M38" s="159"/>
      <c r="N38" s="159"/>
      <c r="O38" s="159"/>
      <c r="P38" s="159"/>
      <c r="Q38" s="159"/>
      <c r="R38" s="159"/>
    </row>
    <row r="39" spans="1:18" ht="15.75" customHeight="1" x14ac:dyDescent="0.25">
      <c r="A39" s="159"/>
      <c r="B39" s="160"/>
      <c r="C39" s="159"/>
      <c r="D39" s="159"/>
      <c r="E39" s="159"/>
      <c r="F39" s="159"/>
      <c r="G39" s="159"/>
      <c r="H39" s="159"/>
      <c r="I39" s="160"/>
      <c r="J39" s="159"/>
      <c r="K39" s="159"/>
      <c r="L39" s="159"/>
      <c r="M39" s="159"/>
      <c r="N39" s="159"/>
      <c r="O39" s="159"/>
      <c r="P39" s="159"/>
      <c r="Q39" s="159"/>
      <c r="R39" s="159"/>
    </row>
    <row r="40" spans="1:18" ht="15.75" customHeight="1" x14ac:dyDescent="0.25">
      <c r="A40" s="159"/>
      <c r="B40" s="160"/>
      <c r="C40" s="159"/>
      <c r="D40" s="159"/>
      <c r="E40" s="159"/>
      <c r="F40" s="159"/>
      <c r="G40" s="159"/>
      <c r="H40" s="159"/>
      <c r="I40" s="160"/>
      <c r="J40" s="159"/>
      <c r="K40" s="159"/>
      <c r="L40" s="159"/>
      <c r="M40" s="159"/>
      <c r="N40" s="159"/>
      <c r="O40" s="159"/>
      <c r="P40" s="159"/>
      <c r="Q40" s="159"/>
      <c r="R40" s="159"/>
    </row>
    <row r="41" spans="1:18" ht="15.75" customHeight="1" x14ac:dyDescent="0.25">
      <c r="A41" s="159"/>
      <c r="B41" s="160"/>
      <c r="C41" s="159"/>
      <c r="D41" s="159"/>
      <c r="E41" s="159"/>
      <c r="F41" s="159"/>
      <c r="G41" s="159"/>
      <c r="H41" s="159"/>
      <c r="I41" s="160"/>
      <c r="J41" s="159"/>
      <c r="K41" s="159"/>
      <c r="L41" s="159"/>
      <c r="M41" s="159"/>
      <c r="N41" s="159"/>
      <c r="O41" s="159"/>
      <c r="P41" s="159"/>
      <c r="Q41" s="159"/>
      <c r="R41" s="159"/>
    </row>
    <row r="42" spans="1:18" ht="15.75" customHeight="1" x14ac:dyDescent="0.25">
      <c r="A42" s="159"/>
      <c r="B42" s="160"/>
      <c r="C42" s="159"/>
      <c r="D42" s="159"/>
      <c r="E42" s="159"/>
      <c r="F42" s="159"/>
      <c r="G42" s="159"/>
      <c r="H42" s="159"/>
      <c r="I42" s="160"/>
      <c r="J42" s="159"/>
      <c r="K42" s="159"/>
      <c r="L42" s="159"/>
      <c r="M42" s="159"/>
      <c r="N42" s="159"/>
      <c r="O42" s="159"/>
      <c r="P42" s="159"/>
      <c r="Q42" s="159"/>
      <c r="R42" s="159"/>
    </row>
    <row r="43" spans="1:18" ht="15.75" customHeight="1" x14ac:dyDescent="0.25">
      <c r="A43" s="159"/>
      <c r="B43" s="160"/>
      <c r="C43" s="159"/>
      <c r="D43" s="159"/>
      <c r="E43" s="159"/>
      <c r="F43" s="159"/>
      <c r="G43" s="159"/>
      <c r="H43" s="159"/>
      <c r="I43" s="160"/>
      <c r="J43" s="159"/>
      <c r="K43" s="159"/>
      <c r="L43" s="159"/>
      <c r="M43" s="159"/>
      <c r="N43" s="159"/>
      <c r="O43" s="159"/>
      <c r="P43" s="159"/>
      <c r="Q43" s="159"/>
      <c r="R43" s="159"/>
    </row>
    <row r="44" spans="1:18" ht="15.75" customHeight="1" x14ac:dyDescent="0.25">
      <c r="A44" s="159"/>
      <c r="B44" s="160"/>
      <c r="C44" s="159"/>
      <c r="D44" s="159"/>
      <c r="E44" s="159"/>
      <c r="F44" s="159"/>
      <c r="G44" s="159"/>
      <c r="H44" s="159"/>
      <c r="I44" s="160"/>
      <c r="J44" s="159"/>
      <c r="K44" s="159"/>
      <c r="L44" s="159"/>
      <c r="M44" s="159"/>
      <c r="N44" s="159"/>
      <c r="O44" s="159"/>
      <c r="P44" s="159"/>
      <c r="Q44" s="159"/>
      <c r="R44" s="159"/>
    </row>
    <row r="45" spans="1:18" ht="15.75" customHeight="1" x14ac:dyDescent="0.25">
      <c r="A45" s="159"/>
      <c r="B45" s="160"/>
      <c r="C45" s="159"/>
      <c r="D45" s="159"/>
      <c r="E45" s="159"/>
      <c r="F45" s="159"/>
      <c r="G45" s="159"/>
      <c r="H45" s="159"/>
      <c r="I45" s="160"/>
      <c r="J45" s="159"/>
      <c r="K45" s="159"/>
      <c r="L45" s="159"/>
      <c r="M45" s="159"/>
      <c r="N45" s="159"/>
      <c r="O45" s="159"/>
      <c r="P45" s="159"/>
      <c r="Q45" s="159"/>
      <c r="R45" s="159"/>
    </row>
    <row r="46" spans="1:18" ht="15.75" customHeight="1" x14ac:dyDescent="0.25">
      <c r="A46" s="159"/>
      <c r="B46" s="160"/>
      <c r="C46" s="159"/>
      <c r="D46" s="159"/>
      <c r="E46" s="159"/>
      <c r="F46" s="159"/>
      <c r="G46" s="159"/>
      <c r="H46" s="159"/>
      <c r="I46" s="160"/>
      <c r="J46" s="159"/>
      <c r="K46" s="159"/>
      <c r="L46" s="159"/>
      <c r="M46" s="159"/>
      <c r="N46" s="159"/>
      <c r="O46" s="159"/>
      <c r="P46" s="159"/>
      <c r="Q46" s="159"/>
      <c r="R46" s="159"/>
    </row>
    <row r="47" spans="1:18" ht="15.75" customHeight="1" x14ac:dyDescent="0.25">
      <c r="A47" s="159"/>
      <c r="B47" s="160"/>
      <c r="C47" s="159"/>
      <c r="D47" s="159"/>
      <c r="E47" s="159"/>
      <c r="F47" s="159"/>
      <c r="G47" s="159"/>
      <c r="H47" s="159"/>
      <c r="I47" s="160"/>
      <c r="J47" s="159"/>
      <c r="K47" s="159"/>
      <c r="L47" s="159"/>
      <c r="M47" s="159"/>
      <c r="N47" s="159"/>
      <c r="O47" s="159"/>
      <c r="P47" s="159"/>
      <c r="Q47" s="159"/>
      <c r="R47" s="159"/>
    </row>
    <row r="48" spans="1:18" ht="15.75" customHeight="1" x14ac:dyDescent="0.25">
      <c r="A48" s="159"/>
      <c r="B48" s="160"/>
      <c r="C48" s="159"/>
      <c r="D48" s="159"/>
      <c r="E48" s="159"/>
      <c r="F48" s="159"/>
      <c r="G48" s="159"/>
      <c r="H48" s="159"/>
      <c r="I48" s="160"/>
      <c r="J48" s="159"/>
      <c r="K48" s="159"/>
      <c r="L48" s="159"/>
      <c r="M48" s="159"/>
      <c r="N48" s="159"/>
      <c r="O48" s="159"/>
      <c r="P48" s="159"/>
      <c r="Q48" s="159"/>
      <c r="R48" s="159"/>
    </row>
    <row r="49" spans="1:18" ht="15.75" customHeight="1" x14ac:dyDescent="0.25">
      <c r="A49" s="159"/>
      <c r="B49" s="160"/>
      <c r="C49" s="159"/>
      <c r="D49" s="159"/>
      <c r="E49" s="159"/>
      <c r="F49" s="159"/>
      <c r="G49" s="159"/>
      <c r="H49" s="159"/>
      <c r="I49" s="160"/>
      <c r="J49" s="159"/>
      <c r="K49" s="159"/>
      <c r="L49" s="159"/>
      <c r="M49" s="159"/>
      <c r="N49" s="159"/>
      <c r="O49" s="159"/>
      <c r="P49" s="159"/>
      <c r="Q49" s="159"/>
      <c r="R49" s="159"/>
    </row>
    <row r="50" spans="1:18" ht="15.75" customHeight="1" x14ac:dyDescent="0.25">
      <c r="A50" s="159"/>
      <c r="B50" s="160"/>
      <c r="C50" s="159"/>
      <c r="D50" s="159"/>
      <c r="E50" s="159"/>
      <c r="F50" s="159"/>
      <c r="G50" s="159"/>
      <c r="H50" s="159"/>
      <c r="I50" s="160"/>
      <c r="J50" s="159"/>
      <c r="K50" s="159"/>
      <c r="L50" s="159"/>
      <c r="M50" s="159"/>
      <c r="N50" s="159"/>
      <c r="O50" s="159"/>
      <c r="P50" s="159"/>
      <c r="Q50" s="159"/>
      <c r="R50" s="159"/>
    </row>
    <row r="51" spans="1:18" ht="15.75" customHeight="1" x14ac:dyDescent="0.25">
      <c r="A51" s="159"/>
      <c r="B51" s="160"/>
      <c r="C51" s="159"/>
      <c r="D51" s="159"/>
      <c r="E51" s="159"/>
      <c r="F51" s="159"/>
      <c r="G51" s="159"/>
      <c r="H51" s="159"/>
      <c r="I51" s="160"/>
      <c r="J51" s="159"/>
      <c r="K51" s="159"/>
      <c r="L51" s="159"/>
      <c r="M51" s="159"/>
      <c r="N51" s="159"/>
      <c r="O51" s="159"/>
      <c r="P51" s="159"/>
      <c r="Q51" s="159"/>
      <c r="R51" s="159"/>
    </row>
    <row r="52" spans="1:18" ht="15.75" customHeight="1" x14ac:dyDescent="0.25">
      <c r="A52" s="159"/>
      <c r="B52" s="160"/>
      <c r="C52" s="159"/>
      <c r="D52" s="159"/>
      <c r="E52" s="159"/>
      <c r="F52" s="159"/>
      <c r="G52" s="159"/>
      <c r="H52" s="159"/>
      <c r="I52" s="160"/>
      <c r="J52" s="159"/>
      <c r="K52" s="159"/>
      <c r="L52" s="159"/>
      <c r="M52" s="159"/>
      <c r="N52" s="159"/>
      <c r="O52" s="159"/>
      <c r="P52" s="159"/>
      <c r="Q52" s="159"/>
      <c r="R52" s="159"/>
    </row>
    <row r="53" spans="1:18" ht="15.75" customHeight="1" x14ac:dyDescent="0.25">
      <c r="A53" s="159"/>
      <c r="B53" s="160"/>
      <c r="C53" s="159"/>
      <c r="D53" s="159"/>
      <c r="E53" s="159"/>
      <c r="F53" s="159"/>
      <c r="G53" s="159"/>
      <c r="H53" s="159"/>
      <c r="I53" s="160"/>
      <c r="J53" s="159"/>
      <c r="K53" s="159"/>
      <c r="L53" s="159"/>
      <c r="M53" s="159"/>
      <c r="N53" s="159"/>
      <c r="O53" s="159"/>
      <c r="P53" s="159"/>
      <c r="Q53" s="159"/>
      <c r="R53" s="159"/>
    </row>
    <row r="54" spans="1:18" ht="15.75" customHeight="1" x14ac:dyDescent="0.25">
      <c r="A54" s="159"/>
      <c r="B54" s="160"/>
      <c r="C54" s="159"/>
      <c r="D54" s="159"/>
      <c r="E54" s="159"/>
      <c r="F54" s="159"/>
      <c r="G54" s="159"/>
      <c r="H54" s="159"/>
      <c r="I54" s="160"/>
      <c r="J54" s="159"/>
      <c r="K54" s="159"/>
      <c r="L54" s="159"/>
      <c r="M54" s="159"/>
      <c r="N54" s="159"/>
      <c r="O54" s="159"/>
      <c r="P54" s="159"/>
      <c r="Q54" s="159"/>
      <c r="R54" s="159"/>
    </row>
    <row r="55" spans="1:18" ht="15.75" customHeight="1" x14ac:dyDescent="0.25">
      <c r="A55" s="159"/>
      <c r="B55" s="160"/>
      <c r="C55" s="159"/>
      <c r="D55" s="159"/>
      <c r="E55" s="159"/>
      <c r="F55" s="159"/>
      <c r="G55" s="159"/>
      <c r="H55" s="159"/>
      <c r="I55" s="160"/>
      <c r="J55" s="159"/>
      <c r="K55" s="159"/>
      <c r="L55" s="159"/>
      <c r="M55" s="159"/>
      <c r="N55" s="159"/>
      <c r="O55" s="159"/>
      <c r="P55" s="159"/>
      <c r="Q55" s="159"/>
      <c r="R55" s="159"/>
    </row>
    <row r="56" spans="1:18" ht="15.75" customHeight="1" x14ac:dyDescent="0.25">
      <c r="A56" s="159"/>
      <c r="B56" s="160"/>
      <c r="C56" s="159"/>
      <c r="D56" s="159"/>
      <c r="E56" s="159"/>
      <c r="F56" s="159"/>
      <c r="G56" s="159"/>
      <c r="H56" s="159"/>
      <c r="I56" s="160"/>
      <c r="J56" s="159"/>
      <c r="K56" s="159"/>
      <c r="L56" s="159"/>
      <c r="M56" s="159"/>
      <c r="N56" s="159"/>
      <c r="O56" s="159"/>
      <c r="P56" s="159"/>
      <c r="Q56" s="159"/>
      <c r="R56" s="159"/>
    </row>
    <row r="57" spans="1:18" ht="15.75" customHeight="1" x14ac:dyDescent="0.25">
      <c r="A57" s="159"/>
      <c r="B57" s="160"/>
      <c r="C57" s="159"/>
      <c r="D57" s="159"/>
      <c r="E57" s="159"/>
      <c r="F57" s="159"/>
      <c r="G57" s="159"/>
      <c r="H57" s="159"/>
      <c r="I57" s="160"/>
      <c r="J57" s="159"/>
      <c r="K57" s="159"/>
      <c r="L57" s="159"/>
      <c r="M57" s="159"/>
      <c r="N57" s="159"/>
      <c r="O57" s="159"/>
      <c r="P57" s="159"/>
      <c r="Q57" s="159"/>
      <c r="R57" s="159"/>
    </row>
    <row r="58" spans="1:18" ht="15.75" customHeight="1" x14ac:dyDescent="0.25">
      <c r="A58" s="159"/>
      <c r="B58" s="160"/>
      <c r="C58" s="159"/>
      <c r="D58" s="159"/>
      <c r="E58" s="159"/>
      <c r="F58" s="159"/>
      <c r="G58" s="159"/>
      <c r="H58" s="159"/>
      <c r="I58" s="160"/>
      <c r="J58" s="159"/>
      <c r="K58" s="159"/>
      <c r="L58" s="159"/>
      <c r="M58" s="159"/>
      <c r="N58" s="159"/>
      <c r="O58" s="159"/>
      <c r="P58" s="159"/>
      <c r="Q58" s="159"/>
      <c r="R58" s="159"/>
    </row>
    <row r="59" spans="1:18" ht="15.75" customHeight="1" x14ac:dyDescent="0.25">
      <c r="A59" s="159"/>
      <c r="B59" s="160"/>
      <c r="C59" s="159"/>
      <c r="D59" s="159"/>
      <c r="E59" s="159"/>
      <c r="F59" s="159"/>
      <c r="G59" s="159"/>
      <c r="H59" s="159"/>
      <c r="I59" s="160"/>
      <c r="J59" s="159"/>
      <c r="K59" s="159"/>
      <c r="L59" s="159"/>
      <c r="M59" s="159"/>
      <c r="N59" s="159"/>
      <c r="O59" s="159"/>
      <c r="P59" s="159"/>
      <c r="Q59" s="159"/>
      <c r="R59" s="159"/>
    </row>
    <row r="60" spans="1:18" ht="15.75" customHeight="1" x14ac:dyDescent="0.25">
      <c r="A60" s="159"/>
      <c r="B60" s="160"/>
      <c r="C60" s="159"/>
      <c r="D60" s="159"/>
      <c r="E60" s="159"/>
      <c r="F60" s="159"/>
      <c r="G60" s="159"/>
      <c r="H60" s="159"/>
      <c r="I60" s="160"/>
      <c r="J60" s="159"/>
      <c r="K60" s="159"/>
      <c r="L60" s="159"/>
      <c r="M60" s="159"/>
      <c r="N60" s="159"/>
      <c r="O60" s="159"/>
      <c r="P60" s="159"/>
      <c r="Q60" s="159"/>
      <c r="R60" s="159"/>
    </row>
    <row r="61" spans="1:18" ht="15.75" customHeight="1" x14ac:dyDescent="0.25">
      <c r="A61" s="159"/>
      <c r="B61" s="160"/>
      <c r="C61" s="159"/>
      <c r="D61" s="159"/>
      <c r="E61" s="159"/>
      <c r="F61" s="159"/>
      <c r="G61" s="159"/>
      <c r="H61" s="159"/>
      <c r="I61" s="160"/>
      <c r="J61" s="159"/>
      <c r="K61" s="159"/>
      <c r="L61" s="159"/>
      <c r="M61" s="159"/>
      <c r="N61" s="159"/>
      <c r="O61" s="159"/>
      <c r="P61" s="159"/>
      <c r="Q61" s="159"/>
      <c r="R61" s="159"/>
    </row>
    <row r="62" spans="1:18" ht="15.75" customHeight="1" x14ac:dyDescent="0.25">
      <c r="A62" s="159"/>
      <c r="B62" s="160"/>
      <c r="C62" s="159"/>
      <c r="D62" s="159"/>
      <c r="E62" s="159"/>
      <c r="F62" s="159"/>
      <c r="G62" s="159"/>
      <c r="H62" s="159"/>
      <c r="I62" s="160"/>
      <c r="J62" s="159"/>
      <c r="K62" s="159"/>
      <c r="L62" s="159"/>
      <c r="M62" s="159"/>
      <c r="N62" s="159"/>
      <c r="O62" s="159"/>
      <c r="P62" s="159"/>
      <c r="Q62" s="159"/>
      <c r="R62" s="159"/>
    </row>
    <row r="63" spans="1:18" ht="15.75" customHeight="1" x14ac:dyDescent="0.25">
      <c r="A63" s="159"/>
      <c r="B63" s="160"/>
      <c r="C63" s="159"/>
      <c r="D63" s="159"/>
      <c r="E63" s="159"/>
      <c r="F63" s="159"/>
      <c r="G63" s="159"/>
      <c r="H63" s="159"/>
      <c r="I63" s="160"/>
      <c r="J63" s="159"/>
      <c r="K63" s="159"/>
      <c r="L63" s="159"/>
      <c r="M63" s="159"/>
      <c r="N63" s="159"/>
      <c r="O63" s="159"/>
      <c r="P63" s="159"/>
      <c r="Q63" s="159"/>
      <c r="R63" s="159"/>
    </row>
    <row r="64" spans="1:18" ht="15.75" customHeight="1" x14ac:dyDescent="0.25">
      <c r="A64" s="159"/>
      <c r="B64" s="160"/>
      <c r="C64" s="159"/>
      <c r="D64" s="159"/>
      <c r="E64" s="159"/>
      <c r="F64" s="159"/>
      <c r="G64" s="159"/>
      <c r="H64" s="159"/>
      <c r="I64" s="160"/>
      <c r="J64" s="159"/>
      <c r="K64" s="159"/>
      <c r="L64" s="159"/>
      <c r="M64" s="159"/>
      <c r="N64" s="159"/>
      <c r="O64" s="159"/>
      <c r="P64" s="159"/>
      <c r="Q64" s="159"/>
      <c r="R64" s="159"/>
    </row>
    <row r="65" spans="1:18" ht="15.75" customHeight="1" x14ac:dyDescent="0.25">
      <c r="A65" s="159"/>
      <c r="B65" s="160"/>
      <c r="C65" s="159"/>
      <c r="D65" s="159"/>
      <c r="E65" s="159"/>
      <c r="F65" s="159"/>
      <c r="G65" s="159"/>
      <c r="H65" s="159"/>
      <c r="I65" s="160"/>
      <c r="J65" s="159"/>
      <c r="K65" s="159"/>
      <c r="L65" s="159"/>
      <c r="M65" s="159"/>
      <c r="N65" s="159"/>
      <c r="O65" s="159"/>
      <c r="P65" s="159"/>
      <c r="Q65" s="159"/>
      <c r="R65" s="159"/>
    </row>
    <row r="66" spans="1:18" ht="15.75" customHeight="1" x14ac:dyDescent="0.25">
      <c r="A66" s="159"/>
      <c r="B66" s="160"/>
      <c r="C66" s="159"/>
      <c r="D66" s="159"/>
      <c r="E66" s="159"/>
      <c r="F66" s="159"/>
      <c r="G66" s="159"/>
      <c r="H66" s="159"/>
      <c r="I66" s="160"/>
      <c r="J66" s="159"/>
      <c r="K66" s="159"/>
      <c r="L66" s="159"/>
      <c r="M66" s="159"/>
      <c r="N66" s="159"/>
      <c r="O66" s="159"/>
      <c r="P66" s="159"/>
      <c r="Q66" s="159"/>
      <c r="R66" s="159"/>
    </row>
    <row r="67" spans="1:18" ht="15.75" customHeight="1" x14ac:dyDescent="0.25">
      <c r="A67" s="159"/>
      <c r="B67" s="160"/>
      <c r="C67" s="159"/>
      <c r="D67" s="159"/>
      <c r="E67" s="159"/>
      <c r="F67" s="159"/>
      <c r="G67" s="159"/>
      <c r="H67" s="159"/>
      <c r="I67" s="160"/>
      <c r="J67" s="159"/>
      <c r="K67" s="159"/>
      <c r="L67" s="159"/>
      <c r="M67" s="159"/>
      <c r="N67" s="159"/>
      <c r="O67" s="159"/>
      <c r="P67" s="159"/>
      <c r="Q67" s="159"/>
      <c r="R67" s="159"/>
    </row>
    <row r="68" spans="1:18" ht="15.75" customHeight="1" x14ac:dyDescent="0.25">
      <c r="A68" s="159"/>
      <c r="B68" s="160"/>
      <c r="C68" s="159"/>
      <c r="D68" s="159"/>
      <c r="E68" s="159"/>
      <c r="F68" s="159"/>
      <c r="G68" s="159"/>
      <c r="H68" s="159"/>
      <c r="I68" s="160"/>
      <c r="J68" s="159"/>
      <c r="K68" s="159"/>
      <c r="L68" s="159"/>
      <c r="M68" s="159"/>
      <c r="N68" s="159"/>
      <c r="O68" s="159"/>
      <c r="P68" s="159"/>
      <c r="Q68" s="159"/>
      <c r="R68" s="159"/>
    </row>
    <row r="69" spans="1:18" ht="15.75" customHeight="1" x14ac:dyDescent="0.25">
      <c r="A69" s="159"/>
      <c r="B69" s="160"/>
      <c r="C69" s="159"/>
      <c r="D69" s="159"/>
      <c r="E69" s="159"/>
      <c r="F69" s="159"/>
      <c r="G69" s="159"/>
      <c r="H69" s="159"/>
      <c r="I69" s="160"/>
      <c r="J69" s="159"/>
      <c r="K69" s="159"/>
      <c r="L69" s="159"/>
      <c r="M69" s="159"/>
      <c r="N69" s="159"/>
      <c r="O69" s="159"/>
      <c r="P69" s="159"/>
      <c r="Q69" s="159"/>
      <c r="R69" s="159"/>
    </row>
    <row r="70" spans="1:18" ht="15.75" customHeight="1" x14ac:dyDescent="0.25">
      <c r="A70" s="159"/>
      <c r="B70" s="160"/>
      <c r="C70" s="159"/>
      <c r="D70" s="159"/>
      <c r="E70" s="159"/>
      <c r="F70" s="159"/>
      <c r="G70" s="159"/>
      <c r="H70" s="159"/>
      <c r="I70" s="160"/>
      <c r="J70" s="159"/>
      <c r="K70" s="159"/>
      <c r="L70" s="159"/>
      <c r="M70" s="159"/>
      <c r="N70" s="159"/>
      <c r="O70" s="159"/>
      <c r="P70" s="159"/>
      <c r="Q70" s="159"/>
      <c r="R70" s="159"/>
    </row>
    <row r="71" spans="1:18" ht="15.75" customHeight="1" x14ac:dyDescent="0.25">
      <c r="A71" s="159"/>
      <c r="B71" s="160"/>
      <c r="C71" s="159"/>
      <c r="D71" s="159"/>
      <c r="E71" s="159"/>
      <c r="F71" s="159"/>
      <c r="G71" s="159"/>
      <c r="H71" s="159"/>
      <c r="I71" s="160"/>
      <c r="J71" s="159"/>
      <c r="K71" s="159"/>
      <c r="L71" s="159"/>
      <c r="M71" s="159"/>
      <c r="N71" s="159"/>
      <c r="O71" s="159"/>
      <c r="P71" s="159"/>
      <c r="Q71" s="159"/>
      <c r="R71" s="159"/>
    </row>
    <row r="72" spans="1:18" ht="15.75" customHeight="1" x14ac:dyDescent="0.25">
      <c r="A72" s="159"/>
      <c r="B72" s="160"/>
      <c r="C72" s="159"/>
      <c r="D72" s="159"/>
      <c r="E72" s="159"/>
      <c r="F72" s="159"/>
      <c r="G72" s="159"/>
      <c r="H72" s="159"/>
      <c r="I72" s="160"/>
      <c r="J72" s="159"/>
      <c r="K72" s="159"/>
      <c r="L72" s="159"/>
      <c r="M72" s="159"/>
      <c r="N72" s="159"/>
      <c r="O72" s="159"/>
      <c r="P72" s="159"/>
      <c r="Q72" s="159"/>
      <c r="R72" s="159"/>
    </row>
    <row r="73" spans="1:18" ht="15.75" customHeight="1" x14ac:dyDescent="0.25">
      <c r="A73" s="159"/>
      <c r="B73" s="160"/>
      <c r="C73" s="159"/>
      <c r="D73" s="159"/>
      <c r="E73" s="159"/>
      <c r="F73" s="159"/>
      <c r="G73" s="159"/>
      <c r="H73" s="159"/>
      <c r="I73" s="160"/>
      <c r="J73" s="159"/>
      <c r="K73" s="159"/>
      <c r="L73" s="159"/>
      <c r="M73" s="159"/>
      <c r="N73" s="159"/>
      <c r="O73" s="159"/>
      <c r="P73" s="159"/>
      <c r="Q73" s="159"/>
      <c r="R73" s="159"/>
    </row>
    <row r="74" spans="1:18" ht="15.75" customHeight="1" x14ac:dyDescent="0.25">
      <c r="A74" s="159"/>
      <c r="B74" s="160"/>
      <c r="C74" s="159"/>
      <c r="D74" s="159"/>
      <c r="E74" s="159"/>
      <c r="F74" s="159"/>
      <c r="G74" s="159"/>
      <c r="H74" s="159"/>
      <c r="I74" s="160"/>
      <c r="J74" s="159"/>
      <c r="K74" s="159"/>
      <c r="L74" s="159"/>
      <c r="M74" s="159"/>
      <c r="N74" s="159"/>
      <c r="O74" s="159"/>
      <c r="P74" s="159"/>
      <c r="Q74" s="159"/>
      <c r="R74" s="159"/>
    </row>
    <row r="75" spans="1:18" ht="15.75" customHeight="1" x14ac:dyDescent="0.25">
      <c r="A75" s="159"/>
      <c r="B75" s="160"/>
      <c r="C75" s="159"/>
      <c r="D75" s="159"/>
      <c r="E75" s="159"/>
      <c r="F75" s="159"/>
      <c r="G75" s="159"/>
      <c r="H75" s="159"/>
      <c r="I75" s="160"/>
      <c r="J75" s="159"/>
      <c r="K75" s="159"/>
      <c r="L75" s="159"/>
      <c r="M75" s="159"/>
      <c r="N75" s="159"/>
      <c r="O75" s="159"/>
      <c r="P75" s="159"/>
      <c r="Q75" s="159"/>
      <c r="R75" s="159"/>
    </row>
    <row r="76" spans="1:18" ht="15.75" customHeight="1" x14ac:dyDescent="0.25">
      <c r="A76" s="159"/>
      <c r="B76" s="160"/>
      <c r="C76" s="159"/>
      <c r="D76" s="159"/>
      <c r="E76" s="159"/>
      <c r="F76" s="159"/>
      <c r="G76" s="159"/>
      <c r="H76" s="159"/>
      <c r="I76" s="160"/>
      <c r="J76" s="159"/>
      <c r="K76" s="159"/>
      <c r="L76" s="159"/>
      <c r="M76" s="159"/>
      <c r="N76" s="159"/>
      <c r="O76" s="159"/>
      <c r="P76" s="159"/>
      <c r="Q76" s="159"/>
      <c r="R76" s="159"/>
    </row>
    <row r="77" spans="1:18" ht="15.75" customHeight="1" x14ac:dyDescent="0.25">
      <c r="A77" s="159"/>
      <c r="B77" s="160"/>
      <c r="C77" s="159"/>
      <c r="D77" s="159"/>
      <c r="E77" s="159"/>
      <c r="F77" s="159"/>
      <c r="G77" s="159"/>
      <c r="H77" s="159"/>
      <c r="I77" s="160"/>
      <c r="J77" s="159"/>
      <c r="K77" s="159"/>
      <c r="L77" s="159"/>
      <c r="M77" s="159"/>
      <c r="N77" s="159"/>
      <c r="O77" s="159"/>
      <c r="P77" s="159"/>
      <c r="Q77" s="159"/>
      <c r="R77" s="159"/>
    </row>
    <row r="78" spans="1:18" ht="15.75" customHeight="1" x14ac:dyDescent="0.25">
      <c r="A78" s="159"/>
      <c r="B78" s="160"/>
      <c r="C78" s="159"/>
      <c r="D78" s="159"/>
      <c r="E78" s="159"/>
      <c r="F78" s="159"/>
      <c r="G78" s="159"/>
      <c r="H78" s="159"/>
      <c r="I78" s="160"/>
      <c r="J78" s="159"/>
      <c r="K78" s="159"/>
      <c r="L78" s="159"/>
      <c r="M78" s="159"/>
      <c r="N78" s="159"/>
      <c r="O78" s="159"/>
      <c r="P78" s="159"/>
      <c r="Q78" s="159"/>
      <c r="R78" s="159"/>
    </row>
    <row r="79" spans="1:18" ht="15.75" customHeight="1" x14ac:dyDescent="0.25">
      <c r="A79" s="159"/>
      <c r="B79" s="160"/>
      <c r="C79" s="159"/>
      <c r="D79" s="159"/>
      <c r="E79" s="159"/>
      <c r="F79" s="159"/>
      <c r="G79" s="159"/>
      <c r="H79" s="159"/>
      <c r="I79" s="160"/>
      <c r="J79" s="159"/>
      <c r="K79" s="159"/>
      <c r="L79" s="159"/>
      <c r="M79" s="159"/>
      <c r="N79" s="159"/>
      <c r="O79" s="159"/>
      <c r="P79" s="159"/>
      <c r="Q79" s="159"/>
      <c r="R79" s="159"/>
    </row>
    <row r="80" spans="1:18" ht="15.75" customHeight="1" x14ac:dyDescent="0.25">
      <c r="A80" s="159"/>
      <c r="B80" s="160"/>
      <c r="C80" s="159"/>
      <c r="D80" s="159"/>
      <c r="E80" s="159"/>
      <c r="F80" s="159"/>
      <c r="G80" s="159"/>
      <c r="H80" s="159"/>
      <c r="I80" s="160"/>
      <c r="J80" s="159"/>
      <c r="K80" s="159"/>
      <c r="L80" s="159"/>
      <c r="M80" s="159"/>
      <c r="N80" s="159"/>
      <c r="O80" s="159"/>
      <c r="P80" s="159"/>
      <c r="Q80" s="159"/>
      <c r="R80" s="159"/>
    </row>
    <row r="81" spans="1:18" ht="15.75" customHeight="1" x14ac:dyDescent="0.25">
      <c r="A81" s="159"/>
      <c r="B81" s="160"/>
      <c r="C81" s="159"/>
      <c r="D81" s="159"/>
      <c r="E81" s="159"/>
      <c r="F81" s="159"/>
      <c r="G81" s="159"/>
      <c r="H81" s="159"/>
      <c r="I81" s="160"/>
      <c r="J81" s="159"/>
      <c r="K81" s="159"/>
      <c r="L81" s="159"/>
      <c r="M81" s="159"/>
      <c r="N81" s="159"/>
      <c r="O81" s="159"/>
      <c r="P81" s="159"/>
      <c r="Q81" s="159"/>
      <c r="R81" s="159"/>
    </row>
    <row r="82" spans="1:18" ht="15.75" customHeight="1" x14ac:dyDescent="0.25">
      <c r="A82" s="159"/>
      <c r="B82" s="160"/>
      <c r="C82" s="159"/>
      <c r="D82" s="159"/>
      <c r="E82" s="159"/>
      <c r="F82" s="159"/>
      <c r="G82" s="159"/>
      <c r="H82" s="159"/>
      <c r="I82" s="160"/>
      <c r="J82" s="159"/>
      <c r="K82" s="159"/>
      <c r="L82" s="159"/>
      <c r="M82" s="159"/>
      <c r="N82" s="159"/>
      <c r="O82" s="159"/>
      <c r="P82" s="159"/>
      <c r="Q82" s="159"/>
      <c r="R82" s="159"/>
    </row>
    <row r="83" spans="1:18" ht="15.75" customHeight="1" x14ac:dyDescent="0.25">
      <c r="A83" s="159"/>
      <c r="B83" s="160"/>
      <c r="C83" s="159"/>
      <c r="D83" s="159"/>
      <c r="E83" s="159"/>
      <c r="F83" s="159"/>
      <c r="G83" s="159"/>
      <c r="H83" s="159"/>
      <c r="I83" s="160"/>
      <c r="J83" s="159"/>
      <c r="K83" s="159"/>
      <c r="L83" s="159"/>
      <c r="M83" s="159"/>
      <c r="N83" s="159"/>
      <c r="O83" s="159"/>
      <c r="P83" s="159"/>
      <c r="Q83" s="159"/>
      <c r="R83" s="159"/>
    </row>
    <row r="84" spans="1:18" ht="15.75" customHeight="1" x14ac:dyDescent="0.25">
      <c r="A84" s="159"/>
      <c r="B84" s="160"/>
      <c r="C84" s="159"/>
      <c r="D84" s="159"/>
      <c r="E84" s="159"/>
      <c r="F84" s="159"/>
      <c r="G84" s="159"/>
      <c r="H84" s="159"/>
      <c r="I84" s="160"/>
      <c r="J84" s="159"/>
      <c r="K84" s="159"/>
      <c r="L84" s="159"/>
      <c r="M84" s="159"/>
      <c r="N84" s="159"/>
      <c r="O84" s="159"/>
      <c r="P84" s="159"/>
      <c r="Q84" s="159"/>
      <c r="R84" s="159"/>
    </row>
    <row r="85" spans="1:18" ht="15.75" customHeight="1" x14ac:dyDescent="0.25">
      <c r="A85" s="159"/>
      <c r="B85" s="160"/>
      <c r="C85" s="159"/>
      <c r="D85" s="159"/>
      <c r="E85" s="159"/>
      <c r="F85" s="159"/>
      <c r="G85" s="159"/>
      <c r="H85" s="159"/>
      <c r="I85" s="160"/>
      <c r="J85" s="159"/>
      <c r="K85" s="159"/>
      <c r="L85" s="159"/>
      <c r="M85" s="159"/>
      <c r="N85" s="159"/>
      <c r="O85" s="159"/>
      <c r="P85" s="159"/>
      <c r="Q85" s="159"/>
      <c r="R85" s="159"/>
    </row>
    <row r="86" spans="1:18" ht="15.75" customHeight="1" x14ac:dyDescent="0.25">
      <c r="A86" s="159"/>
      <c r="B86" s="160"/>
      <c r="C86" s="159"/>
      <c r="D86" s="159"/>
      <c r="E86" s="159"/>
      <c r="F86" s="159"/>
      <c r="G86" s="159"/>
      <c r="H86" s="159"/>
      <c r="I86" s="160"/>
      <c r="J86" s="159"/>
      <c r="K86" s="159"/>
      <c r="L86" s="159"/>
      <c r="M86" s="159"/>
      <c r="N86" s="159"/>
      <c r="O86" s="159"/>
      <c r="P86" s="159"/>
      <c r="Q86" s="159"/>
      <c r="R86" s="159"/>
    </row>
    <row r="87" spans="1:18" ht="15.75" customHeight="1" x14ac:dyDescent="0.25">
      <c r="A87" s="159"/>
      <c r="B87" s="160"/>
      <c r="C87" s="159"/>
      <c r="D87" s="159"/>
      <c r="E87" s="159"/>
      <c r="F87" s="159"/>
      <c r="G87" s="159"/>
      <c r="H87" s="159"/>
      <c r="I87" s="160"/>
      <c r="J87" s="159"/>
      <c r="K87" s="159"/>
      <c r="L87" s="159"/>
      <c r="M87" s="159"/>
      <c r="N87" s="159"/>
      <c r="O87" s="159"/>
      <c r="P87" s="159"/>
      <c r="Q87" s="159"/>
      <c r="R87" s="159"/>
    </row>
    <row r="88" spans="1:18" ht="15.75" customHeight="1" x14ac:dyDescent="0.25">
      <c r="A88" s="159"/>
      <c r="B88" s="160"/>
      <c r="C88" s="159"/>
      <c r="D88" s="159"/>
      <c r="E88" s="159"/>
      <c r="F88" s="159"/>
      <c r="G88" s="159"/>
      <c r="H88" s="159"/>
      <c r="I88" s="160"/>
      <c r="J88" s="159"/>
      <c r="K88" s="159"/>
      <c r="L88" s="159"/>
      <c r="M88" s="159"/>
      <c r="N88" s="159"/>
      <c r="O88" s="159"/>
      <c r="P88" s="159"/>
      <c r="Q88" s="159"/>
      <c r="R88" s="159"/>
    </row>
    <row r="89" spans="1:18" ht="15.75" customHeight="1" x14ac:dyDescent="0.25">
      <c r="A89" s="159"/>
      <c r="B89" s="160"/>
      <c r="C89" s="159"/>
      <c r="D89" s="159"/>
      <c r="E89" s="159"/>
      <c r="F89" s="159"/>
      <c r="G89" s="159"/>
      <c r="H89" s="159"/>
      <c r="I89" s="160"/>
      <c r="J89" s="159"/>
      <c r="K89" s="159"/>
      <c r="L89" s="159"/>
      <c r="M89" s="159"/>
      <c r="N89" s="159"/>
      <c r="O89" s="159"/>
      <c r="P89" s="159"/>
      <c r="Q89" s="159"/>
      <c r="R89" s="159"/>
    </row>
    <row r="90" spans="1:18" ht="15.75" customHeight="1" x14ac:dyDescent="0.25">
      <c r="A90" s="159"/>
      <c r="B90" s="160"/>
      <c r="C90" s="159"/>
      <c r="D90" s="159"/>
      <c r="E90" s="159"/>
      <c r="F90" s="159"/>
      <c r="G90" s="159"/>
      <c r="H90" s="159"/>
      <c r="I90" s="160"/>
      <c r="J90" s="159"/>
      <c r="K90" s="159"/>
      <c r="L90" s="159"/>
      <c r="M90" s="159"/>
      <c r="N90" s="159"/>
      <c r="O90" s="159"/>
      <c r="P90" s="159"/>
      <c r="Q90" s="159"/>
      <c r="R90" s="159"/>
    </row>
    <row r="91" spans="1:18" ht="15.75" customHeight="1" x14ac:dyDescent="0.25">
      <c r="A91" s="159"/>
      <c r="B91" s="160"/>
      <c r="C91" s="159"/>
      <c r="D91" s="159"/>
      <c r="E91" s="159"/>
      <c r="F91" s="159"/>
      <c r="G91" s="159"/>
      <c r="H91" s="159"/>
      <c r="I91" s="160"/>
      <c r="J91" s="159"/>
      <c r="K91" s="159"/>
      <c r="L91" s="159"/>
      <c r="M91" s="159"/>
      <c r="N91" s="159"/>
      <c r="O91" s="159"/>
      <c r="P91" s="159"/>
      <c r="Q91" s="159"/>
      <c r="R91" s="159"/>
    </row>
    <row r="92" spans="1:18" ht="15.75" customHeight="1" x14ac:dyDescent="0.25">
      <c r="A92" s="159"/>
      <c r="B92" s="160"/>
      <c r="C92" s="159"/>
      <c r="D92" s="159"/>
      <c r="E92" s="159"/>
      <c r="F92" s="159"/>
      <c r="G92" s="159"/>
      <c r="H92" s="159"/>
      <c r="I92" s="160"/>
      <c r="J92" s="159"/>
      <c r="K92" s="159"/>
      <c r="L92" s="159"/>
      <c r="M92" s="159"/>
      <c r="N92" s="159"/>
      <c r="O92" s="159"/>
      <c r="P92" s="159"/>
      <c r="Q92" s="159"/>
      <c r="R92" s="159"/>
    </row>
    <row r="93" spans="1:18" ht="15.75" customHeight="1" x14ac:dyDescent="0.25">
      <c r="A93" s="159"/>
      <c r="B93" s="160"/>
      <c r="C93" s="159"/>
      <c r="D93" s="159"/>
      <c r="E93" s="159"/>
      <c r="F93" s="159"/>
      <c r="G93" s="159"/>
      <c r="H93" s="159"/>
      <c r="I93" s="160"/>
      <c r="J93" s="159"/>
      <c r="K93" s="159"/>
      <c r="L93" s="159"/>
      <c r="M93" s="159"/>
      <c r="N93" s="159"/>
      <c r="O93" s="159"/>
      <c r="P93" s="159"/>
      <c r="Q93" s="159"/>
      <c r="R93" s="159"/>
    </row>
    <row r="94" spans="1:18" ht="15.75" customHeight="1" x14ac:dyDescent="0.25">
      <c r="A94" s="159"/>
      <c r="B94" s="160"/>
      <c r="C94" s="159"/>
      <c r="D94" s="159"/>
      <c r="E94" s="159"/>
      <c r="F94" s="159"/>
      <c r="G94" s="159"/>
      <c r="H94" s="159"/>
      <c r="I94" s="160"/>
      <c r="J94" s="159"/>
      <c r="K94" s="159"/>
      <c r="L94" s="159"/>
      <c r="M94" s="159"/>
      <c r="N94" s="159"/>
      <c r="O94" s="159"/>
      <c r="P94" s="159"/>
      <c r="Q94" s="159"/>
      <c r="R94" s="159"/>
    </row>
    <row r="95" spans="1:18" ht="15.75" customHeight="1" x14ac:dyDescent="0.25">
      <c r="A95" s="159"/>
      <c r="B95" s="160"/>
      <c r="C95" s="159"/>
      <c r="D95" s="159"/>
      <c r="E95" s="159"/>
      <c r="F95" s="159"/>
      <c r="G95" s="159"/>
      <c r="H95" s="159"/>
      <c r="I95" s="160"/>
      <c r="J95" s="159"/>
      <c r="K95" s="159"/>
      <c r="L95" s="159"/>
      <c r="M95" s="159"/>
      <c r="N95" s="159"/>
      <c r="O95" s="159"/>
      <c r="P95" s="159"/>
      <c r="Q95" s="159"/>
      <c r="R95" s="159"/>
    </row>
    <row r="96" spans="1:18" ht="15.75" customHeight="1" x14ac:dyDescent="0.25">
      <c r="A96" s="159"/>
      <c r="B96" s="160"/>
      <c r="C96" s="159"/>
      <c r="D96" s="159"/>
      <c r="E96" s="159"/>
      <c r="F96" s="159"/>
      <c r="G96" s="159"/>
      <c r="H96" s="159"/>
      <c r="I96" s="160"/>
      <c r="J96" s="159"/>
      <c r="K96" s="159"/>
      <c r="L96" s="159"/>
      <c r="M96" s="159"/>
      <c r="N96" s="159"/>
      <c r="O96" s="159"/>
      <c r="P96" s="159"/>
      <c r="Q96" s="159"/>
      <c r="R96" s="159"/>
    </row>
    <row r="97" spans="1:18" ht="15.75" customHeight="1" x14ac:dyDescent="0.25">
      <c r="A97" s="159"/>
      <c r="B97" s="160"/>
      <c r="C97" s="159"/>
      <c r="D97" s="159"/>
      <c r="E97" s="159"/>
      <c r="F97" s="159"/>
      <c r="G97" s="159"/>
      <c r="H97" s="159"/>
      <c r="I97" s="160"/>
      <c r="J97" s="159"/>
      <c r="K97" s="159"/>
      <c r="L97" s="159"/>
      <c r="M97" s="159"/>
      <c r="N97" s="159"/>
      <c r="O97" s="159"/>
      <c r="P97" s="159"/>
      <c r="Q97" s="159"/>
      <c r="R97" s="159"/>
    </row>
    <row r="98" spans="1:18" ht="15.75" customHeight="1" x14ac:dyDescent="0.25">
      <c r="A98" s="159"/>
      <c r="B98" s="160"/>
      <c r="C98" s="159"/>
      <c r="D98" s="159"/>
      <c r="E98" s="159"/>
      <c r="F98" s="159"/>
      <c r="G98" s="159"/>
      <c r="H98" s="159"/>
      <c r="I98" s="160"/>
      <c r="J98" s="159"/>
      <c r="K98" s="159"/>
      <c r="L98" s="159"/>
      <c r="M98" s="159"/>
      <c r="N98" s="159"/>
      <c r="O98" s="159"/>
      <c r="P98" s="159"/>
      <c r="Q98" s="159"/>
      <c r="R98" s="159"/>
    </row>
    <row r="99" spans="1:18" ht="15.75" customHeight="1" x14ac:dyDescent="0.25">
      <c r="A99" s="159"/>
      <c r="B99" s="160"/>
      <c r="C99" s="159"/>
      <c r="D99" s="159"/>
      <c r="E99" s="159"/>
      <c r="F99" s="159"/>
      <c r="G99" s="159"/>
      <c r="H99" s="159"/>
      <c r="I99" s="160"/>
      <c r="J99" s="159"/>
      <c r="K99" s="159"/>
      <c r="L99" s="159"/>
      <c r="M99" s="159"/>
      <c r="N99" s="159"/>
      <c r="O99" s="159"/>
      <c r="P99" s="159"/>
      <c r="Q99" s="159"/>
      <c r="R99" s="159"/>
    </row>
    <row r="100" spans="1:18" ht="15.75" customHeight="1" x14ac:dyDescent="0.25">
      <c r="A100" s="159"/>
      <c r="B100" s="160"/>
      <c r="C100" s="159"/>
      <c r="D100" s="159"/>
      <c r="E100" s="159"/>
      <c r="F100" s="159"/>
      <c r="G100" s="159"/>
      <c r="H100" s="159"/>
      <c r="I100" s="160"/>
      <c r="J100" s="159"/>
      <c r="K100" s="159"/>
      <c r="L100" s="159"/>
      <c r="M100" s="159"/>
      <c r="N100" s="159"/>
      <c r="O100" s="159"/>
      <c r="P100" s="159"/>
      <c r="Q100" s="159"/>
      <c r="R100" s="159"/>
    </row>
    <row r="101" spans="1:18" ht="15.75" customHeight="1" x14ac:dyDescent="0.25">
      <c r="A101" s="159"/>
      <c r="B101" s="160"/>
      <c r="C101" s="159"/>
      <c r="D101" s="159"/>
      <c r="E101" s="159"/>
      <c r="F101" s="159"/>
      <c r="G101" s="159"/>
      <c r="H101" s="159"/>
      <c r="I101" s="160"/>
      <c r="J101" s="159"/>
      <c r="K101" s="159"/>
      <c r="L101" s="159"/>
      <c r="M101" s="159"/>
      <c r="N101" s="159"/>
      <c r="O101" s="159"/>
      <c r="P101" s="159"/>
      <c r="Q101" s="159"/>
      <c r="R101" s="159"/>
    </row>
    <row r="102" spans="1:18" ht="15.75" customHeight="1" x14ac:dyDescent="0.25">
      <c r="A102" s="159"/>
      <c r="B102" s="160"/>
      <c r="C102" s="159"/>
      <c r="D102" s="159"/>
      <c r="E102" s="159"/>
      <c r="F102" s="159"/>
      <c r="G102" s="159"/>
      <c r="H102" s="159"/>
      <c r="I102" s="160"/>
      <c r="J102" s="159"/>
      <c r="K102" s="159"/>
      <c r="L102" s="159"/>
      <c r="M102" s="159"/>
      <c r="N102" s="159"/>
      <c r="O102" s="159"/>
      <c r="P102" s="159"/>
      <c r="Q102" s="159"/>
      <c r="R102" s="159"/>
    </row>
    <row r="103" spans="1:18" ht="15.75" customHeight="1" x14ac:dyDescent="0.25">
      <c r="A103" s="159"/>
      <c r="B103" s="160"/>
      <c r="C103" s="159"/>
      <c r="D103" s="159"/>
      <c r="E103" s="159"/>
      <c r="F103" s="159"/>
      <c r="G103" s="159"/>
      <c r="H103" s="159"/>
      <c r="I103" s="160"/>
      <c r="J103" s="159"/>
      <c r="K103" s="159"/>
      <c r="L103" s="159"/>
      <c r="M103" s="159"/>
      <c r="N103" s="159"/>
      <c r="O103" s="159"/>
      <c r="P103" s="159"/>
      <c r="Q103" s="159"/>
      <c r="R103" s="159"/>
    </row>
    <row r="104" spans="1:18" ht="15.75" customHeight="1" x14ac:dyDescent="0.25">
      <c r="A104" s="159"/>
      <c r="B104" s="160"/>
      <c r="C104" s="159"/>
      <c r="D104" s="159"/>
      <c r="E104" s="159"/>
      <c r="F104" s="159"/>
      <c r="G104" s="159"/>
      <c r="H104" s="159"/>
      <c r="I104" s="160"/>
      <c r="J104" s="159"/>
      <c r="K104" s="159"/>
      <c r="L104" s="159"/>
      <c r="M104" s="159"/>
      <c r="N104" s="159"/>
      <c r="O104" s="159"/>
      <c r="P104" s="159"/>
      <c r="Q104" s="159"/>
      <c r="R104" s="159"/>
    </row>
    <row r="105" spans="1:18" ht="15.75" customHeight="1" x14ac:dyDescent="0.25">
      <c r="A105" s="159"/>
      <c r="B105" s="160"/>
      <c r="C105" s="159"/>
      <c r="D105" s="159"/>
      <c r="E105" s="159"/>
      <c r="F105" s="159"/>
      <c r="G105" s="159"/>
      <c r="H105" s="159"/>
      <c r="I105" s="160"/>
      <c r="J105" s="159"/>
      <c r="K105" s="159"/>
      <c r="L105" s="159"/>
      <c r="M105" s="159"/>
      <c r="N105" s="159"/>
      <c r="O105" s="159"/>
      <c r="P105" s="159"/>
      <c r="Q105" s="159"/>
      <c r="R105" s="159"/>
    </row>
    <row r="106" spans="1:18" ht="15.75" customHeight="1" x14ac:dyDescent="0.25">
      <c r="A106" s="159"/>
      <c r="B106" s="160"/>
      <c r="C106" s="159"/>
      <c r="D106" s="159"/>
      <c r="E106" s="159"/>
      <c r="F106" s="159"/>
      <c r="G106" s="159"/>
      <c r="H106" s="159"/>
      <c r="I106" s="160"/>
      <c r="J106" s="159"/>
      <c r="K106" s="159"/>
      <c r="L106" s="159"/>
      <c r="M106" s="159"/>
      <c r="N106" s="159"/>
      <c r="O106" s="159"/>
      <c r="P106" s="159"/>
      <c r="Q106" s="159"/>
      <c r="R106" s="159"/>
    </row>
    <row r="107" spans="1:18" ht="15.75" customHeight="1" x14ac:dyDescent="0.25">
      <c r="A107" s="159"/>
      <c r="B107" s="160"/>
      <c r="C107" s="159"/>
      <c r="D107" s="159"/>
      <c r="E107" s="159"/>
      <c r="F107" s="159"/>
      <c r="G107" s="159"/>
      <c r="H107" s="159"/>
      <c r="I107" s="160"/>
      <c r="J107" s="159"/>
      <c r="K107" s="159"/>
      <c r="L107" s="159"/>
      <c r="M107" s="159"/>
      <c r="N107" s="159"/>
      <c r="O107" s="159"/>
      <c r="P107" s="159"/>
      <c r="Q107" s="159"/>
      <c r="R107" s="159"/>
    </row>
    <row r="108" spans="1:18" ht="15.75" customHeight="1" x14ac:dyDescent="0.25">
      <c r="A108" s="159"/>
      <c r="B108" s="160"/>
      <c r="C108" s="159"/>
      <c r="D108" s="159"/>
      <c r="E108" s="159"/>
      <c r="F108" s="159"/>
      <c r="G108" s="159"/>
      <c r="H108" s="159"/>
      <c r="I108" s="160"/>
      <c r="J108" s="159"/>
      <c r="K108" s="159"/>
      <c r="L108" s="159"/>
      <c r="M108" s="159"/>
      <c r="N108" s="159"/>
      <c r="O108" s="159"/>
      <c r="P108" s="159"/>
      <c r="Q108" s="159"/>
      <c r="R108" s="159"/>
    </row>
    <row r="109" spans="1:18" ht="15.75" customHeight="1" x14ac:dyDescent="0.25">
      <c r="A109" s="159"/>
      <c r="B109" s="160"/>
      <c r="C109" s="159"/>
      <c r="D109" s="159"/>
      <c r="E109" s="159"/>
      <c r="F109" s="159"/>
      <c r="G109" s="159"/>
      <c r="H109" s="159"/>
      <c r="I109" s="160"/>
      <c r="J109" s="159"/>
      <c r="K109" s="159"/>
      <c r="L109" s="159"/>
      <c r="M109" s="159"/>
      <c r="N109" s="159"/>
      <c r="O109" s="159"/>
      <c r="P109" s="159"/>
      <c r="Q109" s="159"/>
      <c r="R109" s="159"/>
    </row>
    <row r="110" spans="1:18" ht="15.75" customHeight="1" x14ac:dyDescent="0.25">
      <c r="A110" s="159"/>
      <c r="B110" s="160"/>
      <c r="C110" s="159"/>
      <c r="D110" s="159"/>
      <c r="E110" s="159"/>
      <c r="F110" s="159"/>
      <c r="G110" s="159"/>
      <c r="H110" s="159"/>
      <c r="I110" s="160"/>
      <c r="J110" s="159"/>
      <c r="K110" s="159"/>
      <c r="L110" s="159"/>
      <c r="M110" s="159"/>
      <c r="N110" s="159"/>
      <c r="O110" s="159"/>
      <c r="P110" s="159"/>
      <c r="Q110" s="159"/>
      <c r="R110" s="159"/>
    </row>
    <row r="111" spans="1:18" ht="15.75" customHeight="1" x14ac:dyDescent="0.25">
      <c r="A111" s="159"/>
      <c r="B111" s="160"/>
      <c r="C111" s="159"/>
      <c r="D111" s="159"/>
      <c r="E111" s="159"/>
      <c r="F111" s="159"/>
      <c r="G111" s="159"/>
      <c r="H111" s="159"/>
      <c r="I111" s="160"/>
      <c r="J111" s="159"/>
      <c r="K111" s="159"/>
      <c r="L111" s="159"/>
      <c r="M111" s="159"/>
      <c r="N111" s="159"/>
      <c r="O111" s="159"/>
      <c r="P111" s="159"/>
      <c r="Q111" s="159"/>
      <c r="R111" s="159"/>
    </row>
    <row r="112" spans="1:18" ht="15.75" customHeight="1" x14ac:dyDescent="0.25">
      <c r="A112" s="159"/>
      <c r="B112" s="160"/>
      <c r="C112" s="159"/>
      <c r="D112" s="159"/>
      <c r="E112" s="159"/>
      <c r="F112" s="159"/>
      <c r="G112" s="159"/>
      <c r="H112" s="159"/>
      <c r="I112" s="160"/>
      <c r="J112" s="159"/>
      <c r="K112" s="159"/>
      <c r="L112" s="159"/>
      <c r="M112" s="159"/>
      <c r="N112" s="159"/>
      <c r="O112" s="159"/>
      <c r="P112" s="159"/>
      <c r="Q112" s="159"/>
      <c r="R112" s="159"/>
    </row>
    <row r="113" spans="1:18" ht="15.75" customHeight="1" x14ac:dyDescent="0.25">
      <c r="A113" s="159"/>
      <c r="B113" s="160"/>
      <c r="C113" s="159"/>
      <c r="D113" s="159"/>
      <c r="E113" s="159"/>
      <c r="F113" s="159"/>
      <c r="G113" s="159"/>
      <c r="H113" s="159"/>
      <c r="I113" s="160"/>
      <c r="J113" s="159"/>
      <c r="K113" s="159"/>
      <c r="L113" s="159"/>
      <c r="M113" s="159"/>
      <c r="N113" s="159"/>
      <c r="O113" s="159"/>
      <c r="P113" s="159"/>
      <c r="Q113" s="159"/>
      <c r="R113" s="159"/>
    </row>
    <row r="114" spans="1:18" ht="15.75" customHeight="1" x14ac:dyDescent="0.25">
      <c r="A114" s="159"/>
      <c r="B114" s="160"/>
      <c r="C114" s="159"/>
      <c r="D114" s="159"/>
      <c r="E114" s="159"/>
      <c r="F114" s="159"/>
      <c r="G114" s="159"/>
      <c r="H114" s="159"/>
      <c r="I114" s="160"/>
      <c r="J114" s="159"/>
      <c r="K114" s="159"/>
      <c r="L114" s="159"/>
      <c r="M114" s="159"/>
      <c r="N114" s="159"/>
      <c r="O114" s="159"/>
      <c r="P114" s="159"/>
      <c r="Q114" s="159"/>
      <c r="R114" s="159"/>
    </row>
    <row r="115" spans="1:18" ht="15.75" customHeight="1" x14ac:dyDescent="0.25">
      <c r="A115" s="159"/>
      <c r="B115" s="160"/>
      <c r="C115" s="159"/>
      <c r="D115" s="159"/>
      <c r="E115" s="159"/>
      <c r="F115" s="159"/>
      <c r="G115" s="159"/>
      <c r="H115" s="159"/>
      <c r="I115" s="160"/>
      <c r="J115" s="159"/>
      <c r="K115" s="159"/>
      <c r="L115" s="159"/>
      <c r="M115" s="159"/>
      <c r="N115" s="159"/>
      <c r="O115" s="159"/>
      <c r="P115" s="159"/>
      <c r="Q115" s="159"/>
      <c r="R115" s="159"/>
    </row>
    <row r="116" spans="1:18" ht="15.75" customHeight="1" x14ac:dyDescent="0.25">
      <c r="A116" s="159"/>
      <c r="B116" s="160"/>
      <c r="C116" s="159"/>
      <c r="D116" s="159"/>
      <c r="E116" s="159"/>
      <c r="F116" s="159"/>
      <c r="G116" s="159"/>
      <c r="H116" s="159"/>
      <c r="I116" s="160"/>
      <c r="J116" s="159"/>
      <c r="K116" s="159"/>
      <c r="L116" s="159"/>
      <c r="M116" s="159"/>
      <c r="N116" s="159"/>
      <c r="O116" s="159"/>
      <c r="P116" s="159"/>
      <c r="Q116" s="159"/>
      <c r="R116" s="159"/>
    </row>
    <row r="117" spans="1:18" ht="15.75" customHeight="1" x14ac:dyDescent="0.25">
      <c r="A117" s="159"/>
      <c r="B117" s="160"/>
      <c r="C117" s="159"/>
      <c r="D117" s="159"/>
      <c r="E117" s="159"/>
      <c r="F117" s="159"/>
      <c r="G117" s="159"/>
      <c r="H117" s="159"/>
      <c r="I117" s="160"/>
      <c r="J117" s="159"/>
      <c r="K117" s="159"/>
      <c r="L117" s="159"/>
      <c r="M117" s="159"/>
      <c r="N117" s="159"/>
      <c r="O117" s="159"/>
      <c r="P117" s="159"/>
      <c r="Q117" s="159"/>
      <c r="R117" s="159"/>
    </row>
    <row r="118" spans="1:18" ht="15.75" customHeight="1" x14ac:dyDescent="0.25">
      <c r="A118" s="159"/>
      <c r="B118" s="160"/>
      <c r="C118" s="159"/>
      <c r="D118" s="159"/>
      <c r="E118" s="159"/>
      <c r="F118" s="159"/>
      <c r="G118" s="159"/>
      <c r="H118" s="159"/>
      <c r="I118" s="160"/>
      <c r="J118" s="159"/>
      <c r="K118" s="159"/>
      <c r="L118" s="159"/>
      <c r="M118" s="159"/>
      <c r="N118" s="159"/>
      <c r="O118" s="159"/>
      <c r="P118" s="159"/>
      <c r="Q118" s="159"/>
      <c r="R118" s="159"/>
    </row>
    <row r="119" spans="1:18" ht="15.75" customHeight="1" x14ac:dyDescent="0.25">
      <c r="A119" s="159"/>
      <c r="B119" s="160"/>
      <c r="C119" s="159"/>
      <c r="D119" s="159"/>
      <c r="E119" s="159"/>
      <c r="F119" s="159"/>
      <c r="G119" s="159"/>
      <c r="H119" s="159"/>
      <c r="I119" s="160"/>
      <c r="J119" s="159"/>
      <c r="K119" s="159"/>
      <c r="L119" s="159"/>
      <c r="M119" s="159"/>
      <c r="N119" s="159"/>
      <c r="O119" s="159"/>
      <c r="P119" s="159"/>
      <c r="Q119" s="159"/>
      <c r="R119" s="159"/>
    </row>
    <row r="120" spans="1:18" ht="15.75" customHeight="1" x14ac:dyDescent="0.25">
      <c r="A120" s="159"/>
      <c r="B120" s="160"/>
      <c r="C120" s="159"/>
      <c r="D120" s="159"/>
      <c r="E120" s="159"/>
      <c r="F120" s="159"/>
      <c r="G120" s="159"/>
      <c r="H120" s="159"/>
      <c r="I120" s="160"/>
      <c r="J120" s="159"/>
      <c r="K120" s="159"/>
      <c r="L120" s="159"/>
      <c r="M120" s="159"/>
      <c r="N120" s="159"/>
      <c r="O120" s="159"/>
      <c r="P120" s="159"/>
      <c r="Q120" s="159"/>
      <c r="R120" s="159"/>
    </row>
    <row r="121" spans="1:18" ht="15.75" customHeight="1" x14ac:dyDescent="0.25">
      <c r="A121" s="159"/>
      <c r="B121" s="160"/>
      <c r="C121" s="159"/>
      <c r="D121" s="159"/>
      <c r="E121" s="159"/>
      <c r="F121" s="159"/>
      <c r="G121" s="159"/>
      <c r="H121" s="159"/>
      <c r="I121" s="160"/>
      <c r="J121" s="159"/>
      <c r="K121" s="159"/>
      <c r="L121" s="159"/>
      <c r="M121" s="159"/>
      <c r="N121" s="159"/>
      <c r="O121" s="159"/>
      <c r="P121" s="159"/>
      <c r="Q121" s="159"/>
      <c r="R121" s="159"/>
    </row>
    <row r="122" spans="1:18" ht="15.75" customHeight="1" x14ac:dyDescent="0.25">
      <c r="A122" s="159"/>
      <c r="B122" s="160"/>
      <c r="C122" s="159"/>
      <c r="D122" s="159"/>
      <c r="E122" s="159"/>
      <c r="F122" s="159"/>
      <c r="G122" s="159"/>
      <c r="H122" s="159"/>
      <c r="I122" s="160"/>
      <c r="J122" s="159"/>
      <c r="K122" s="159"/>
      <c r="L122" s="159"/>
      <c r="M122" s="159"/>
      <c r="N122" s="159"/>
      <c r="O122" s="159"/>
      <c r="P122" s="159"/>
      <c r="Q122" s="159"/>
      <c r="R122" s="159"/>
    </row>
    <row r="123" spans="1:18" ht="15.75" customHeight="1" x14ac:dyDescent="0.25">
      <c r="A123" s="159"/>
      <c r="B123" s="160"/>
      <c r="C123" s="159"/>
      <c r="D123" s="159"/>
      <c r="E123" s="159"/>
      <c r="F123" s="159"/>
      <c r="G123" s="159"/>
      <c r="H123" s="159"/>
      <c r="I123" s="160"/>
      <c r="J123" s="159"/>
      <c r="K123" s="159"/>
      <c r="L123" s="159"/>
      <c r="M123" s="159"/>
      <c r="N123" s="159"/>
      <c r="O123" s="159"/>
      <c r="P123" s="159"/>
      <c r="Q123" s="159"/>
      <c r="R123" s="159"/>
    </row>
    <row r="124" spans="1:18" ht="15.75" customHeight="1" x14ac:dyDescent="0.25">
      <c r="A124" s="159"/>
      <c r="B124" s="160"/>
      <c r="C124" s="159"/>
      <c r="D124" s="159"/>
      <c r="E124" s="159"/>
      <c r="F124" s="159"/>
      <c r="G124" s="159"/>
      <c r="H124" s="159"/>
      <c r="I124" s="160"/>
      <c r="J124" s="159"/>
      <c r="K124" s="159"/>
      <c r="L124" s="159"/>
      <c r="M124" s="159"/>
      <c r="N124" s="159"/>
      <c r="O124" s="159"/>
      <c r="P124" s="159"/>
      <c r="Q124" s="159"/>
      <c r="R124" s="159"/>
    </row>
    <row r="125" spans="1:18" ht="15.75" customHeight="1" x14ac:dyDescent="0.25">
      <c r="A125" s="159"/>
      <c r="B125" s="160"/>
      <c r="C125" s="159"/>
      <c r="D125" s="159"/>
      <c r="E125" s="159"/>
      <c r="F125" s="159"/>
      <c r="G125" s="159"/>
      <c r="H125" s="159"/>
      <c r="I125" s="160"/>
      <c r="J125" s="159"/>
      <c r="K125" s="159"/>
      <c r="L125" s="159"/>
      <c r="M125" s="159"/>
      <c r="N125" s="159"/>
      <c r="O125" s="159"/>
      <c r="P125" s="159"/>
      <c r="Q125" s="159"/>
      <c r="R125" s="159"/>
    </row>
    <row r="126" spans="1:18" ht="15.75" customHeight="1" x14ac:dyDescent="0.25">
      <c r="A126" s="159"/>
      <c r="B126" s="160"/>
      <c r="C126" s="159"/>
      <c r="D126" s="159"/>
      <c r="E126" s="159"/>
      <c r="F126" s="159"/>
      <c r="G126" s="159"/>
      <c r="H126" s="159"/>
      <c r="I126" s="160"/>
      <c r="J126" s="159"/>
      <c r="K126" s="159"/>
      <c r="L126" s="159"/>
      <c r="M126" s="159"/>
      <c r="N126" s="159"/>
      <c r="O126" s="159"/>
      <c r="P126" s="159"/>
      <c r="Q126" s="159"/>
      <c r="R126" s="159"/>
    </row>
    <row r="127" spans="1:18" ht="15.75" customHeight="1" x14ac:dyDescent="0.25">
      <c r="A127" s="159"/>
      <c r="B127" s="160"/>
      <c r="C127" s="159"/>
      <c r="D127" s="159"/>
      <c r="E127" s="159"/>
      <c r="F127" s="159"/>
      <c r="G127" s="159"/>
      <c r="H127" s="159"/>
      <c r="I127" s="160"/>
      <c r="J127" s="159"/>
      <c r="K127" s="159"/>
      <c r="L127" s="159"/>
      <c r="M127" s="159"/>
      <c r="N127" s="159"/>
      <c r="O127" s="159"/>
      <c r="P127" s="159"/>
      <c r="Q127" s="159"/>
      <c r="R127" s="159"/>
    </row>
    <row r="128" spans="1:18" ht="15.75" customHeight="1" x14ac:dyDescent="0.25">
      <c r="A128" s="159"/>
      <c r="B128" s="160"/>
      <c r="C128" s="159"/>
      <c r="D128" s="159"/>
      <c r="E128" s="159"/>
      <c r="F128" s="159"/>
      <c r="G128" s="159"/>
      <c r="H128" s="159"/>
      <c r="I128" s="160"/>
      <c r="J128" s="159"/>
      <c r="K128" s="159"/>
      <c r="L128" s="159"/>
      <c r="M128" s="159"/>
      <c r="N128" s="159"/>
      <c r="O128" s="159"/>
      <c r="P128" s="159"/>
      <c r="Q128" s="159"/>
      <c r="R128" s="159"/>
    </row>
    <row r="129" spans="1:18" ht="15.75" customHeight="1" x14ac:dyDescent="0.25">
      <c r="A129" s="159"/>
      <c r="B129" s="160"/>
      <c r="C129" s="159"/>
      <c r="D129" s="159"/>
      <c r="E129" s="159"/>
      <c r="F129" s="159"/>
      <c r="G129" s="159"/>
      <c r="H129" s="159"/>
      <c r="I129" s="160"/>
      <c r="J129" s="159"/>
      <c r="K129" s="159"/>
      <c r="L129" s="159"/>
      <c r="M129" s="159"/>
      <c r="N129" s="159"/>
      <c r="O129" s="159"/>
      <c r="P129" s="159"/>
      <c r="Q129" s="159"/>
      <c r="R129" s="159"/>
    </row>
    <row r="130" spans="1:18" ht="15.75" customHeight="1" x14ac:dyDescent="0.25">
      <c r="A130" s="159"/>
      <c r="B130" s="160"/>
      <c r="C130" s="159"/>
      <c r="D130" s="159"/>
      <c r="E130" s="159"/>
      <c r="F130" s="159"/>
      <c r="G130" s="159"/>
      <c r="H130" s="159"/>
      <c r="I130" s="160"/>
      <c r="J130" s="159"/>
      <c r="K130" s="159"/>
      <c r="L130" s="159"/>
      <c r="M130" s="159"/>
      <c r="N130" s="159"/>
      <c r="O130" s="159"/>
      <c r="P130" s="159"/>
      <c r="Q130" s="159"/>
      <c r="R130" s="159"/>
    </row>
    <row r="131" spans="1:18" ht="15.75" customHeight="1" x14ac:dyDescent="0.25">
      <c r="A131" s="159"/>
      <c r="B131" s="160"/>
      <c r="C131" s="159"/>
      <c r="D131" s="159"/>
      <c r="E131" s="159"/>
      <c r="F131" s="159"/>
      <c r="G131" s="159"/>
      <c r="H131" s="159"/>
      <c r="I131" s="160"/>
      <c r="J131" s="159"/>
      <c r="K131" s="159"/>
      <c r="L131" s="159"/>
      <c r="M131" s="159"/>
      <c r="N131" s="159"/>
      <c r="O131" s="159"/>
      <c r="P131" s="159"/>
      <c r="Q131" s="159"/>
      <c r="R131" s="159"/>
    </row>
    <row r="132" spans="1:18" ht="15.75" customHeight="1" x14ac:dyDescent="0.25">
      <c r="A132" s="159"/>
      <c r="B132" s="160"/>
      <c r="C132" s="159"/>
      <c r="D132" s="159"/>
      <c r="E132" s="159"/>
      <c r="F132" s="159"/>
      <c r="G132" s="159"/>
      <c r="H132" s="159"/>
      <c r="I132" s="160"/>
      <c r="J132" s="159"/>
      <c r="K132" s="159"/>
      <c r="L132" s="159"/>
      <c r="M132" s="159"/>
      <c r="N132" s="159"/>
      <c r="O132" s="159"/>
      <c r="P132" s="159"/>
      <c r="Q132" s="159"/>
      <c r="R132" s="159"/>
    </row>
    <row r="133" spans="1:18" ht="15.75" customHeight="1" x14ac:dyDescent="0.25">
      <c r="A133" s="159"/>
      <c r="B133" s="160"/>
      <c r="C133" s="159"/>
      <c r="D133" s="159"/>
      <c r="E133" s="159"/>
      <c r="F133" s="159"/>
      <c r="G133" s="159"/>
      <c r="H133" s="159"/>
      <c r="I133" s="160"/>
      <c r="J133" s="159"/>
      <c r="K133" s="159"/>
      <c r="L133" s="159"/>
      <c r="M133" s="159"/>
      <c r="N133" s="159"/>
      <c r="O133" s="159"/>
      <c r="P133" s="159"/>
      <c r="Q133" s="159"/>
      <c r="R133" s="159"/>
    </row>
    <row r="134" spans="1:18" ht="15.75" customHeight="1" x14ac:dyDescent="0.25">
      <c r="A134" s="159"/>
      <c r="B134" s="160"/>
      <c r="C134" s="159"/>
      <c r="D134" s="159"/>
      <c r="E134" s="159"/>
      <c r="F134" s="159"/>
      <c r="G134" s="159"/>
      <c r="H134" s="159"/>
      <c r="I134" s="160"/>
      <c r="J134" s="159"/>
      <c r="K134" s="159"/>
      <c r="L134" s="159"/>
      <c r="M134" s="159"/>
      <c r="N134" s="159"/>
      <c r="O134" s="159"/>
      <c r="P134" s="159"/>
      <c r="Q134" s="159"/>
      <c r="R134" s="159"/>
    </row>
    <row r="135" spans="1:18" ht="15.75" customHeight="1" x14ac:dyDescent="0.25">
      <c r="A135" s="159"/>
      <c r="B135" s="160"/>
      <c r="C135" s="159"/>
      <c r="D135" s="159"/>
      <c r="E135" s="159"/>
      <c r="F135" s="159"/>
      <c r="G135" s="159"/>
      <c r="H135" s="159"/>
      <c r="I135" s="160"/>
      <c r="J135" s="159"/>
      <c r="K135" s="159"/>
      <c r="L135" s="159"/>
      <c r="M135" s="159"/>
      <c r="N135" s="159"/>
      <c r="O135" s="159"/>
      <c r="P135" s="159"/>
      <c r="Q135" s="159"/>
      <c r="R135" s="159"/>
    </row>
    <row r="136" spans="1:18" ht="15.75" customHeight="1" x14ac:dyDescent="0.25">
      <c r="A136" s="159"/>
      <c r="B136" s="160"/>
      <c r="C136" s="159"/>
      <c r="D136" s="159"/>
      <c r="E136" s="159"/>
      <c r="F136" s="159"/>
      <c r="G136" s="159"/>
      <c r="H136" s="159"/>
      <c r="I136" s="160"/>
      <c r="J136" s="159"/>
      <c r="K136" s="159"/>
      <c r="L136" s="159"/>
      <c r="M136" s="159"/>
      <c r="N136" s="159"/>
      <c r="O136" s="159"/>
      <c r="P136" s="159"/>
      <c r="Q136" s="159"/>
      <c r="R136" s="159"/>
    </row>
    <row r="137" spans="1:18" ht="15.75" customHeight="1" x14ac:dyDescent="0.25">
      <c r="A137" s="159"/>
      <c r="B137" s="160"/>
      <c r="C137" s="159"/>
      <c r="D137" s="159"/>
      <c r="E137" s="159"/>
      <c r="F137" s="159"/>
      <c r="G137" s="159"/>
      <c r="H137" s="159"/>
      <c r="I137" s="160"/>
      <c r="J137" s="159"/>
      <c r="K137" s="159"/>
      <c r="L137" s="159"/>
      <c r="M137" s="159"/>
      <c r="N137" s="159"/>
      <c r="O137" s="159"/>
      <c r="P137" s="159"/>
      <c r="Q137" s="159"/>
      <c r="R137" s="159"/>
    </row>
    <row r="138" spans="1:18" ht="15.75" customHeight="1" x14ac:dyDescent="0.25">
      <c r="A138" s="159"/>
      <c r="B138" s="160"/>
      <c r="C138" s="159"/>
      <c r="D138" s="159"/>
      <c r="E138" s="159"/>
      <c r="F138" s="159"/>
      <c r="G138" s="159"/>
      <c r="H138" s="159"/>
      <c r="I138" s="160"/>
      <c r="J138" s="159"/>
      <c r="K138" s="159"/>
      <c r="L138" s="159"/>
      <c r="M138" s="159"/>
      <c r="N138" s="159"/>
      <c r="O138" s="159"/>
      <c r="P138" s="159"/>
      <c r="Q138" s="159"/>
      <c r="R138" s="159"/>
    </row>
    <row r="139" spans="1:18" ht="15.75" customHeight="1" x14ac:dyDescent="0.25">
      <c r="A139" s="159"/>
      <c r="B139" s="160"/>
      <c r="C139" s="159"/>
      <c r="D139" s="159"/>
      <c r="E139" s="159"/>
      <c r="F139" s="159"/>
      <c r="G139" s="159"/>
      <c r="H139" s="159"/>
      <c r="I139" s="160"/>
      <c r="J139" s="159"/>
      <c r="K139" s="159"/>
      <c r="L139" s="159"/>
      <c r="M139" s="159"/>
      <c r="N139" s="159"/>
      <c r="O139" s="159"/>
      <c r="P139" s="159"/>
      <c r="Q139" s="159"/>
      <c r="R139" s="159"/>
    </row>
    <row r="140" spans="1:18" ht="15.75" customHeight="1" x14ac:dyDescent="0.25">
      <c r="A140" s="159"/>
      <c r="B140" s="160"/>
      <c r="C140" s="159"/>
      <c r="D140" s="159"/>
      <c r="E140" s="159"/>
      <c r="F140" s="159"/>
      <c r="G140" s="159"/>
      <c r="H140" s="159"/>
      <c r="I140" s="160"/>
      <c r="J140" s="159"/>
      <c r="K140" s="159"/>
      <c r="L140" s="159"/>
      <c r="M140" s="159"/>
      <c r="N140" s="159"/>
      <c r="O140" s="159"/>
      <c r="P140" s="159"/>
      <c r="Q140" s="159"/>
      <c r="R140" s="159"/>
    </row>
    <row r="141" spans="1:18" ht="15.75" customHeight="1" x14ac:dyDescent="0.25">
      <c r="A141" s="159"/>
      <c r="B141" s="160"/>
      <c r="C141" s="159"/>
      <c r="D141" s="159"/>
      <c r="E141" s="159"/>
      <c r="F141" s="159"/>
      <c r="G141" s="159"/>
      <c r="H141" s="159"/>
      <c r="I141" s="160"/>
      <c r="J141" s="159"/>
      <c r="K141" s="159"/>
      <c r="L141" s="159"/>
      <c r="M141" s="159"/>
      <c r="N141" s="159"/>
      <c r="O141" s="159"/>
      <c r="P141" s="159"/>
      <c r="Q141" s="159"/>
      <c r="R141" s="159"/>
    </row>
    <row r="142" spans="1:18" ht="15.75" customHeight="1" x14ac:dyDescent="0.25">
      <c r="A142" s="159"/>
      <c r="B142" s="160"/>
      <c r="C142" s="159"/>
      <c r="D142" s="159"/>
      <c r="E142" s="159"/>
      <c r="F142" s="159"/>
      <c r="G142" s="159"/>
      <c r="H142" s="159"/>
      <c r="I142" s="160"/>
      <c r="J142" s="159"/>
      <c r="K142" s="159"/>
      <c r="L142" s="159"/>
      <c r="M142" s="159"/>
      <c r="N142" s="159"/>
      <c r="O142" s="159"/>
      <c r="P142" s="159"/>
      <c r="Q142" s="159"/>
      <c r="R142" s="159"/>
    </row>
    <row r="143" spans="1:18" ht="15.75" customHeight="1" x14ac:dyDescent="0.25">
      <c r="A143" s="159"/>
      <c r="B143" s="160"/>
      <c r="C143" s="159"/>
      <c r="D143" s="159"/>
      <c r="E143" s="159"/>
      <c r="F143" s="159"/>
      <c r="G143" s="159"/>
      <c r="H143" s="159"/>
      <c r="I143" s="160"/>
      <c r="J143" s="159"/>
      <c r="K143" s="159"/>
      <c r="L143" s="159"/>
      <c r="M143" s="159"/>
      <c r="N143" s="159"/>
      <c r="O143" s="159"/>
      <c r="P143" s="159"/>
      <c r="Q143" s="159"/>
      <c r="R143" s="159"/>
    </row>
    <row r="144" spans="1:18" ht="15.75" customHeight="1" x14ac:dyDescent="0.25">
      <c r="A144" s="159"/>
      <c r="B144" s="160"/>
      <c r="C144" s="159"/>
      <c r="D144" s="159"/>
      <c r="E144" s="159"/>
      <c r="F144" s="159"/>
      <c r="G144" s="159"/>
      <c r="H144" s="159"/>
      <c r="I144" s="160"/>
      <c r="J144" s="159"/>
      <c r="K144" s="159"/>
      <c r="L144" s="159"/>
      <c r="M144" s="159"/>
      <c r="N144" s="159"/>
      <c r="O144" s="159"/>
      <c r="P144" s="159"/>
      <c r="Q144" s="159"/>
      <c r="R144" s="159"/>
    </row>
    <row r="145" spans="1:18" ht="15.75" customHeight="1" x14ac:dyDescent="0.25">
      <c r="A145" s="159"/>
      <c r="B145" s="160"/>
      <c r="C145" s="159"/>
      <c r="D145" s="159"/>
      <c r="E145" s="159"/>
      <c r="F145" s="159"/>
      <c r="G145" s="159"/>
      <c r="H145" s="159"/>
      <c r="I145" s="160"/>
      <c r="J145" s="159"/>
      <c r="K145" s="159"/>
      <c r="L145" s="159"/>
      <c r="M145" s="159"/>
      <c r="N145" s="159"/>
      <c r="O145" s="159"/>
      <c r="P145" s="159"/>
      <c r="Q145" s="159"/>
      <c r="R145" s="159"/>
    </row>
    <row r="146" spans="1:18" ht="15.75" customHeight="1" x14ac:dyDescent="0.25">
      <c r="A146" s="159"/>
      <c r="B146" s="160"/>
      <c r="C146" s="159"/>
      <c r="D146" s="159"/>
      <c r="E146" s="159"/>
      <c r="F146" s="159"/>
      <c r="G146" s="159"/>
      <c r="H146" s="159"/>
      <c r="I146" s="160"/>
      <c r="J146" s="159"/>
      <c r="K146" s="159"/>
      <c r="L146" s="159"/>
      <c r="M146" s="159"/>
      <c r="N146" s="159"/>
      <c r="O146" s="159"/>
      <c r="P146" s="159"/>
      <c r="Q146" s="159"/>
      <c r="R146" s="159"/>
    </row>
    <row r="147" spans="1:18" ht="15.75" customHeight="1" x14ac:dyDescent="0.25">
      <c r="A147" s="159"/>
      <c r="B147" s="160"/>
      <c r="C147" s="159"/>
      <c r="D147" s="159"/>
      <c r="E147" s="159"/>
      <c r="F147" s="159"/>
      <c r="G147" s="159"/>
      <c r="H147" s="159"/>
      <c r="I147" s="160"/>
      <c r="J147" s="159"/>
      <c r="K147" s="159"/>
      <c r="L147" s="159"/>
      <c r="M147" s="159"/>
      <c r="N147" s="159"/>
      <c r="O147" s="159"/>
      <c r="P147" s="159"/>
      <c r="Q147" s="159"/>
      <c r="R147" s="159"/>
    </row>
    <row r="148" spans="1:18" ht="15.75" customHeight="1" x14ac:dyDescent="0.25">
      <c r="A148" s="159"/>
      <c r="B148" s="160"/>
      <c r="C148" s="159"/>
      <c r="D148" s="159"/>
      <c r="E148" s="159"/>
      <c r="F148" s="159"/>
      <c r="G148" s="159"/>
      <c r="H148" s="159"/>
      <c r="I148" s="160"/>
      <c r="J148" s="159"/>
      <c r="K148" s="159"/>
      <c r="L148" s="159"/>
      <c r="M148" s="159"/>
      <c r="N148" s="159"/>
      <c r="O148" s="159"/>
      <c r="P148" s="159"/>
      <c r="Q148" s="159"/>
      <c r="R148" s="159"/>
    </row>
    <row r="149" spans="1:18" ht="15.75" customHeight="1" x14ac:dyDescent="0.25">
      <c r="A149" s="159"/>
      <c r="B149" s="160"/>
      <c r="C149" s="159"/>
      <c r="D149" s="159"/>
      <c r="E149" s="159"/>
      <c r="F149" s="159"/>
      <c r="G149" s="159"/>
      <c r="H149" s="159"/>
      <c r="I149" s="160"/>
      <c r="J149" s="159"/>
      <c r="K149" s="159"/>
      <c r="L149" s="159"/>
      <c r="M149" s="159"/>
      <c r="N149" s="159"/>
      <c r="O149" s="159"/>
      <c r="P149" s="159"/>
      <c r="Q149" s="159"/>
      <c r="R149" s="159"/>
    </row>
    <row r="150" spans="1:18" ht="15.75" customHeight="1" x14ac:dyDescent="0.25">
      <c r="A150" s="159"/>
      <c r="B150" s="160"/>
      <c r="C150" s="159"/>
      <c r="D150" s="159"/>
      <c r="E150" s="159"/>
      <c r="F150" s="159"/>
      <c r="G150" s="159"/>
      <c r="H150" s="159"/>
      <c r="I150" s="160"/>
      <c r="J150" s="159"/>
      <c r="K150" s="159"/>
      <c r="L150" s="159"/>
      <c r="M150" s="159"/>
      <c r="N150" s="159"/>
      <c r="O150" s="159"/>
      <c r="P150" s="159"/>
      <c r="Q150" s="159"/>
      <c r="R150" s="159"/>
    </row>
    <row r="151" spans="1:18" ht="15.75" customHeight="1" x14ac:dyDescent="0.25">
      <c r="A151" s="159"/>
      <c r="B151" s="160"/>
      <c r="C151" s="159"/>
      <c r="D151" s="159"/>
      <c r="E151" s="159"/>
      <c r="F151" s="159"/>
      <c r="G151" s="159"/>
      <c r="H151" s="159"/>
      <c r="I151" s="160"/>
      <c r="J151" s="159"/>
      <c r="K151" s="159"/>
      <c r="L151" s="159"/>
      <c r="M151" s="159"/>
      <c r="N151" s="159"/>
      <c r="O151" s="159"/>
      <c r="P151" s="159"/>
      <c r="Q151" s="159"/>
      <c r="R151" s="159"/>
    </row>
    <row r="152" spans="1:18" ht="15.75" customHeight="1" x14ac:dyDescent="0.25">
      <c r="A152" s="159"/>
      <c r="B152" s="160"/>
      <c r="C152" s="159"/>
      <c r="D152" s="159"/>
      <c r="E152" s="159"/>
      <c r="F152" s="159"/>
      <c r="G152" s="159"/>
      <c r="H152" s="159"/>
      <c r="I152" s="160"/>
      <c r="J152" s="159"/>
      <c r="K152" s="159"/>
      <c r="L152" s="159"/>
      <c r="M152" s="159"/>
      <c r="N152" s="159"/>
      <c r="O152" s="159"/>
      <c r="P152" s="159"/>
      <c r="Q152" s="159"/>
      <c r="R152" s="159"/>
    </row>
    <row r="153" spans="1:18" ht="15.75" customHeight="1" x14ac:dyDescent="0.25">
      <c r="A153" s="159"/>
      <c r="B153" s="160"/>
      <c r="C153" s="159"/>
      <c r="D153" s="159"/>
      <c r="E153" s="159"/>
      <c r="F153" s="159"/>
      <c r="G153" s="159"/>
      <c r="H153" s="159"/>
      <c r="I153" s="160"/>
      <c r="J153" s="159"/>
      <c r="K153" s="159"/>
      <c r="L153" s="159"/>
      <c r="M153" s="159"/>
      <c r="N153" s="159"/>
      <c r="O153" s="159"/>
      <c r="P153" s="159"/>
      <c r="Q153" s="159"/>
      <c r="R153" s="159"/>
    </row>
    <row r="154" spans="1:18" ht="15.75" customHeight="1" x14ac:dyDescent="0.25">
      <c r="A154" s="159"/>
      <c r="B154" s="160"/>
      <c r="C154" s="159"/>
      <c r="D154" s="159"/>
      <c r="E154" s="159"/>
      <c r="F154" s="159"/>
      <c r="G154" s="159"/>
      <c r="H154" s="159"/>
      <c r="I154" s="160"/>
      <c r="J154" s="159"/>
      <c r="K154" s="159"/>
      <c r="L154" s="159"/>
      <c r="M154" s="159"/>
      <c r="N154" s="159"/>
      <c r="O154" s="159"/>
      <c r="P154" s="159"/>
      <c r="Q154" s="159"/>
      <c r="R154" s="159"/>
    </row>
    <row r="155" spans="1:18" ht="15.75" customHeight="1" x14ac:dyDescent="0.25">
      <c r="A155" s="159"/>
      <c r="B155" s="160"/>
      <c r="C155" s="159"/>
      <c r="D155" s="159"/>
      <c r="E155" s="159"/>
      <c r="F155" s="159"/>
      <c r="G155" s="159"/>
      <c r="H155" s="159"/>
      <c r="I155" s="160"/>
      <c r="J155" s="159"/>
      <c r="K155" s="159"/>
      <c r="L155" s="159"/>
      <c r="M155" s="159"/>
      <c r="N155" s="159"/>
      <c r="O155" s="159"/>
      <c r="P155" s="159"/>
      <c r="Q155" s="159"/>
      <c r="R155" s="159"/>
    </row>
    <row r="156" spans="1:18" ht="15.75" customHeight="1" x14ac:dyDescent="0.25">
      <c r="A156" s="159"/>
      <c r="B156" s="160"/>
      <c r="C156" s="159"/>
      <c r="D156" s="159"/>
      <c r="E156" s="159"/>
      <c r="F156" s="159"/>
      <c r="G156" s="159"/>
      <c r="H156" s="159"/>
      <c r="I156" s="160"/>
      <c r="J156" s="159"/>
      <c r="K156" s="159"/>
      <c r="L156" s="159"/>
      <c r="M156" s="159"/>
      <c r="N156" s="159"/>
      <c r="O156" s="159"/>
      <c r="P156" s="159"/>
      <c r="Q156" s="159"/>
      <c r="R156" s="159"/>
    </row>
    <row r="157" spans="1:18" ht="15.75" customHeight="1" x14ac:dyDescent="0.25">
      <c r="A157" s="159"/>
      <c r="B157" s="160"/>
      <c r="C157" s="159"/>
      <c r="D157" s="159"/>
      <c r="E157" s="159"/>
      <c r="F157" s="159"/>
      <c r="G157" s="159"/>
      <c r="H157" s="159"/>
      <c r="I157" s="160"/>
      <c r="J157" s="159"/>
      <c r="K157" s="159"/>
      <c r="L157" s="159"/>
      <c r="M157" s="159"/>
      <c r="N157" s="159"/>
      <c r="O157" s="159"/>
      <c r="P157" s="159"/>
      <c r="Q157" s="159"/>
      <c r="R157" s="159"/>
    </row>
    <row r="158" spans="1:18" ht="15.75" customHeight="1" x14ac:dyDescent="0.25">
      <c r="A158" s="159"/>
      <c r="B158" s="160"/>
      <c r="C158" s="159"/>
      <c r="D158" s="159"/>
      <c r="E158" s="159"/>
      <c r="F158" s="159"/>
      <c r="G158" s="159"/>
      <c r="H158" s="159"/>
      <c r="I158" s="160"/>
      <c r="J158" s="159"/>
      <c r="K158" s="159"/>
      <c r="L158" s="159"/>
      <c r="M158" s="159"/>
      <c r="N158" s="159"/>
      <c r="O158" s="159"/>
      <c r="P158" s="159"/>
      <c r="Q158" s="159"/>
      <c r="R158" s="159"/>
    </row>
    <row r="159" spans="1:18" ht="15.75" customHeight="1" x14ac:dyDescent="0.25">
      <c r="A159" s="159"/>
      <c r="B159" s="160"/>
      <c r="C159" s="159"/>
      <c r="D159" s="159"/>
      <c r="E159" s="159"/>
      <c r="F159" s="159"/>
      <c r="G159" s="159"/>
      <c r="H159" s="159"/>
      <c r="I159" s="160"/>
      <c r="J159" s="159"/>
      <c r="K159" s="159"/>
      <c r="L159" s="159"/>
      <c r="M159" s="159"/>
      <c r="N159" s="159"/>
      <c r="O159" s="159"/>
      <c r="P159" s="159"/>
      <c r="Q159" s="159"/>
      <c r="R159" s="159"/>
    </row>
    <row r="160" spans="1:18" ht="15.75" customHeight="1" x14ac:dyDescent="0.25">
      <c r="A160" s="159"/>
      <c r="B160" s="160"/>
      <c r="C160" s="159"/>
      <c r="D160" s="159"/>
      <c r="E160" s="159"/>
      <c r="F160" s="159"/>
      <c r="G160" s="159"/>
      <c r="H160" s="159"/>
      <c r="I160" s="160"/>
      <c r="J160" s="159"/>
      <c r="K160" s="159"/>
      <c r="L160" s="159"/>
      <c r="M160" s="159"/>
      <c r="N160" s="159"/>
      <c r="O160" s="159"/>
      <c r="P160" s="159"/>
      <c r="Q160" s="159"/>
      <c r="R160" s="159"/>
    </row>
    <row r="161" spans="1:18" ht="15.75" customHeight="1" x14ac:dyDescent="0.25">
      <c r="A161" s="159"/>
      <c r="B161" s="160"/>
      <c r="C161" s="159"/>
      <c r="D161" s="159"/>
      <c r="E161" s="159"/>
      <c r="F161" s="159"/>
      <c r="G161" s="159"/>
      <c r="H161" s="159"/>
      <c r="I161" s="160"/>
      <c r="J161" s="159"/>
      <c r="K161" s="159"/>
      <c r="L161" s="159"/>
      <c r="M161" s="159"/>
      <c r="N161" s="159"/>
      <c r="O161" s="159"/>
      <c r="P161" s="159"/>
      <c r="Q161" s="159"/>
      <c r="R161" s="159"/>
    </row>
    <row r="162" spans="1:18" ht="15.75" customHeight="1" x14ac:dyDescent="0.25">
      <c r="A162" s="159"/>
      <c r="B162" s="160"/>
      <c r="C162" s="159"/>
      <c r="D162" s="159"/>
      <c r="E162" s="159"/>
      <c r="F162" s="159"/>
      <c r="G162" s="159"/>
      <c r="H162" s="159"/>
      <c r="I162" s="160"/>
      <c r="J162" s="159"/>
      <c r="K162" s="159"/>
      <c r="L162" s="159"/>
      <c r="M162" s="159"/>
      <c r="N162" s="159"/>
      <c r="O162" s="159"/>
      <c r="P162" s="159"/>
      <c r="Q162" s="159"/>
      <c r="R162" s="159"/>
    </row>
    <row r="163" spans="1:18" ht="15.75" customHeight="1" x14ac:dyDescent="0.25">
      <c r="A163" s="159"/>
      <c r="B163" s="160"/>
      <c r="C163" s="159"/>
      <c r="D163" s="159"/>
      <c r="E163" s="159"/>
      <c r="F163" s="159"/>
      <c r="G163" s="159"/>
      <c r="H163" s="159"/>
      <c r="I163" s="160"/>
      <c r="J163" s="159"/>
      <c r="K163" s="159"/>
      <c r="L163" s="159"/>
      <c r="M163" s="159"/>
      <c r="N163" s="159"/>
      <c r="O163" s="159"/>
      <c r="P163" s="159"/>
      <c r="Q163" s="159"/>
      <c r="R163" s="159"/>
    </row>
    <row r="164" spans="1:18" ht="15.75" customHeight="1" x14ac:dyDescent="0.25">
      <c r="A164" s="159"/>
      <c r="B164" s="160"/>
      <c r="C164" s="159"/>
      <c r="D164" s="159"/>
      <c r="E164" s="159"/>
      <c r="F164" s="159"/>
      <c r="G164" s="159"/>
      <c r="H164" s="159"/>
      <c r="I164" s="160"/>
      <c r="J164" s="159"/>
      <c r="K164" s="159"/>
      <c r="L164" s="159"/>
      <c r="M164" s="159"/>
      <c r="N164" s="159"/>
      <c r="O164" s="159"/>
      <c r="P164" s="159"/>
      <c r="Q164" s="159"/>
      <c r="R164" s="159"/>
    </row>
    <row r="165" spans="1:18" ht="15.75" customHeight="1" x14ac:dyDescent="0.25">
      <c r="A165" s="159"/>
      <c r="B165" s="160"/>
      <c r="C165" s="159"/>
      <c r="D165" s="159"/>
      <c r="E165" s="159"/>
      <c r="F165" s="159"/>
      <c r="G165" s="159"/>
      <c r="H165" s="159"/>
      <c r="I165" s="160"/>
      <c r="J165" s="159"/>
      <c r="K165" s="159"/>
      <c r="L165" s="159"/>
      <c r="M165" s="159"/>
      <c r="N165" s="159"/>
      <c r="O165" s="159"/>
      <c r="P165" s="159"/>
      <c r="Q165" s="159"/>
      <c r="R165" s="159"/>
    </row>
    <row r="166" spans="1:18" ht="15.75" customHeight="1" x14ac:dyDescent="0.25">
      <c r="A166" s="159"/>
      <c r="B166" s="160"/>
      <c r="C166" s="159"/>
      <c r="D166" s="159"/>
      <c r="E166" s="159"/>
      <c r="F166" s="159"/>
      <c r="G166" s="159"/>
      <c r="H166" s="159"/>
      <c r="I166" s="160"/>
      <c r="J166" s="159"/>
      <c r="K166" s="159"/>
      <c r="L166" s="159"/>
      <c r="M166" s="159"/>
      <c r="N166" s="159"/>
      <c r="O166" s="159"/>
      <c r="P166" s="159"/>
      <c r="Q166" s="159"/>
      <c r="R166" s="159"/>
    </row>
    <row r="167" spans="1:18" ht="15.75" customHeight="1" x14ac:dyDescent="0.25">
      <c r="A167" s="159"/>
      <c r="B167" s="160"/>
      <c r="C167" s="159"/>
      <c r="D167" s="159"/>
      <c r="E167" s="159"/>
      <c r="F167" s="159"/>
      <c r="G167" s="159"/>
      <c r="H167" s="159"/>
      <c r="I167" s="160"/>
      <c r="J167" s="159"/>
      <c r="K167" s="159"/>
      <c r="L167" s="159"/>
      <c r="M167" s="159"/>
      <c r="N167" s="159"/>
      <c r="O167" s="159"/>
      <c r="P167" s="159"/>
      <c r="Q167" s="159"/>
      <c r="R167" s="159"/>
    </row>
    <row r="168" spans="1:18" ht="15.75" customHeight="1" x14ac:dyDescent="0.25">
      <c r="A168" s="159"/>
      <c r="B168" s="160"/>
      <c r="C168" s="159"/>
      <c r="D168" s="159"/>
      <c r="E168" s="159"/>
      <c r="F168" s="159"/>
      <c r="G168" s="159"/>
      <c r="H168" s="159"/>
      <c r="I168" s="160"/>
      <c r="J168" s="159"/>
      <c r="K168" s="159"/>
      <c r="L168" s="159"/>
      <c r="M168" s="159"/>
      <c r="N168" s="159"/>
      <c r="O168" s="159"/>
      <c r="P168" s="159"/>
      <c r="Q168" s="159"/>
      <c r="R168" s="159"/>
    </row>
    <row r="169" spans="1:18" ht="15.75" customHeight="1" x14ac:dyDescent="0.25">
      <c r="A169" s="159"/>
      <c r="B169" s="160"/>
      <c r="C169" s="159"/>
      <c r="D169" s="159"/>
      <c r="E169" s="159"/>
      <c r="F169" s="159"/>
      <c r="G169" s="159"/>
      <c r="H169" s="159"/>
      <c r="I169" s="160"/>
      <c r="J169" s="159"/>
      <c r="K169" s="159"/>
      <c r="L169" s="159"/>
      <c r="M169" s="159"/>
      <c r="N169" s="159"/>
      <c r="O169" s="159"/>
      <c r="P169" s="159"/>
      <c r="Q169" s="159"/>
      <c r="R169" s="159"/>
    </row>
    <row r="170" spans="1:18" ht="15.75" customHeight="1" x14ac:dyDescent="0.25">
      <c r="A170" s="159"/>
      <c r="B170" s="160"/>
      <c r="C170" s="159"/>
      <c r="D170" s="159"/>
      <c r="E170" s="159"/>
      <c r="F170" s="159"/>
      <c r="G170" s="159"/>
      <c r="H170" s="159"/>
      <c r="I170" s="160"/>
      <c r="J170" s="159"/>
      <c r="K170" s="159"/>
      <c r="L170" s="159"/>
      <c r="M170" s="159"/>
      <c r="N170" s="159"/>
      <c r="O170" s="159"/>
      <c r="P170" s="159"/>
      <c r="Q170" s="159"/>
      <c r="R170" s="159"/>
    </row>
    <row r="171" spans="1:18" ht="15.75" customHeight="1" x14ac:dyDescent="0.25">
      <c r="A171" s="159"/>
      <c r="B171" s="160"/>
      <c r="C171" s="159"/>
      <c r="D171" s="159"/>
      <c r="E171" s="159"/>
      <c r="F171" s="159"/>
      <c r="G171" s="159"/>
      <c r="H171" s="159"/>
      <c r="I171" s="160"/>
      <c r="J171" s="159"/>
      <c r="K171" s="159"/>
      <c r="L171" s="159"/>
      <c r="M171" s="159"/>
      <c r="N171" s="159"/>
      <c r="O171" s="159"/>
      <c r="P171" s="159"/>
      <c r="Q171" s="159"/>
      <c r="R171" s="159"/>
    </row>
    <row r="172" spans="1:18" ht="15.75" customHeight="1" x14ac:dyDescent="0.25">
      <c r="A172" s="159"/>
      <c r="B172" s="160"/>
      <c r="C172" s="159"/>
      <c r="D172" s="159"/>
      <c r="E172" s="159"/>
      <c r="F172" s="159"/>
      <c r="G172" s="159"/>
      <c r="H172" s="159"/>
      <c r="I172" s="160"/>
      <c r="J172" s="159"/>
      <c r="K172" s="159"/>
      <c r="L172" s="159"/>
      <c r="M172" s="159"/>
      <c r="N172" s="159"/>
      <c r="O172" s="159"/>
      <c r="P172" s="159"/>
      <c r="Q172" s="159"/>
      <c r="R172" s="159"/>
    </row>
    <row r="173" spans="1:18" ht="15.75" customHeight="1" x14ac:dyDescent="0.25">
      <c r="A173" s="159"/>
      <c r="B173" s="160"/>
      <c r="C173" s="159"/>
      <c r="D173" s="159"/>
      <c r="E173" s="159"/>
      <c r="F173" s="159"/>
      <c r="G173" s="159"/>
      <c r="H173" s="159"/>
      <c r="I173" s="160"/>
      <c r="J173" s="159"/>
      <c r="K173" s="159"/>
      <c r="L173" s="159"/>
      <c r="M173" s="159"/>
      <c r="N173" s="159"/>
      <c r="O173" s="159"/>
      <c r="P173" s="159"/>
      <c r="Q173" s="159"/>
      <c r="R173" s="159"/>
    </row>
    <row r="174" spans="1:18" ht="15.75" customHeight="1" x14ac:dyDescent="0.25">
      <c r="A174" s="159"/>
      <c r="B174" s="160"/>
      <c r="C174" s="159"/>
      <c r="D174" s="159"/>
      <c r="E174" s="159"/>
      <c r="F174" s="159"/>
      <c r="G174" s="159"/>
      <c r="H174" s="159"/>
      <c r="I174" s="160"/>
      <c r="J174" s="159"/>
      <c r="K174" s="159"/>
      <c r="L174" s="159"/>
      <c r="M174" s="159"/>
      <c r="N174" s="159"/>
      <c r="O174" s="159"/>
      <c r="P174" s="159"/>
      <c r="Q174" s="159"/>
      <c r="R174" s="159"/>
    </row>
    <row r="175" spans="1:18" ht="15.75" customHeight="1" x14ac:dyDescent="0.25">
      <c r="A175" s="159"/>
      <c r="B175" s="160"/>
      <c r="C175" s="159"/>
      <c r="D175" s="159"/>
      <c r="E175" s="159"/>
      <c r="F175" s="159"/>
      <c r="G175" s="159"/>
      <c r="H175" s="159"/>
      <c r="I175" s="160"/>
      <c r="J175" s="159"/>
      <c r="K175" s="159"/>
      <c r="L175" s="159"/>
      <c r="M175" s="159"/>
      <c r="N175" s="159"/>
      <c r="O175" s="159"/>
      <c r="P175" s="159"/>
      <c r="Q175" s="159"/>
      <c r="R175" s="159"/>
    </row>
    <row r="176" spans="1:18" ht="15.75" customHeight="1" x14ac:dyDescent="0.25">
      <c r="A176" s="159"/>
      <c r="B176" s="160"/>
      <c r="C176" s="159"/>
      <c r="D176" s="159"/>
      <c r="E176" s="159"/>
      <c r="F176" s="159"/>
      <c r="G176" s="159"/>
      <c r="H176" s="159"/>
      <c r="I176" s="160"/>
      <c r="J176" s="159"/>
      <c r="K176" s="159"/>
      <c r="L176" s="159"/>
      <c r="M176" s="159"/>
      <c r="N176" s="159"/>
      <c r="O176" s="159"/>
      <c r="P176" s="159"/>
      <c r="Q176" s="159"/>
      <c r="R176" s="159"/>
    </row>
    <row r="177" spans="1:18" ht="15.75" customHeight="1" x14ac:dyDescent="0.25">
      <c r="A177" s="159"/>
      <c r="B177" s="160"/>
      <c r="C177" s="159"/>
      <c r="D177" s="159"/>
      <c r="E177" s="159"/>
      <c r="F177" s="159"/>
      <c r="G177" s="159"/>
      <c r="H177" s="159"/>
      <c r="I177" s="160"/>
      <c r="J177" s="159"/>
      <c r="K177" s="159"/>
      <c r="L177" s="159"/>
      <c r="M177" s="159"/>
      <c r="N177" s="159"/>
      <c r="O177" s="159"/>
      <c r="P177" s="159"/>
      <c r="Q177" s="159"/>
      <c r="R177" s="159"/>
    </row>
    <row r="178" spans="1:18" ht="15.75" customHeight="1" x14ac:dyDescent="0.25">
      <c r="A178" s="159"/>
      <c r="B178" s="160"/>
      <c r="C178" s="159"/>
      <c r="D178" s="159"/>
      <c r="E178" s="159"/>
      <c r="F178" s="159"/>
      <c r="G178" s="159"/>
      <c r="H178" s="159"/>
      <c r="I178" s="160"/>
      <c r="J178" s="159"/>
      <c r="K178" s="159"/>
      <c r="L178" s="159"/>
      <c r="M178" s="159"/>
      <c r="N178" s="159"/>
      <c r="O178" s="159"/>
      <c r="P178" s="159"/>
      <c r="Q178" s="159"/>
      <c r="R178" s="159"/>
    </row>
    <row r="179" spans="1:18" ht="15.75" customHeight="1" x14ac:dyDescent="0.25">
      <c r="A179" s="159"/>
      <c r="B179" s="160"/>
      <c r="C179" s="159"/>
      <c r="D179" s="159"/>
      <c r="E179" s="159"/>
      <c r="F179" s="159"/>
      <c r="G179" s="159"/>
      <c r="H179" s="159"/>
      <c r="I179" s="160"/>
      <c r="J179" s="159"/>
      <c r="K179" s="159"/>
      <c r="L179" s="159"/>
      <c r="M179" s="159"/>
      <c r="N179" s="159"/>
      <c r="O179" s="159"/>
      <c r="P179" s="159"/>
      <c r="Q179" s="159"/>
      <c r="R179" s="159"/>
    </row>
    <row r="180" spans="1:18" ht="15.75" customHeight="1" x14ac:dyDescent="0.25">
      <c r="A180" s="159"/>
      <c r="B180" s="160"/>
      <c r="C180" s="159"/>
      <c r="D180" s="159"/>
      <c r="E180" s="159"/>
      <c r="F180" s="159"/>
      <c r="G180" s="159"/>
      <c r="H180" s="159"/>
      <c r="I180" s="160"/>
      <c r="J180" s="159"/>
      <c r="K180" s="159"/>
      <c r="L180" s="159"/>
      <c r="M180" s="159"/>
      <c r="N180" s="159"/>
      <c r="O180" s="159"/>
      <c r="P180" s="159"/>
      <c r="Q180" s="159"/>
      <c r="R180" s="159"/>
    </row>
    <row r="181" spans="1:18" ht="15.75" customHeight="1" x14ac:dyDescent="0.25">
      <c r="A181" s="159"/>
      <c r="B181" s="160"/>
      <c r="C181" s="159"/>
      <c r="D181" s="159"/>
      <c r="E181" s="159"/>
      <c r="F181" s="159"/>
      <c r="G181" s="159"/>
      <c r="H181" s="159"/>
      <c r="I181" s="160"/>
      <c r="J181" s="159"/>
      <c r="K181" s="159"/>
      <c r="L181" s="159"/>
      <c r="M181" s="159"/>
      <c r="N181" s="159"/>
      <c r="O181" s="159"/>
      <c r="P181" s="159"/>
      <c r="Q181" s="159"/>
      <c r="R181" s="159"/>
    </row>
    <row r="182" spans="1:18" ht="15.75" customHeight="1" x14ac:dyDescent="0.25">
      <c r="A182" s="159"/>
      <c r="B182" s="160"/>
      <c r="C182" s="159"/>
      <c r="D182" s="159"/>
      <c r="E182" s="159"/>
      <c r="F182" s="159"/>
      <c r="G182" s="159"/>
      <c r="H182" s="159"/>
      <c r="I182" s="160"/>
      <c r="J182" s="159"/>
      <c r="K182" s="159"/>
      <c r="L182" s="159"/>
      <c r="M182" s="159"/>
      <c r="N182" s="159"/>
      <c r="O182" s="159"/>
      <c r="P182" s="159"/>
      <c r="Q182" s="159"/>
      <c r="R182" s="159"/>
    </row>
    <row r="183" spans="1:18" ht="15.75" customHeight="1" x14ac:dyDescent="0.25">
      <c r="A183" s="159"/>
      <c r="B183" s="160"/>
      <c r="C183" s="159"/>
      <c r="D183" s="159"/>
      <c r="E183" s="159"/>
      <c r="F183" s="159"/>
      <c r="G183" s="159"/>
      <c r="H183" s="159"/>
      <c r="I183" s="160"/>
      <c r="J183" s="159"/>
      <c r="K183" s="159"/>
      <c r="L183" s="159"/>
      <c r="M183" s="159"/>
      <c r="N183" s="159"/>
      <c r="O183" s="159"/>
      <c r="P183" s="159"/>
      <c r="Q183" s="159"/>
      <c r="R183" s="159"/>
    </row>
    <row r="184" spans="1:18" ht="15.75" customHeight="1" x14ac:dyDescent="0.25">
      <c r="A184" s="159"/>
      <c r="B184" s="160"/>
      <c r="C184" s="159"/>
      <c r="D184" s="159"/>
      <c r="E184" s="159"/>
      <c r="F184" s="159"/>
      <c r="G184" s="159"/>
      <c r="H184" s="159"/>
      <c r="I184" s="160"/>
      <c r="J184" s="159"/>
      <c r="K184" s="159"/>
      <c r="L184" s="159"/>
      <c r="M184" s="159"/>
      <c r="N184" s="159"/>
      <c r="O184" s="159"/>
      <c r="P184" s="159"/>
      <c r="Q184" s="159"/>
      <c r="R184" s="159"/>
    </row>
    <row r="185" spans="1:18" ht="15.75" customHeight="1" x14ac:dyDescent="0.25">
      <c r="A185" s="159"/>
      <c r="B185" s="160"/>
      <c r="C185" s="159"/>
      <c r="D185" s="159"/>
      <c r="E185" s="159"/>
      <c r="F185" s="159"/>
      <c r="G185" s="159"/>
      <c r="H185" s="159"/>
      <c r="I185" s="160"/>
      <c r="J185" s="159"/>
      <c r="K185" s="159"/>
      <c r="L185" s="159"/>
      <c r="M185" s="159"/>
      <c r="N185" s="159"/>
      <c r="O185" s="159"/>
      <c r="P185" s="159"/>
      <c r="Q185" s="159"/>
      <c r="R185" s="159"/>
    </row>
    <row r="186" spans="1:18" ht="15.75" customHeight="1" x14ac:dyDescent="0.25">
      <c r="A186" s="159"/>
      <c r="B186" s="160"/>
      <c r="C186" s="159"/>
      <c r="D186" s="159"/>
      <c r="E186" s="159"/>
      <c r="F186" s="159"/>
      <c r="G186" s="159"/>
      <c r="H186" s="159"/>
      <c r="I186" s="160"/>
      <c r="J186" s="159"/>
      <c r="K186" s="159"/>
      <c r="L186" s="159"/>
      <c r="M186" s="159"/>
      <c r="N186" s="159"/>
      <c r="O186" s="159"/>
      <c r="P186" s="159"/>
      <c r="Q186" s="159"/>
      <c r="R186" s="159"/>
    </row>
    <row r="187" spans="1:18" ht="15.75" customHeight="1" x14ac:dyDescent="0.25">
      <c r="A187" s="159"/>
      <c r="B187" s="160"/>
      <c r="C187" s="159"/>
      <c r="D187" s="159"/>
      <c r="E187" s="159"/>
      <c r="F187" s="159"/>
      <c r="G187" s="159"/>
      <c r="H187" s="159"/>
      <c r="I187" s="160"/>
      <c r="J187" s="159"/>
      <c r="K187" s="159"/>
      <c r="L187" s="159"/>
      <c r="M187" s="159"/>
      <c r="N187" s="159"/>
      <c r="O187" s="159"/>
      <c r="P187" s="159"/>
      <c r="Q187" s="159"/>
      <c r="R187" s="159"/>
    </row>
    <row r="188" spans="1:18" ht="15.75" customHeight="1" x14ac:dyDescent="0.25">
      <c r="A188" s="159"/>
      <c r="B188" s="160"/>
      <c r="C188" s="159"/>
      <c r="D188" s="159"/>
      <c r="E188" s="159"/>
      <c r="F188" s="159"/>
      <c r="G188" s="159"/>
      <c r="H188" s="159"/>
      <c r="I188" s="160"/>
      <c r="J188" s="159"/>
      <c r="K188" s="159"/>
      <c r="L188" s="159"/>
      <c r="M188" s="159"/>
      <c r="N188" s="159"/>
      <c r="O188" s="159"/>
      <c r="P188" s="159"/>
      <c r="Q188" s="159"/>
      <c r="R188" s="159"/>
    </row>
    <row r="189" spans="1:18" ht="15.75" customHeight="1" x14ac:dyDescent="0.25">
      <c r="A189" s="159"/>
      <c r="B189" s="160"/>
      <c r="C189" s="159"/>
      <c r="D189" s="159"/>
      <c r="E189" s="159"/>
      <c r="F189" s="159"/>
      <c r="G189" s="159"/>
      <c r="H189" s="159"/>
      <c r="I189" s="160"/>
      <c r="J189" s="159"/>
      <c r="K189" s="159"/>
      <c r="L189" s="159"/>
      <c r="M189" s="159"/>
      <c r="N189" s="159"/>
      <c r="O189" s="159"/>
      <c r="P189" s="159"/>
      <c r="Q189" s="159"/>
      <c r="R189" s="159"/>
    </row>
    <row r="190" spans="1:18" ht="15.75" customHeight="1" x14ac:dyDescent="0.25">
      <c r="A190" s="159"/>
      <c r="B190" s="160"/>
      <c r="C190" s="159"/>
      <c r="D190" s="159"/>
      <c r="E190" s="159"/>
      <c r="F190" s="159"/>
      <c r="G190" s="159"/>
      <c r="H190" s="159"/>
      <c r="I190" s="160"/>
      <c r="J190" s="159"/>
      <c r="K190" s="159"/>
      <c r="L190" s="159"/>
      <c r="M190" s="159"/>
      <c r="N190" s="159"/>
      <c r="O190" s="159"/>
      <c r="P190" s="159"/>
      <c r="Q190" s="159"/>
      <c r="R190" s="159"/>
    </row>
    <row r="191" spans="1:18" ht="15.75" customHeight="1" x14ac:dyDescent="0.25">
      <c r="A191" s="159"/>
      <c r="B191" s="160"/>
      <c r="C191" s="159"/>
      <c r="D191" s="159"/>
      <c r="E191" s="159"/>
      <c r="F191" s="159"/>
      <c r="G191" s="159"/>
      <c r="H191" s="159"/>
      <c r="I191" s="160"/>
      <c r="J191" s="159"/>
      <c r="K191" s="159"/>
      <c r="L191" s="159"/>
      <c r="M191" s="159"/>
      <c r="N191" s="159"/>
      <c r="O191" s="159"/>
      <c r="P191" s="159"/>
      <c r="Q191" s="159"/>
      <c r="R191" s="159"/>
    </row>
    <row r="192" spans="1:18" ht="15.75" customHeight="1" x14ac:dyDescent="0.25">
      <c r="A192" s="159"/>
      <c r="B192" s="160"/>
      <c r="C192" s="159"/>
      <c r="D192" s="159"/>
      <c r="E192" s="159"/>
      <c r="F192" s="159"/>
      <c r="G192" s="159"/>
      <c r="H192" s="159"/>
      <c r="I192" s="160"/>
      <c r="J192" s="159"/>
      <c r="K192" s="159"/>
      <c r="L192" s="159"/>
      <c r="M192" s="159"/>
      <c r="N192" s="159"/>
      <c r="O192" s="159"/>
      <c r="P192" s="159"/>
      <c r="Q192" s="159"/>
      <c r="R192" s="159"/>
    </row>
    <row r="193" spans="1:18" ht="15.75" customHeight="1" x14ac:dyDescent="0.25">
      <c r="A193" s="159"/>
      <c r="B193" s="160"/>
      <c r="C193" s="159"/>
      <c r="D193" s="159"/>
      <c r="E193" s="159"/>
      <c r="F193" s="159"/>
      <c r="G193" s="159"/>
      <c r="H193" s="159"/>
      <c r="I193" s="160"/>
      <c r="J193" s="159"/>
      <c r="K193" s="159"/>
      <c r="L193" s="159"/>
      <c r="M193" s="159"/>
      <c r="N193" s="159"/>
      <c r="O193" s="159"/>
      <c r="P193" s="159"/>
      <c r="Q193" s="159"/>
      <c r="R193" s="159"/>
    </row>
    <row r="194" spans="1:18" ht="15.75" customHeight="1" x14ac:dyDescent="0.25">
      <c r="A194" s="159"/>
      <c r="B194" s="160"/>
      <c r="C194" s="159"/>
      <c r="D194" s="159"/>
      <c r="E194" s="159"/>
      <c r="F194" s="159"/>
      <c r="G194" s="159"/>
      <c r="H194" s="159"/>
      <c r="I194" s="160"/>
      <c r="J194" s="159"/>
      <c r="K194" s="159"/>
      <c r="L194" s="159"/>
      <c r="M194" s="159"/>
      <c r="N194" s="159"/>
      <c r="O194" s="159"/>
      <c r="P194" s="159"/>
      <c r="Q194" s="159"/>
      <c r="R194" s="159"/>
    </row>
    <row r="195" spans="1:18" ht="15.75" customHeight="1" x14ac:dyDescent="0.25">
      <c r="A195" s="159"/>
      <c r="B195" s="160"/>
      <c r="C195" s="159"/>
      <c r="D195" s="159"/>
      <c r="E195" s="159"/>
      <c r="F195" s="159"/>
      <c r="G195" s="159"/>
      <c r="H195" s="159"/>
      <c r="I195" s="160"/>
      <c r="J195" s="159"/>
      <c r="K195" s="159"/>
      <c r="L195" s="159"/>
      <c r="M195" s="159"/>
      <c r="N195" s="159"/>
      <c r="O195" s="159"/>
      <c r="P195" s="159"/>
      <c r="Q195" s="159"/>
      <c r="R195" s="159"/>
    </row>
    <row r="196" spans="1:18" ht="15.75" customHeight="1" x14ac:dyDescent="0.25">
      <c r="A196" s="159"/>
      <c r="B196" s="160"/>
      <c r="C196" s="159"/>
      <c r="D196" s="159"/>
      <c r="E196" s="159"/>
      <c r="F196" s="159"/>
      <c r="G196" s="159"/>
      <c r="H196" s="159"/>
      <c r="I196" s="160"/>
      <c r="J196" s="159"/>
      <c r="K196" s="159"/>
      <c r="L196" s="159"/>
      <c r="M196" s="159"/>
      <c r="N196" s="159"/>
      <c r="O196" s="159"/>
      <c r="P196" s="159"/>
      <c r="Q196" s="159"/>
      <c r="R196" s="159"/>
    </row>
    <row r="197" spans="1:18" ht="15.75" customHeight="1" x14ac:dyDescent="0.25">
      <c r="A197" s="159"/>
      <c r="B197" s="160"/>
      <c r="C197" s="159"/>
      <c r="D197" s="159"/>
      <c r="E197" s="159"/>
      <c r="F197" s="159"/>
      <c r="G197" s="159"/>
      <c r="H197" s="159"/>
      <c r="I197" s="160"/>
      <c r="J197" s="159"/>
      <c r="K197" s="159"/>
      <c r="L197" s="159"/>
      <c r="M197" s="159"/>
      <c r="N197" s="159"/>
      <c r="O197" s="159"/>
      <c r="P197" s="159"/>
      <c r="Q197" s="159"/>
      <c r="R197" s="159"/>
    </row>
    <row r="198" spans="1:18" ht="15.75" customHeight="1" x14ac:dyDescent="0.25">
      <c r="A198" s="159"/>
      <c r="B198" s="160"/>
      <c r="C198" s="159"/>
      <c r="D198" s="159"/>
      <c r="E198" s="159"/>
      <c r="F198" s="159"/>
      <c r="G198" s="159"/>
      <c r="H198" s="159"/>
      <c r="I198" s="160"/>
      <c r="J198" s="159"/>
      <c r="K198" s="159"/>
      <c r="L198" s="159"/>
      <c r="M198" s="159"/>
      <c r="N198" s="159"/>
      <c r="O198" s="159"/>
      <c r="P198" s="159"/>
      <c r="Q198" s="159"/>
      <c r="R198" s="159"/>
    </row>
    <row r="199" spans="1:18" ht="15.75" customHeight="1" x14ac:dyDescent="0.25">
      <c r="A199" s="159"/>
      <c r="B199" s="160"/>
      <c r="C199" s="159"/>
      <c r="D199" s="159"/>
      <c r="E199" s="159"/>
      <c r="F199" s="159"/>
      <c r="G199" s="159"/>
      <c r="H199" s="159"/>
      <c r="I199" s="160"/>
      <c r="J199" s="159"/>
      <c r="K199" s="159"/>
      <c r="L199" s="159"/>
      <c r="M199" s="159"/>
      <c r="N199" s="159"/>
      <c r="O199" s="159"/>
      <c r="P199" s="159"/>
      <c r="Q199" s="159"/>
      <c r="R199" s="159"/>
    </row>
    <row r="200" spans="1:18" ht="15.75" customHeight="1" x14ac:dyDescent="0.25">
      <c r="A200" s="159"/>
      <c r="B200" s="160"/>
      <c r="C200" s="159"/>
      <c r="D200" s="159"/>
      <c r="E200" s="159"/>
      <c r="F200" s="159"/>
      <c r="G200" s="159"/>
      <c r="H200" s="159"/>
      <c r="I200" s="160"/>
      <c r="J200" s="159"/>
      <c r="K200" s="159"/>
      <c r="L200" s="159"/>
      <c r="M200" s="159"/>
      <c r="N200" s="159"/>
      <c r="O200" s="159"/>
      <c r="P200" s="159"/>
      <c r="Q200" s="159"/>
      <c r="R200" s="159"/>
    </row>
    <row r="201" spans="1:18" ht="15.75" customHeight="1" x14ac:dyDescent="0.25">
      <c r="A201" s="159"/>
      <c r="B201" s="160"/>
      <c r="C201" s="159"/>
      <c r="D201" s="159"/>
      <c r="E201" s="159"/>
      <c r="F201" s="159"/>
      <c r="G201" s="159"/>
      <c r="H201" s="159"/>
      <c r="I201" s="160"/>
      <c r="J201" s="159"/>
      <c r="K201" s="159"/>
      <c r="L201" s="159"/>
      <c r="M201" s="159"/>
      <c r="N201" s="159"/>
      <c r="O201" s="159"/>
      <c r="P201" s="159"/>
      <c r="Q201" s="159"/>
      <c r="R201" s="159"/>
    </row>
    <row r="202" spans="1:18" ht="15.75" customHeight="1" x14ac:dyDescent="0.25">
      <c r="A202" s="159"/>
      <c r="B202" s="160"/>
      <c r="C202" s="159"/>
      <c r="D202" s="159"/>
      <c r="E202" s="159"/>
      <c r="F202" s="159"/>
      <c r="G202" s="159"/>
      <c r="H202" s="159"/>
      <c r="I202" s="160"/>
      <c r="J202" s="159"/>
      <c r="K202" s="159"/>
      <c r="L202" s="159"/>
      <c r="M202" s="159"/>
      <c r="N202" s="159"/>
      <c r="O202" s="159"/>
      <c r="P202" s="159"/>
      <c r="Q202" s="159"/>
      <c r="R202" s="159"/>
    </row>
    <row r="203" spans="1:18" ht="15.75" customHeight="1" x14ac:dyDescent="0.25">
      <c r="A203" s="159"/>
      <c r="B203" s="160"/>
      <c r="C203" s="159"/>
      <c r="D203" s="159"/>
      <c r="E203" s="159"/>
      <c r="F203" s="159"/>
      <c r="G203" s="159"/>
      <c r="H203" s="159"/>
      <c r="I203" s="160"/>
      <c r="J203" s="159"/>
      <c r="K203" s="159"/>
      <c r="L203" s="159"/>
      <c r="M203" s="159"/>
      <c r="N203" s="159"/>
      <c r="O203" s="159"/>
      <c r="P203" s="159"/>
      <c r="Q203" s="159"/>
      <c r="R203" s="159"/>
    </row>
    <row r="204" spans="1:18" ht="15.75" customHeight="1" x14ac:dyDescent="0.25">
      <c r="A204" s="159"/>
      <c r="B204" s="160"/>
      <c r="C204" s="159"/>
      <c r="D204" s="159"/>
      <c r="E204" s="159"/>
      <c r="F204" s="159"/>
      <c r="G204" s="159"/>
      <c r="H204" s="159"/>
      <c r="I204" s="160"/>
      <c r="J204" s="159"/>
      <c r="K204" s="159"/>
      <c r="L204" s="159"/>
      <c r="M204" s="159"/>
      <c r="N204" s="159"/>
      <c r="O204" s="159"/>
      <c r="P204" s="159"/>
      <c r="Q204" s="159"/>
      <c r="R204" s="159"/>
    </row>
    <row r="205" spans="1:18" ht="15.75" customHeight="1" x14ac:dyDescent="0.25">
      <c r="A205" s="159"/>
      <c r="B205" s="160"/>
      <c r="C205" s="159"/>
      <c r="D205" s="159"/>
      <c r="E205" s="159"/>
      <c r="F205" s="159"/>
      <c r="G205" s="159"/>
      <c r="H205" s="159"/>
      <c r="I205" s="160"/>
      <c r="J205" s="159"/>
      <c r="K205" s="159"/>
      <c r="L205" s="159"/>
      <c r="M205" s="159"/>
      <c r="N205" s="159"/>
      <c r="O205" s="159"/>
      <c r="P205" s="159"/>
      <c r="Q205" s="159"/>
      <c r="R205" s="159"/>
    </row>
    <row r="206" spans="1:18" ht="15.75" customHeight="1" x14ac:dyDescent="0.25">
      <c r="A206" s="159"/>
      <c r="B206" s="160"/>
      <c r="C206" s="159"/>
      <c r="D206" s="159"/>
      <c r="E206" s="159"/>
      <c r="F206" s="159"/>
      <c r="G206" s="159"/>
      <c r="H206" s="159"/>
      <c r="I206" s="160"/>
      <c r="J206" s="159"/>
      <c r="K206" s="159"/>
      <c r="L206" s="159"/>
      <c r="M206" s="159"/>
      <c r="N206" s="159"/>
      <c r="O206" s="159"/>
      <c r="P206" s="159"/>
      <c r="Q206" s="159"/>
      <c r="R206" s="159"/>
    </row>
    <row r="207" spans="1:18" ht="15.75" customHeight="1" x14ac:dyDescent="0.25">
      <c r="A207" s="159"/>
      <c r="B207" s="160"/>
      <c r="C207" s="159"/>
      <c r="D207" s="159"/>
      <c r="E207" s="159"/>
      <c r="F207" s="159"/>
      <c r="G207" s="159"/>
      <c r="H207" s="159"/>
      <c r="I207" s="160"/>
      <c r="J207" s="159"/>
      <c r="K207" s="159"/>
      <c r="L207" s="159"/>
      <c r="M207" s="159"/>
      <c r="N207" s="159"/>
      <c r="O207" s="159"/>
      <c r="P207" s="159"/>
      <c r="Q207" s="159"/>
      <c r="R207" s="159"/>
    </row>
    <row r="208" spans="1:18" ht="15.75" customHeight="1" x14ac:dyDescent="0.25">
      <c r="A208" s="159"/>
      <c r="B208" s="160"/>
      <c r="C208" s="159"/>
      <c r="D208" s="159"/>
      <c r="E208" s="159"/>
      <c r="F208" s="159"/>
      <c r="G208" s="159"/>
      <c r="H208" s="159"/>
      <c r="I208" s="160"/>
      <c r="J208" s="159"/>
      <c r="K208" s="159"/>
      <c r="L208" s="159"/>
      <c r="M208" s="159"/>
      <c r="N208" s="159"/>
      <c r="O208" s="159"/>
      <c r="P208" s="159"/>
      <c r="Q208" s="159"/>
      <c r="R208" s="159"/>
    </row>
    <row r="209" spans="1:18" ht="15.75" customHeight="1" x14ac:dyDescent="0.25">
      <c r="A209" s="159"/>
      <c r="B209" s="160"/>
      <c r="C209" s="159"/>
      <c r="D209" s="159"/>
      <c r="E209" s="159"/>
      <c r="F209" s="159"/>
      <c r="G209" s="159"/>
      <c r="H209" s="159"/>
      <c r="I209" s="160"/>
      <c r="J209" s="159"/>
      <c r="K209" s="159"/>
      <c r="L209" s="159"/>
      <c r="M209" s="159"/>
      <c r="N209" s="159"/>
      <c r="O209" s="159"/>
      <c r="P209" s="159"/>
      <c r="Q209" s="159"/>
      <c r="R209" s="159"/>
    </row>
    <row r="210" spans="1:18" ht="15.75" customHeight="1" x14ac:dyDescent="0.25">
      <c r="A210" s="159"/>
      <c r="B210" s="160"/>
      <c r="C210" s="159"/>
      <c r="D210" s="159"/>
      <c r="E210" s="159"/>
      <c r="F210" s="159"/>
      <c r="G210" s="159"/>
      <c r="H210" s="159"/>
      <c r="I210" s="160"/>
      <c r="J210" s="159"/>
      <c r="K210" s="159"/>
      <c r="L210" s="159"/>
      <c r="M210" s="159"/>
      <c r="N210" s="159"/>
      <c r="O210" s="159"/>
      <c r="P210" s="159"/>
      <c r="Q210" s="159"/>
      <c r="R210" s="159"/>
    </row>
    <row r="211" spans="1:18" ht="15.75" customHeight="1" x14ac:dyDescent="0.25">
      <c r="A211" s="159"/>
      <c r="B211" s="160"/>
      <c r="C211" s="159"/>
      <c r="D211" s="159"/>
      <c r="E211" s="159"/>
      <c r="F211" s="159"/>
      <c r="G211" s="159"/>
      <c r="H211" s="159"/>
      <c r="I211" s="160"/>
      <c r="J211" s="159"/>
      <c r="K211" s="159"/>
      <c r="L211" s="159"/>
      <c r="M211" s="159"/>
      <c r="N211" s="159"/>
      <c r="O211" s="159"/>
      <c r="P211" s="159"/>
      <c r="Q211" s="159"/>
      <c r="R211" s="159"/>
    </row>
    <row r="212" spans="1:18" ht="15.75" customHeight="1" x14ac:dyDescent="0.25">
      <c r="A212" s="159"/>
      <c r="B212" s="160"/>
      <c r="C212" s="159"/>
      <c r="D212" s="159"/>
      <c r="E212" s="159"/>
      <c r="F212" s="159"/>
      <c r="G212" s="159"/>
      <c r="H212" s="159"/>
      <c r="I212" s="160"/>
      <c r="J212" s="159"/>
      <c r="K212" s="159"/>
      <c r="L212" s="159"/>
      <c r="M212" s="159"/>
      <c r="N212" s="159"/>
      <c r="O212" s="159"/>
      <c r="P212" s="159"/>
      <c r="Q212" s="159"/>
      <c r="R212" s="159"/>
    </row>
    <row r="213" spans="1:18" ht="15.75" customHeight="1" x14ac:dyDescent="0.25">
      <c r="A213" s="159"/>
      <c r="B213" s="160"/>
      <c r="C213" s="159"/>
      <c r="D213" s="159"/>
      <c r="E213" s="159"/>
      <c r="F213" s="159"/>
      <c r="G213" s="159"/>
      <c r="H213" s="159"/>
      <c r="I213" s="160"/>
      <c r="J213" s="159"/>
      <c r="K213" s="159"/>
      <c r="L213" s="159"/>
      <c r="M213" s="159"/>
      <c r="N213" s="159"/>
      <c r="O213" s="159"/>
      <c r="P213" s="159"/>
      <c r="Q213" s="159"/>
      <c r="R213" s="159"/>
    </row>
    <row r="214" spans="1:18" ht="15.75" customHeight="1" x14ac:dyDescent="0.25">
      <c r="A214" s="159"/>
      <c r="B214" s="160"/>
      <c r="C214" s="159"/>
      <c r="D214" s="159"/>
      <c r="E214" s="159"/>
      <c r="F214" s="159"/>
      <c r="G214" s="159"/>
      <c r="H214" s="159"/>
      <c r="I214" s="160"/>
      <c r="J214" s="159"/>
      <c r="K214" s="159"/>
      <c r="L214" s="159"/>
      <c r="M214" s="159"/>
      <c r="N214" s="159"/>
      <c r="O214" s="159"/>
      <c r="P214" s="159"/>
      <c r="Q214" s="159"/>
      <c r="R214" s="159"/>
    </row>
    <row r="215" spans="1:18" ht="15.75" customHeight="1" x14ac:dyDescent="0.25">
      <c r="A215" s="159"/>
      <c r="B215" s="160"/>
      <c r="C215" s="159"/>
      <c r="D215" s="159"/>
      <c r="E215" s="159"/>
      <c r="F215" s="159"/>
      <c r="G215" s="159"/>
      <c r="H215" s="159"/>
      <c r="I215" s="160"/>
      <c r="J215" s="159"/>
      <c r="K215" s="159"/>
      <c r="L215" s="159"/>
      <c r="M215" s="159"/>
      <c r="N215" s="159"/>
      <c r="O215" s="159"/>
      <c r="P215" s="159"/>
      <c r="Q215" s="159"/>
      <c r="R215" s="159"/>
    </row>
    <row r="216" spans="1:18" ht="15.75" customHeight="1" x14ac:dyDescent="0.25">
      <c r="A216" s="159"/>
      <c r="B216" s="160"/>
      <c r="C216" s="159"/>
      <c r="D216" s="159"/>
      <c r="E216" s="159"/>
      <c r="F216" s="159"/>
      <c r="G216" s="159"/>
      <c r="H216" s="159"/>
      <c r="I216" s="160"/>
      <c r="J216" s="159"/>
      <c r="K216" s="159"/>
      <c r="L216" s="159"/>
      <c r="M216" s="159"/>
      <c r="N216" s="159"/>
      <c r="O216" s="159"/>
      <c r="P216" s="159"/>
      <c r="Q216" s="159"/>
      <c r="R216" s="159"/>
    </row>
    <row r="217" spans="1:18" ht="15.75" customHeight="1" x14ac:dyDescent="0.25">
      <c r="A217" s="159"/>
      <c r="B217" s="160"/>
      <c r="C217" s="159"/>
      <c r="D217" s="159"/>
      <c r="E217" s="159"/>
      <c r="F217" s="159"/>
      <c r="G217" s="159"/>
      <c r="H217" s="159"/>
      <c r="I217" s="160"/>
      <c r="J217" s="159"/>
      <c r="K217" s="159"/>
      <c r="L217" s="159"/>
      <c r="M217" s="159"/>
      <c r="N217" s="159"/>
      <c r="O217" s="159"/>
      <c r="P217" s="159"/>
      <c r="Q217" s="159"/>
      <c r="R217" s="159"/>
    </row>
    <row r="218" spans="1:18" ht="15.75" customHeight="1" x14ac:dyDescent="0.25">
      <c r="A218" s="159"/>
      <c r="B218" s="160"/>
      <c r="C218" s="159"/>
      <c r="D218" s="159"/>
      <c r="E218" s="159"/>
      <c r="F218" s="159"/>
      <c r="G218" s="159"/>
      <c r="H218" s="159"/>
      <c r="I218" s="160"/>
      <c r="J218" s="159"/>
      <c r="K218" s="159"/>
      <c r="L218" s="159"/>
      <c r="M218" s="159"/>
      <c r="N218" s="159"/>
      <c r="O218" s="159"/>
      <c r="P218" s="159"/>
      <c r="Q218" s="159"/>
      <c r="R218" s="159"/>
    </row>
    <row r="219" spans="1:18" ht="15.75" customHeight="1" x14ac:dyDescent="0.25">
      <c r="A219" s="159"/>
      <c r="B219" s="160"/>
      <c r="C219" s="159"/>
      <c r="D219" s="159"/>
      <c r="E219" s="159"/>
      <c r="F219" s="159"/>
      <c r="G219" s="159"/>
      <c r="H219" s="159"/>
      <c r="I219" s="160"/>
      <c r="J219" s="159"/>
      <c r="K219" s="159"/>
      <c r="L219" s="159"/>
      <c r="M219" s="159"/>
      <c r="N219" s="159"/>
      <c r="O219" s="159"/>
      <c r="P219" s="159"/>
      <c r="Q219" s="159"/>
      <c r="R219" s="159"/>
    </row>
    <row r="220" spans="1:18" ht="15.75" customHeight="1" x14ac:dyDescent="0.25">
      <c r="A220" s="159"/>
      <c r="B220" s="160"/>
      <c r="C220" s="159"/>
      <c r="D220" s="159"/>
      <c r="E220" s="159"/>
      <c r="F220" s="159"/>
      <c r="G220" s="159"/>
      <c r="H220" s="159"/>
      <c r="I220" s="160"/>
      <c r="J220" s="159"/>
      <c r="K220" s="159"/>
      <c r="L220" s="159"/>
      <c r="M220" s="159"/>
      <c r="N220" s="159"/>
      <c r="O220" s="159"/>
      <c r="P220" s="159"/>
      <c r="Q220" s="159"/>
      <c r="R220" s="159"/>
    </row>
    <row r="221" spans="1:18" ht="15.75" customHeight="1" x14ac:dyDescent="0.25">
      <c r="A221" s="159"/>
      <c r="B221" s="160"/>
      <c r="C221" s="159"/>
      <c r="D221" s="159"/>
      <c r="E221" s="159"/>
      <c r="F221" s="159"/>
      <c r="G221" s="159"/>
      <c r="H221" s="159"/>
      <c r="I221" s="160"/>
      <c r="J221" s="159"/>
      <c r="K221" s="159"/>
      <c r="L221" s="159"/>
      <c r="M221" s="159"/>
      <c r="N221" s="159"/>
      <c r="O221" s="159"/>
      <c r="P221" s="159"/>
      <c r="Q221" s="159"/>
      <c r="R221" s="159"/>
    </row>
    <row r="222" spans="1:18" ht="15.75" customHeight="1" x14ac:dyDescent="0.25">
      <c r="A222" s="159"/>
      <c r="B222" s="160"/>
      <c r="C222" s="159"/>
      <c r="D222" s="159"/>
      <c r="E222" s="159"/>
      <c r="F222" s="159"/>
      <c r="G222" s="159"/>
      <c r="H222" s="159"/>
      <c r="I222" s="160"/>
      <c r="J222" s="159"/>
      <c r="K222" s="159"/>
      <c r="L222" s="159"/>
      <c r="M222" s="159"/>
      <c r="N222" s="159"/>
      <c r="O222" s="159"/>
      <c r="P222" s="159"/>
      <c r="Q222" s="159"/>
      <c r="R222" s="159"/>
    </row>
    <row r="223" spans="1:18" ht="15.75" customHeight="1" x14ac:dyDescent="0.25">
      <c r="A223" s="159"/>
      <c r="B223" s="160"/>
      <c r="C223" s="159"/>
      <c r="D223" s="159"/>
      <c r="E223" s="159"/>
      <c r="F223" s="159"/>
      <c r="G223" s="159"/>
      <c r="H223" s="159"/>
      <c r="I223" s="160"/>
      <c r="J223" s="159"/>
      <c r="K223" s="159"/>
      <c r="L223" s="159"/>
      <c r="M223" s="159"/>
      <c r="N223" s="159"/>
      <c r="O223" s="159"/>
      <c r="P223" s="159"/>
      <c r="Q223" s="159"/>
      <c r="R223" s="159"/>
    </row>
    <row r="224" spans="1:18" ht="15.75" customHeight="1" x14ac:dyDescent="0.25">
      <c r="A224" s="159"/>
      <c r="B224" s="160"/>
      <c r="C224" s="159"/>
      <c r="D224" s="159"/>
      <c r="E224" s="159"/>
      <c r="F224" s="159"/>
      <c r="G224" s="159"/>
      <c r="H224" s="159"/>
      <c r="I224" s="160"/>
      <c r="J224" s="159"/>
      <c r="K224" s="159"/>
      <c r="L224" s="159"/>
      <c r="M224" s="159"/>
      <c r="N224" s="159"/>
      <c r="O224" s="159"/>
      <c r="P224" s="159"/>
      <c r="Q224" s="159"/>
      <c r="R224" s="159"/>
    </row>
    <row r="225" spans="1:18" ht="15.75" customHeight="1" x14ac:dyDescent="0.25">
      <c r="A225" s="159"/>
      <c r="B225" s="160"/>
      <c r="C225" s="159"/>
      <c r="D225" s="159"/>
      <c r="E225" s="159"/>
      <c r="F225" s="159"/>
      <c r="G225" s="159"/>
      <c r="H225" s="159"/>
      <c r="I225" s="160"/>
      <c r="J225" s="159"/>
      <c r="K225" s="159"/>
      <c r="L225" s="159"/>
      <c r="M225" s="159"/>
      <c r="N225" s="159"/>
      <c r="O225" s="159"/>
      <c r="P225" s="159"/>
      <c r="Q225" s="159"/>
      <c r="R225" s="159"/>
    </row>
    <row r="226" spans="1:18" ht="15.75" customHeight="1" x14ac:dyDescent="0.25">
      <c r="A226" s="159"/>
      <c r="B226" s="160"/>
      <c r="C226" s="159"/>
      <c r="D226" s="159"/>
      <c r="E226" s="159"/>
      <c r="F226" s="159"/>
      <c r="G226" s="159"/>
      <c r="H226" s="159"/>
      <c r="I226" s="160"/>
      <c r="J226" s="159"/>
      <c r="K226" s="159"/>
      <c r="L226" s="159"/>
      <c r="M226" s="159"/>
      <c r="N226" s="159"/>
      <c r="O226" s="159"/>
      <c r="P226" s="159"/>
      <c r="Q226" s="159"/>
      <c r="R226" s="159"/>
    </row>
    <row r="227" spans="1:18" ht="15.75" customHeight="1" x14ac:dyDescent="0.25">
      <c r="A227" s="159"/>
      <c r="B227" s="160"/>
      <c r="C227" s="159"/>
      <c r="D227" s="159"/>
      <c r="E227" s="159"/>
      <c r="F227" s="159"/>
      <c r="G227" s="159"/>
      <c r="H227" s="159"/>
      <c r="I227" s="160"/>
      <c r="J227" s="159"/>
      <c r="K227" s="159"/>
      <c r="L227" s="159"/>
      <c r="M227" s="159"/>
      <c r="N227" s="159"/>
      <c r="O227" s="159"/>
      <c r="P227" s="159"/>
      <c r="Q227" s="159"/>
      <c r="R227" s="159"/>
    </row>
    <row r="228" spans="1:18" ht="15.75" customHeight="1" x14ac:dyDescent="0.25">
      <c r="A228" s="159"/>
      <c r="B228" s="160"/>
      <c r="C228" s="159"/>
      <c r="D228" s="159"/>
      <c r="E228" s="159"/>
      <c r="F228" s="159"/>
      <c r="G228" s="159"/>
      <c r="H228" s="159"/>
      <c r="I228" s="160"/>
      <c r="J228" s="159"/>
      <c r="K228" s="159"/>
      <c r="L228" s="159"/>
      <c r="M228" s="159"/>
      <c r="N228" s="159"/>
      <c r="O228" s="159"/>
      <c r="P228" s="159"/>
      <c r="Q228" s="159"/>
      <c r="R228" s="159"/>
    </row>
    <row r="229" spans="1:18" ht="15.75" customHeight="1" x14ac:dyDescent="0.25"/>
    <row r="230" spans="1:18" ht="15.75" customHeight="1" x14ac:dyDescent="0.25"/>
    <row r="231" spans="1:18" ht="15.75" customHeight="1" x14ac:dyDescent="0.25"/>
    <row r="232" spans="1:18" ht="15.75" customHeight="1" x14ac:dyDescent="0.25"/>
    <row r="233" spans="1:18" ht="15.75" customHeight="1" x14ac:dyDescent="0.25"/>
    <row r="234" spans="1:18" ht="15.75" customHeight="1" x14ac:dyDescent="0.25"/>
    <row r="235" spans="1:18" ht="15.75" customHeight="1" x14ac:dyDescent="0.25"/>
    <row r="236" spans="1:18" ht="15.75" customHeight="1" x14ac:dyDescent="0.25"/>
    <row r="237" spans="1:18" ht="15.75" customHeight="1" x14ac:dyDescent="0.25"/>
    <row r="238" spans="1:18" ht="15.75" customHeight="1" x14ac:dyDescent="0.25"/>
    <row r="239" spans="1:18" ht="15.75" customHeight="1" x14ac:dyDescent="0.25"/>
    <row r="240" spans="1:18"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B3:N3"/>
    <mergeCell ref="B6:C6"/>
    <mergeCell ref="C13:D13"/>
    <mergeCell ref="C18:D18"/>
    <mergeCell ref="C19:D19"/>
    <mergeCell ref="C16:D16"/>
    <mergeCell ref="C17:D17"/>
    <mergeCell ref="C14:D14"/>
    <mergeCell ref="C15:D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5E210-0F3D-4611-96A5-18F6C73A3BC2}">
  <dimension ref="A1:T27"/>
  <sheetViews>
    <sheetView workbookViewId="0">
      <selection activeCell="C12" sqref="B12:C12"/>
    </sheetView>
  </sheetViews>
  <sheetFormatPr baseColWidth="10" defaultRowHeight="15" x14ac:dyDescent="0.25"/>
  <cols>
    <col min="1" max="1" width="24.28515625" style="2" bestFit="1" customWidth="1"/>
    <col min="3" max="6" width="15.5703125" bestFit="1" customWidth="1"/>
    <col min="7" max="8" width="15.5703125" customWidth="1"/>
    <col min="9" max="9" width="17.5703125" bestFit="1" customWidth="1"/>
    <col min="10" max="10" width="17.5703125" customWidth="1"/>
    <col min="11" max="11" width="15.5703125" customWidth="1"/>
    <col min="12" max="13" width="12" bestFit="1" customWidth="1"/>
    <col min="15" max="16" width="16.7109375" bestFit="1" customWidth="1"/>
    <col min="17" max="17" width="19.7109375" bestFit="1" customWidth="1"/>
    <col min="18" max="19" width="15.5703125" bestFit="1" customWidth="1"/>
  </cols>
  <sheetData>
    <row r="1" spans="1:20" ht="15.75" thickBot="1" x14ac:dyDescent="0.3">
      <c r="A1" s="134">
        <v>0.1</v>
      </c>
    </row>
    <row r="2" spans="1:20" ht="15.75" thickBot="1" x14ac:dyDescent="0.3">
      <c r="A2" s="193" t="s">
        <v>233</v>
      </c>
      <c r="B2" s="194" t="s">
        <v>234</v>
      </c>
      <c r="C2" s="195" t="s">
        <v>235</v>
      </c>
      <c r="D2" s="195" t="s">
        <v>236</v>
      </c>
      <c r="E2" s="196" t="s">
        <v>237</v>
      </c>
      <c r="F2" s="197" t="s">
        <v>238</v>
      </c>
      <c r="G2" s="193" t="s">
        <v>239</v>
      </c>
      <c r="H2" s="198" t="s">
        <v>240</v>
      </c>
      <c r="I2" s="199" t="s">
        <v>241</v>
      </c>
      <c r="J2" s="197" t="s">
        <v>242</v>
      </c>
      <c r="L2" s="200" t="s">
        <v>226</v>
      </c>
      <c r="M2" s="201" t="s">
        <v>227</v>
      </c>
      <c r="O2" s="194" t="s">
        <v>234</v>
      </c>
      <c r="P2" s="195" t="s">
        <v>235</v>
      </c>
      <c r="Q2" s="195" t="s">
        <v>236</v>
      </c>
      <c r="R2" s="196" t="s">
        <v>237</v>
      </c>
      <c r="S2" s="193" t="s">
        <v>243</v>
      </c>
      <c r="T2" s="199" t="s">
        <v>242</v>
      </c>
    </row>
    <row r="3" spans="1:20" ht="15.75" thickBot="1" x14ac:dyDescent="0.3">
      <c r="A3" s="202">
        <v>8.3999999999999995E-3</v>
      </c>
      <c r="B3" s="208">
        <v>0</v>
      </c>
      <c r="C3" s="209">
        <f>-'Plan de Inversión'!C5</f>
        <v>-41773000</v>
      </c>
      <c r="D3" s="210">
        <v>0</v>
      </c>
      <c r="E3" s="211">
        <f>D3+C3</f>
        <v>-41773000</v>
      </c>
      <c r="F3" s="203">
        <f>NPV(A9,E4:E15)+E3</f>
        <v>-17230361.506747961</v>
      </c>
      <c r="G3" s="204">
        <f>NPV(A9,E4:E21)+E3</f>
        <v>-19571395.47770289</v>
      </c>
      <c r="H3" s="154">
        <f>E3+E4</f>
        <v>-40639660</v>
      </c>
      <c r="I3" s="205">
        <f>B13+(H13*-1)/E14</f>
        <v>15.125276652095813</v>
      </c>
      <c r="J3" s="206">
        <f>MIRR(E3:E27,I5,I6)</f>
        <v>2.6192348839040314E-3</v>
      </c>
      <c r="K3" s="114"/>
      <c r="L3" s="207" t="s">
        <v>244</v>
      </c>
      <c r="M3" s="207" t="s">
        <v>244</v>
      </c>
      <c r="O3" s="208">
        <v>0</v>
      </c>
      <c r="P3" s="209">
        <f>C3</f>
        <v>-41773000</v>
      </c>
      <c r="Q3" s="210">
        <v>0</v>
      </c>
      <c r="R3" s="211">
        <f>Q3+P3</f>
        <v>-41773000</v>
      </c>
      <c r="S3" s="212">
        <f>NPV(A1+A5,R4:R9)+R3</f>
        <v>-17856024.097414259</v>
      </c>
      <c r="T3" s="213">
        <f>MIRR(R3:R8,A5,A1)</f>
        <v>4.0286659805351066E-2</v>
      </c>
    </row>
    <row r="4" spans="1:20" x14ac:dyDescent="0.25">
      <c r="A4" s="193" t="s">
        <v>245</v>
      </c>
      <c r="B4" s="19">
        <v>1</v>
      </c>
      <c r="C4" s="226">
        <f>-(Costeo!$J$18+Costeo!$J$7)</f>
        <v>-1456100</v>
      </c>
      <c r="D4" s="214">
        <f>L4*'Punto de Equilibrio'!$C$10</f>
        <v>2589440</v>
      </c>
      <c r="E4" s="150">
        <f>D4+C4</f>
        <v>1133340</v>
      </c>
      <c r="F4" s="153" t="s">
        <v>246</v>
      </c>
      <c r="H4" s="154">
        <f>H3+E5</f>
        <v>-39506320</v>
      </c>
      <c r="I4" s="114"/>
      <c r="J4" s="114"/>
      <c r="K4" s="114"/>
      <c r="L4" s="215">
        <v>152.32</v>
      </c>
      <c r="M4" s="215">
        <f>'Proyección de ventas'!$E$30*'Proyección de ventas'!D4</f>
        <v>167.55200000000002</v>
      </c>
      <c r="O4" s="19">
        <v>1</v>
      </c>
      <c r="P4" s="114">
        <f>SUM(C4:C15)</f>
        <v>-35773200</v>
      </c>
      <c r="Q4" s="214">
        <f>SUM(D4:D15)</f>
        <v>64736000</v>
      </c>
      <c r="R4" s="150">
        <f>Q4+P4</f>
        <v>28962800</v>
      </c>
      <c r="S4" s="19"/>
      <c r="T4" s="216"/>
    </row>
    <row r="5" spans="1:20" ht="15.75" thickBot="1" x14ac:dyDescent="0.3">
      <c r="A5" s="217">
        <v>0.2</v>
      </c>
      <c r="B5" s="19">
        <v>2</v>
      </c>
      <c r="C5" s="226">
        <f>-(Costeo!$J$18+Costeo!$J$7)</f>
        <v>-1456100</v>
      </c>
      <c r="D5" s="214">
        <f>L5*'Punto de Equilibrio'!$C$10</f>
        <v>2589440</v>
      </c>
      <c r="E5" s="150">
        <f t="shared" ref="E5:E27" si="0">D5+C5</f>
        <v>1133340</v>
      </c>
      <c r="F5" s="185">
        <f>NPV(A9,E4:E27)+E3</f>
        <v>-8273526.4069813192</v>
      </c>
      <c r="H5" s="184">
        <f t="shared" ref="H5:H16" si="1">H4+E6</f>
        <v>-37725620</v>
      </c>
      <c r="I5" s="1"/>
      <c r="J5" s="114"/>
      <c r="K5" s="114"/>
      <c r="L5" s="215">
        <v>152.32</v>
      </c>
      <c r="M5" s="215">
        <f>'Proyección de ventas'!$E$30*'Proyección de ventas'!D5</f>
        <v>167.55200000000002</v>
      </c>
      <c r="O5" s="19">
        <v>2</v>
      </c>
      <c r="P5" s="114">
        <f>SUM(C16:C27)</f>
        <v>-62429774.880000018</v>
      </c>
      <c r="Q5" s="214">
        <f>SUM(D16:D27)</f>
        <v>78330560</v>
      </c>
      <c r="R5" s="150">
        <f t="shared" ref="R5:R7" si="2">Q5+P5</f>
        <v>15900785.119999982</v>
      </c>
      <c r="S5" s="19"/>
      <c r="T5" s="216"/>
    </row>
    <row r="6" spans="1:20" x14ac:dyDescent="0.25">
      <c r="A6" s="193" t="s">
        <v>247</v>
      </c>
      <c r="B6" s="19">
        <v>3</v>
      </c>
      <c r="C6" s="226">
        <f>-(Costeo!$J$18+Costeo!$J$7)</f>
        <v>-1456100</v>
      </c>
      <c r="D6" s="214">
        <f>L6*'Punto de Equilibrio'!$C$10</f>
        <v>3236800</v>
      </c>
      <c r="E6" s="150">
        <f t="shared" si="0"/>
        <v>1780700</v>
      </c>
      <c r="H6" s="184">
        <f t="shared" si="1"/>
        <v>-35297560</v>
      </c>
      <c r="I6" s="1"/>
      <c r="J6" s="114"/>
      <c r="K6" s="114"/>
      <c r="L6" s="215">
        <v>190.4</v>
      </c>
      <c r="M6" s="215">
        <f>'Proyección de ventas'!$E$30*'Proyección de ventas'!D6</f>
        <v>209.44000000000003</v>
      </c>
      <c r="O6" s="19">
        <v>3</v>
      </c>
      <c r="P6" s="114">
        <f>P5*Q14-1500000*12</f>
        <v>-85424156.870400026</v>
      </c>
      <c r="Q6" s="214">
        <f>Q5*R12</f>
        <v>86163616</v>
      </c>
      <c r="R6" s="150">
        <f t="shared" si="2"/>
        <v>739459.12959997356</v>
      </c>
      <c r="S6" s="19"/>
      <c r="T6" s="216"/>
    </row>
    <row r="7" spans="1:20" ht="15.75" thickBot="1" x14ac:dyDescent="0.3">
      <c r="A7" s="218">
        <v>1.5299999999999999E-2</v>
      </c>
      <c r="B7" s="19">
        <v>4</v>
      </c>
      <c r="C7" s="226">
        <f>-(Costeo!$J$18+Costeo!$J$7)</f>
        <v>-1456100</v>
      </c>
      <c r="D7" s="214">
        <f>L7*'Punto de Equilibrio'!$C$10</f>
        <v>3884160</v>
      </c>
      <c r="E7" s="150">
        <f t="shared" si="0"/>
        <v>2428060</v>
      </c>
      <c r="H7" s="184">
        <f t="shared" si="1"/>
        <v>-31574780</v>
      </c>
      <c r="I7" s="114"/>
      <c r="J7" s="114"/>
      <c r="K7" s="114"/>
      <c r="L7" s="215">
        <v>228.48</v>
      </c>
      <c r="M7" s="215">
        <f>'Proyección de ventas'!$E$30*'Proyección de ventas'!D7</f>
        <v>251.328</v>
      </c>
      <c r="O7" s="19">
        <v>4</v>
      </c>
      <c r="P7" s="114">
        <f>P6*Q14</f>
        <v>-92258089.420032039</v>
      </c>
      <c r="Q7" s="214">
        <f>Q6*$R$12</f>
        <v>94779977.600000009</v>
      </c>
      <c r="R7" s="150">
        <f t="shared" si="2"/>
        <v>2521888.1799679697</v>
      </c>
      <c r="S7" s="19"/>
      <c r="T7" s="216"/>
    </row>
    <row r="8" spans="1:20" ht="15.75" thickBot="1" x14ac:dyDescent="0.3">
      <c r="A8" s="219" t="s">
        <v>248</v>
      </c>
      <c r="B8" s="19">
        <v>5</v>
      </c>
      <c r="C8" s="226">
        <f>-(Costeo!$J$18+Costeo!$J$7)</f>
        <v>-1456100</v>
      </c>
      <c r="D8" s="214">
        <f>L8*'Punto de Equilibrio'!$C$10</f>
        <v>5178880</v>
      </c>
      <c r="E8" s="150">
        <f t="shared" si="0"/>
        <v>3722780</v>
      </c>
      <c r="H8" s="184">
        <f t="shared" si="1"/>
        <v>-27204640</v>
      </c>
      <c r="I8" s="114"/>
      <c r="J8" s="114"/>
      <c r="K8" s="114"/>
      <c r="L8" s="215">
        <v>304.64</v>
      </c>
      <c r="M8" s="215">
        <f>'Proyección de ventas'!$E$30*'Proyección de ventas'!D8</f>
        <v>335.10400000000004</v>
      </c>
      <c r="O8" s="20">
        <v>5</v>
      </c>
      <c r="P8" s="220">
        <f>P7*Q14-[4]Gastos!G3-1500000*12</f>
        <v>-137638736.57363462</v>
      </c>
      <c r="Q8" s="221">
        <f>Q7*$R$12</f>
        <v>104257975.36000001</v>
      </c>
      <c r="R8" s="151">
        <f>Q8+P8</f>
        <v>-33380761.21363461</v>
      </c>
      <c r="S8" s="20" t="s">
        <v>249</v>
      </c>
      <c r="T8" s="222"/>
    </row>
    <row r="9" spans="1:20" x14ac:dyDescent="0.25">
      <c r="A9" s="223">
        <f>A7+A3</f>
        <v>2.3699999999999999E-2</v>
      </c>
      <c r="B9" s="19">
        <v>6</v>
      </c>
      <c r="C9" s="226">
        <f>-(Costeo!$J$18+Costeo!$J$7)</f>
        <v>-1456100</v>
      </c>
      <c r="D9" s="214">
        <f>L9*'Punto de Equilibrio'!$C$10</f>
        <v>5826239.9999999991</v>
      </c>
      <c r="E9" s="150">
        <f t="shared" si="0"/>
        <v>4370139.9999999991</v>
      </c>
      <c r="H9" s="184">
        <f t="shared" si="1"/>
        <v>-25884500</v>
      </c>
      <c r="I9" s="114"/>
      <c r="J9" s="114"/>
      <c r="K9" s="114"/>
      <c r="L9" s="215">
        <v>342.71999999999997</v>
      </c>
      <c r="M9" s="215">
        <f>'Proyección de ventas'!$E$30*'Proyección de ventas'!D9</f>
        <v>376.99200000000002</v>
      </c>
      <c r="O9" s="114"/>
    </row>
    <row r="10" spans="1:20" ht="15.75" thickBot="1" x14ac:dyDescent="0.3">
      <c r="A10" s="224" t="s">
        <v>250</v>
      </c>
      <c r="B10" s="19">
        <v>7</v>
      </c>
      <c r="C10" s="226">
        <f>-(-$C$9+Costeo!$J$4+Costeo!$J$5)</f>
        <v>-4506100</v>
      </c>
      <c r="D10" s="214">
        <f>L10*'Punto de Equilibrio'!$C$10</f>
        <v>5826239.9999999991</v>
      </c>
      <c r="E10" s="150">
        <f t="shared" si="0"/>
        <v>1320139.9999999991</v>
      </c>
      <c r="H10" s="184">
        <f t="shared" si="1"/>
        <v>-23917000</v>
      </c>
      <c r="I10" s="114"/>
      <c r="J10" s="114"/>
      <c r="K10" s="114"/>
      <c r="L10" s="215">
        <v>342.71999999999997</v>
      </c>
      <c r="M10" s="215">
        <f>'Proyección de ventas'!$E$30*'Proyección de ventas'!D10</f>
        <v>376.99200000000002</v>
      </c>
      <c r="O10" s="114"/>
    </row>
    <row r="11" spans="1:20" ht="15.75" thickBot="1" x14ac:dyDescent="0.3">
      <c r="B11" s="19">
        <v>8</v>
      </c>
      <c r="C11" s="226">
        <f>-(-$C$9+Costeo!$J$4+Costeo!$J$5)</f>
        <v>-4506100</v>
      </c>
      <c r="D11" s="214">
        <f>L11*'Punto de Equilibrio'!$C$10</f>
        <v>6473600</v>
      </c>
      <c r="E11" s="150">
        <f t="shared" si="0"/>
        <v>1967500</v>
      </c>
      <c r="H11" s="184">
        <f t="shared" si="1"/>
        <v>-21949500</v>
      </c>
      <c r="I11" s="114"/>
      <c r="J11" s="114"/>
      <c r="K11" s="114"/>
      <c r="L11" s="215">
        <v>380.8</v>
      </c>
      <c r="M11" s="215">
        <f>'Proyección de ventas'!$E$30*'Proyección de ventas'!D11</f>
        <v>418.88000000000005</v>
      </c>
      <c r="O11" s="114"/>
    </row>
    <row r="12" spans="1:20" ht="15.75" thickBot="1" x14ac:dyDescent="0.3">
      <c r="B12" s="19">
        <v>9</v>
      </c>
      <c r="C12" s="226">
        <f>-(-$C$9+Costeo!$J$4+Costeo!$J$5)</f>
        <v>-4506100</v>
      </c>
      <c r="D12" s="214">
        <f>L12*'Punto de Equilibrio'!$C$10</f>
        <v>6473600</v>
      </c>
      <c r="E12" s="150">
        <f t="shared" si="0"/>
        <v>1967500</v>
      </c>
      <c r="H12" s="184">
        <f t="shared" si="1"/>
        <v>-19982000</v>
      </c>
      <c r="I12" s="114"/>
      <c r="J12" s="114"/>
      <c r="K12" s="114"/>
      <c r="L12" s="215">
        <v>380.8</v>
      </c>
      <c r="M12" s="215">
        <f>'Proyección de ventas'!$E$30*'Proyección de ventas'!D12</f>
        <v>418.88000000000005</v>
      </c>
      <c r="O12" s="114"/>
      <c r="Q12" s="21" t="s">
        <v>251</v>
      </c>
      <c r="R12" s="225">
        <v>1.1000000000000001</v>
      </c>
    </row>
    <row r="13" spans="1:20" x14ac:dyDescent="0.25">
      <c r="B13" s="19">
        <v>10</v>
      </c>
      <c r="C13" s="226">
        <f>-(-$C$9+Costeo!$J$4+Costeo!$J$5)</f>
        <v>-4506100</v>
      </c>
      <c r="D13" s="214">
        <f>L13*'Punto de Equilibrio'!$C$10</f>
        <v>6473600</v>
      </c>
      <c r="E13" s="150">
        <f t="shared" si="0"/>
        <v>1967500</v>
      </c>
      <c r="H13" s="184">
        <f t="shared" si="1"/>
        <v>-16719780</v>
      </c>
      <c r="I13" s="114"/>
      <c r="J13" s="114"/>
      <c r="K13" s="114"/>
      <c r="L13" s="215">
        <v>380.8</v>
      </c>
      <c r="M13" s="215">
        <f>'Proyección de ventas'!$E$30*'Proyección de ventas'!D13</f>
        <v>418.88000000000005</v>
      </c>
      <c r="O13" s="114"/>
      <c r="Q13" s="153" t="s">
        <v>252</v>
      </c>
    </row>
    <row r="14" spans="1:20" ht="15.75" thickBot="1" x14ac:dyDescent="0.3">
      <c r="B14" s="19">
        <v>11</v>
      </c>
      <c r="C14" s="226">
        <f>-(-$C$9+Costeo!$J$4+Costeo!$J$5)</f>
        <v>-4506100</v>
      </c>
      <c r="D14" s="214">
        <f>L14*'Punto de Equilibrio'!$C$10</f>
        <v>7768320</v>
      </c>
      <c r="E14" s="150">
        <f t="shared" si="0"/>
        <v>3262220</v>
      </c>
      <c r="H14" s="184">
        <f t="shared" si="1"/>
        <v>-12810200</v>
      </c>
      <c r="I14" s="114"/>
      <c r="J14" s="114"/>
      <c r="K14" s="114"/>
      <c r="L14" s="215">
        <v>456.96</v>
      </c>
      <c r="M14" s="215">
        <f>'Proyección de ventas'!$E$30*'Proyección de ventas'!D14</f>
        <v>502.65600000000001</v>
      </c>
      <c r="O14" s="114"/>
      <c r="Q14" s="155">
        <v>1.08</v>
      </c>
    </row>
    <row r="15" spans="1:20" ht="15.75" thickBot="1" x14ac:dyDescent="0.3">
      <c r="B15" s="19">
        <v>12</v>
      </c>
      <c r="C15" s="226">
        <f>-(-$C$9+Costeo!$J$4+Costeo!$J$5)</f>
        <v>-4506100</v>
      </c>
      <c r="D15" s="214">
        <f>L15*'Punto de Equilibrio'!$C$10</f>
        <v>8415680</v>
      </c>
      <c r="E15" s="150">
        <f t="shared" si="0"/>
        <v>3909580</v>
      </c>
      <c r="G15" s="114"/>
      <c r="H15" s="184">
        <f t="shared" si="1"/>
        <v>-14879458.84</v>
      </c>
      <c r="I15" s="114"/>
      <c r="J15" s="114"/>
      <c r="K15" s="114"/>
      <c r="L15" s="129">
        <v>495.04</v>
      </c>
      <c r="M15" s="215">
        <f>'Proyección de ventas'!$E$30*'Proyección de ventas'!D15</f>
        <v>544.5440000000001</v>
      </c>
    </row>
    <row r="16" spans="1:20" ht="15.75" thickBot="1" x14ac:dyDescent="0.3">
      <c r="B16" s="19">
        <v>13</v>
      </c>
      <c r="C16" s="226">
        <f>-(Costeo!$J$19+Costeo!$J$10)</f>
        <v>-5202481.24</v>
      </c>
      <c r="D16" s="214">
        <f>'Punto de Equilibrio'!$C$10*1.1*M4</f>
        <v>3133222.4000000004</v>
      </c>
      <c r="E16" s="150">
        <f t="shared" si="0"/>
        <v>-2069258.8399999999</v>
      </c>
      <c r="G16" s="114"/>
      <c r="H16" s="185">
        <f t="shared" si="1"/>
        <v>-16948717.68</v>
      </c>
      <c r="I16" s="114"/>
      <c r="J16" s="114"/>
      <c r="K16" s="114" t="s">
        <v>253</v>
      </c>
      <c r="L16" s="149">
        <f>'[4]Proyección de ventas'!D25</f>
        <v>85000</v>
      </c>
      <c r="M16" s="149">
        <f>'[4]Proyección de ventas'!E25</f>
        <v>91800</v>
      </c>
    </row>
    <row r="17" spans="2:7" x14ac:dyDescent="0.25">
      <c r="B17" s="19">
        <v>14</v>
      </c>
      <c r="C17" s="226">
        <f>-(Costeo!$J$19+Costeo!$J$10)</f>
        <v>-5202481.24</v>
      </c>
      <c r="D17" s="214">
        <f>'Punto de Equilibrio'!$C$10*1.1*M5</f>
        <v>3133222.4000000004</v>
      </c>
      <c r="E17" s="150">
        <f t="shared" si="0"/>
        <v>-2069258.8399999999</v>
      </c>
      <c r="G17" s="114"/>
    </row>
    <row r="18" spans="2:7" x14ac:dyDescent="0.25">
      <c r="B18" s="19">
        <v>15</v>
      </c>
      <c r="C18" s="226">
        <f>-(Costeo!$J$19+Costeo!$J$10)</f>
        <v>-5202481.24</v>
      </c>
      <c r="D18" s="214">
        <f>'Punto de Equilibrio'!$C$10*1.1*M6</f>
        <v>3916528.0000000005</v>
      </c>
      <c r="E18" s="150">
        <f t="shared" si="0"/>
        <v>-1285953.2399999998</v>
      </c>
      <c r="G18" s="114"/>
    </row>
    <row r="19" spans="2:7" x14ac:dyDescent="0.25">
      <c r="B19" s="19">
        <v>16</v>
      </c>
      <c r="C19" s="226">
        <f>-(Costeo!$J$19+Costeo!$J$10)</f>
        <v>-5202481.24</v>
      </c>
      <c r="D19" s="214">
        <f>'Punto de Equilibrio'!$C$10*1.1*M7</f>
        <v>4699833.5999999996</v>
      </c>
      <c r="E19" s="150">
        <f t="shared" si="0"/>
        <v>-502647.6400000006</v>
      </c>
      <c r="G19" s="114"/>
    </row>
    <row r="20" spans="2:7" x14ac:dyDescent="0.25">
      <c r="B20" s="19">
        <v>17</v>
      </c>
      <c r="C20" s="226">
        <f>-(Costeo!$J$19+Costeo!$J$10)</f>
        <v>-5202481.24</v>
      </c>
      <c r="D20" s="214">
        <f>'Punto de Equilibrio'!$C$10*1.1*M8</f>
        <v>6266444.8000000007</v>
      </c>
      <c r="E20" s="150">
        <f t="shared" si="0"/>
        <v>1063963.5600000005</v>
      </c>
      <c r="G20" s="114"/>
    </row>
    <row r="21" spans="2:7" x14ac:dyDescent="0.25">
      <c r="B21" s="19">
        <v>18</v>
      </c>
      <c r="C21" s="226">
        <f>-(Costeo!$J$19+Costeo!$J$10)</f>
        <v>-5202481.24</v>
      </c>
      <c r="D21" s="214">
        <f>'Punto de Equilibrio'!$C$10*1.1*M9</f>
        <v>7049750.4000000004</v>
      </c>
      <c r="E21" s="150">
        <f t="shared" si="0"/>
        <v>1847269.1600000001</v>
      </c>
      <c r="G21" s="114"/>
    </row>
    <row r="22" spans="2:7" x14ac:dyDescent="0.25">
      <c r="B22" s="19">
        <v>19</v>
      </c>
      <c r="C22" s="226">
        <f>-(Costeo!$J$19+Costeo!$J$10)</f>
        <v>-5202481.24</v>
      </c>
      <c r="D22" s="214">
        <f>'Punto de Equilibrio'!$C$10*1.1*M10</f>
        <v>7049750.4000000004</v>
      </c>
      <c r="E22" s="150">
        <f t="shared" si="0"/>
        <v>1847269.1600000001</v>
      </c>
      <c r="G22" s="114"/>
    </row>
    <row r="23" spans="2:7" x14ac:dyDescent="0.25">
      <c r="B23" s="19">
        <v>20</v>
      </c>
      <c r="C23" s="226">
        <f>-(Costeo!$J$19+Costeo!$J$10)</f>
        <v>-5202481.24</v>
      </c>
      <c r="D23" s="214">
        <f>'Punto de Equilibrio'!$C$10*1.1*M11</f>
        <v>7833056.0000000009</v>
      </c>
      <c r="E23" s="150">
        <f t="shared" si="0"/>
        <v>2630574.7600000007</v>
      </c>
      <c r="G23" s="114"/>
    </row>
    <row r="24" spans="2:7" x14ac:dyDescent="0.25">
      <c r="B24" s="19">
        <v>21</v>
      </c>
      <c r="C24" s="226">
        <f>-(Costeo!$J$19+Costeo!$J$10)</f>
        <v>-5202481.24</v>
      </c>
      <c r="D24" s="214">
        <f>'Punto de Equilibrio'!$C$10*1.1*M12</f>
        <v>7833056.0000000009</v>
      </c>
      <c r="E24" s="150">
        <f t="shared" si="0"/>
        <v>2630574.7600000007</v>
      </c>
      <c r="G24" s="114"/>
    </row>
    <row r="25" spans="2:7" x14ac:dyDescent="0.25">
      <c r="B25" s="19">
        <v>22</v>
      </c>
      <c r="C25" s="226">
        <f>-(Costeo!$J$19+Costeo!$J$10)</f>
        <v>-5202481.24</v>
      </c>
      <c r="D25" s="214">
        <f>'Punto de Equilibrio'!$C$10*1.1*M13</f>
        <v>7833056.0000000009</v>
      </c>
      <c r="E25" s="150">
        <f t="shared" si="0"/>
        <v>2630574.7600000007</v>
      </c>
      <c r="G25" s="114"/>
    </row>
    <row r="26" spans="2:7" x14ac:dyDescent="0.25">
      <c r="B26" s="19">
        <v>23</v>
      </c>
      <c r="C26" s="226">
        <f>-(Costeo!$J$19+Costeo!$J$10)</f>
        <v>-5202481.24</v>
      </c>
      <c r="D26" s="214">
        <f>'Punto de Equilibrio'!$C$10*1.1*M14</f>
        <v>9399667.1999999993</v>
      </c>
      <c r="E26" s="150">
        <f t="shared" si="0"/>
        <v>4197185.959999999</v>
      </c>
      <c r="G26" s="114"/>
    </row>
    <row r="27" spans="2:7" ht="15.75" thickBot="1" x14ac:dyDescent="0.3">
      <c r="B27" s="20">
        <v>24</v>
      </c>
      <c r="C27" s="220">
        <f>-(Costeo!$J$19+Costeo!$J$10)</f>
        <v>-5202481.24</v>
      </c>
      <c r="D27" s="221">
        <f>'Punto de Equilibrio'!$C$10*1.1*M15</f>
        <v>10182972.800000003</v>
      </c>
      <c r="E27" s="151">
        <f t="shared" si="0"/>
        <v>4980491.5600000024</v>
      </c>
      <c r="G27" s="11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A0854-3B3C-4667-BA44-9992233F9F55}">
  <dimension ref="A1:S45"/>
  <sheetViews>
    <sheetView topLeftCell="A20" workbookViewId="0">
      <selection activeCell="C38" sqref="C38"/>
    </sheetView>
  </sheetViews>
  <sheetFormatPr baseColWidth="10" defaultRowHeight="15" x14ac:dyDescent="0.25"/>
  <cols>
    <col min="1" max="1" width="3.28515625" customWidth="1"/>
    <col min="2" max="2" width="32" bestFit="1" customWidth="1"/>
    <col min="3" max="3" width="15.5703125" bestFit="1" customWidth="1"/>
    <col min="4" max="4" width="15.7109375" customWidth="1"/>
    <col min="5" max="5" width="15.5703125" bestFit="1" customWidth="1"/>
    <col min="6" max="6" width="16.140625" customWidth="1"/>
    <col min="7" max="7" width="15.140625" customWidth="1"/>
    <col min="8" max="8" width="16.140625" customWidth="1"/>
    <col min="10" max="10" width="1.85546875" customWidth="1"/>
    <col min="11" max="11" width="1.5703125" customWidth="1"/>
    <col min="12" max="12" width="22.140625" hidden="1" customWidth="1"/>
    <col min="13" max="18" width="14" hidden="1" customWidth="1"/>
    <col min="19" max="19" width="1.5703125" customWidth="1"/>
  </cols>
  <sheetData>
    <row r="1" spans="1:19" x14ac:dyDescent="0.25">
      <c r="A1" s="228"/>
      <c r="B1" s="228"/>
      <c r="C1" s="228"/>
      <c r="D1" s="228"/>
      <c r="E1" s="228"/>
      <c r="F1" s="228"/>
      <c r="G1" s="228"/>
      <c r="H1" s="228"/>
      <c r="I1" s="229"/>
      <c r="J1" s="228"/>
      <c r="K1" s="230"/>
      <c r="L1" s="228"/>
      <c r="M1" s="228"/>
      <c r="N1" s="228"/>
      <c r="O1" s="228"/>
      <c r="P1" s="228"/>
      <c r="Q1" s="228"/>
      <c r="R1" s="229"/>
      <c r="S1" s="228"/>
    </row>
    <row r="2" spans="1:19" x14ac:dyDescent="0.25">
      <c r="A2" s="520" t="s">
        <v>303</v>
      </c>
      <c r="B2" s="521"/>
      <c r="C2" s="521"/>
      <c r="D2" s="521"/>
      <c r="E2" s="521"/>
      <c r="F2" s="521"/>
      <c r="G2" s="521"/>
      <c r="H2" s="521"/>
      <c r="I2" s="521"/>
      <c r="J2" s="228"/>
      <c r="K2" s="230"/>
      <c r="L2" s="522" t="s">
        <v>261</v>
      </c>
      <c r="M2" s="522"/>
      <c r="N2" s="522"/>
      <c r="O2" s="522"/>
      <c r="P2" s="522"/>
      <c r="Q2" s="522"/>
      <c r="R2" s="523"/>
      <c r="S2" s="228"/>
    </row>
    <row r="3" spans="1:19" ht="15.75" thickBot="1" x14ac:dyDescent="0.3">
      <c r="A3" s="520" t="s">
        <v>304</v>
      </c>
      <c r="B3" s="521"/>
      <c r="C3" s="521"/>
      <c r="D3" s="521"/>
      <c r="E3" s="521"/>
      <c r="F3" s="521"/>
      <c r="G3" s="521"/>
      <c r="H3" s="521"/>
      <c r="I3" s="521"/>
      <c r="J3" s="228"/>
      <c r="K3" s="230"/>
      <c r="L3" s="231"/>
      <c r="M3" s="231"/>
      <c r="N3" s="231"/>
      <c r="O3" s="231"/>
      <c r="P3" s="231"/>
      <c r="Q3" s="231"/>
      <c r="R3" s="232"/>
      <c r="S3" s="228"/>
    </row>
    <row r="4" spans="1:19" x14ac:dyDescent="0.25">
      <c r="A4" s="233"/>
      <c r="B4" s="233"/>
      <c r="C4" s="233"/>
      <c r="D4" s="233"/>
      <c r="E4" s="233"/>
      <c r="F4" s="233"/>
      <c r="G4" s="233"/>
      <c r="H4" s="233"/>
      <c r="I4" s="234"/>
      <c r="J4" s="228"/>
      <c r="K4" s="230"/>
      <c r="L4" s="524" t="s">
        <v>262</v>
      </c>
      <c r="M4" s="525"/>
      <c r="N4" s="525"/>
      <c r="O4" s="525"/>
      <c r="P4" s="525"/>
      <c r="Q4" s="525"/>
      <c r="R4" s="526"/>
      <c r="S4" s="230"/>
    </row>
    <row r="5" spans="1:19" x14ac:dyDescent="0.25">
      <c r="A5" s="235"/>
      <c r="B5" s="236"/>
      <c r="C5" s="236"/>
      <c r="D5" s="237"/>
      <c r="E5" s="237"/>
      <c r="F5" s="237"/>
      <c r="G5" s="238"/>
      <c r="H5" s="238"/>
      <c r="I5" s="236"/>
      <c r="J5" s="228"/>
      <c r="K5" s="239"/>
      <c r="L5" s="240" t="s">
        <v>57</v>
      </c>
      <c r="M5" s="241">
        <v>2018</v>
      </c>
      <c r="N5" s="241">
        <v>2019</v>
      </c>
      <c r="O5" s="241">
        <v>2020</v>
      </c>
      <c r="P5" s="241">
        <v>2021</v>
      </c>
      <c r="Q5" s="241">
        <v>2022</v>
      </c>
      <c r="R5" s="242">
        <v>2023</v>
      </c>
      <c r="S5" s="230"/>
    </row>
    <row r="6" spans="1:19" x14ac:dyDescent="0.25">
      <c r="A6" s="239"/>
      <c r="B6" s="236"/>
      <c r="C6" s="236"/>
      <c r="D6" s="243"/>
      <c r="E6" s="243"/>
      <c r="F6" s="243"/>
      <c r="G6" s="243"/>
      <c r="H6" s="243"/>
      <c r="I6" s="236"/>
      <c r="J6" s="228"/>
      <c r="K6" s="239"/>
      <c r="L6" s="244" t="s">
        <v>263</v>
      </c>
      <c r="M6" s="245">
        <f>+'[1]5. PROYECCIÓN DE VENTAS'!F47</f>
        <v>79872000</v>
      </c>
      <c r="N6" s="245">
        <f>+'[1]5. PROYECCIÓN DE VENTAS'!G47</f>
        <v>85642592.256000012</v>
      </c>
      <c r="O6" s="245">
        <f>+'[1]5. PROYECCIÓN DE VENTAS'!H47</f>
        <v>91964214.560784385</v>
      </c>
      <c r="P6" s="245">
        <f>+'[1]5. PROYECCIÓN DE VENTAS'!I47</f>
        <v>98276546.284022093</v>
      </c>
      <c r="Q6" s="245">
        <f>+'[1]5. PROYECCIÓN DE VENTAS'!J47</f>
        <v>104666487.32340923</v>
      </c>
      <c r="R6" s="246">
        <f>+'[1]5. PROYECCIÓN DE VENTAS'!K47</f>
        <v>111471902.32917729</v>
      </c>
      <c r="S6" s="230"/>
    </row>
    <row r="7" spans="1:19" x14ac:dyDescent="0.25">
      <c r="A7" s="239"/>
      <c r="B7" s="236"/>
      <c r="C7" s="247">
        <v>2022</v>
      </c>
      <c r="D7" s="247">
        <v>2023</v>
      </c>
      <c r="E7" s="247">
        <v>2024</v>
      </c>
      <c r="F7" s="247">
        <v>2025</v>
      </c>
      <c r="G7" s="247">
        <v>2026</v>
      </c>
      <c r="H7" s="247">
        <v>2027</v>
      </c>
      <c r="I7" s="236"/>
      <c r="J7" s="228"/>
      <c r="K7" s="239"/>
      <c r="L7" s="248" t="s">
        <v>264</v>
      </c>
      <c r="M7" s="249">
        <f>+'[1]5. PROYECCIÓN DE VENTAS'!F48</f>
        <v>196560000</v>
      </c>
      <c r="N7" s="249">
        <f>+'[1]5. PROYECCIÓN DE VENTAS'!G48</f>
        <v>210761066.88</v>
      </c>
      <c r="O7" s="249">
        <f>+'[1]5. PROYECCIÓN DE VENTAS'!H48</f>
        <v>226318184.27068034</v>
      </c>
      <c r="P7" s="249">
        <f>+'[1]5. PROYECCIÓN DE VENTAS'!I48</f>
        <v>241852438.1208356</v>
      </c>
      <c r="Q7" s="249">
        <f>+'[1]5. PROYECCIÓN DE VENTAS'!J48</f>
        <v>257577683.64745232</v>
      </c>
      <c r="R7" s="250">
        <f>+'[1]5. PROYECCIÓN DE VENTAS'!K48</f>
        <v>274325384.6382097</v>
      </c>
      <c r="S7" s="230"/>
    </row>
    <row r="8" spans="1:19" x14ac:dyDescent="0.25">
      <c r="A8" s="239"/>
      <c r="B8" s="251" t="s">
        <v>265</v>
      </c>
      <c r="C8" s="236"/>
      <c r="D8" s="236"/>
      <c r="E8" s="236"/>
      <c r="F8" s="236"/>
      <c r="G8" s="236"/>
      <c r="H8" s="236"/>
      <c r="I8" s="236"/>
      <c r="J8" s="228"/>
      <c r="K8" s="239"/>
      <c r="L8" s="248" t="s">
        <v>266</v>
      </c>
      <c r="M8" s="249">
        <f>+'[1]5. PROYECCIÓN DE VENTAS'!F49</f>
        <v>96033600</v>
      </c>
      <c r="N8" s="249">
        <f>+'[1]5. PROYECCIÓN DE VENTAS'!G49</f>
        <v>102971835.53279999</v>
      </c>
      <c r="O8" s="249">
        <f>+'[1]5. PROYECCIÓN DE VENTAS'!H49</f>
        <v>110572598.6008181</v>
      </c>
      <c r="P8" s="249">
        <f>+'[1]5. PROYECCIÓN DE VENTAS'!I49</f>
        <v>118162191.19617967</v>
      </c>
      <c r="Q8" s="249">
        <f>+'[1]5. PROYECCIÓN DE VENTAS'!J49</f>
        <v>125845096.86775526</v>
      </c>
      <c r="R8" s="250">
        <f>+'[1]5. PROYECCIÓN DE VENTAS'!K49</f>
        <v>134027545.06609674</v>
      </c>
      <c r="S8" s="230"/>
    </row>
    <row r="9" spans="1:19" x14ac:dyDescent="0.25">
      <c r="A9" s="239"/>
      <c r="B9" s="236" t="s">
        <v>267</v>
      </c>
      <c r="C9" s="252">
        <f>Gastos!E10</f>
        <v>41773000</v>
      </c>
      <c r="D9" s="253">
        <f>+'[1]2. PLAN DE INVERSIÓN'!D2</f>
        <v>0</v>
      </c>
      <c r="E9" s="253">
        <f>+'[1]2. PLAN DE INVERSIÓN'!E2</f>
        <v>0</v>
      </c>
      <c r="F9" s="253">
        <f>+'[1]2. PLAN DE INVERSIÓN'!F2</f>
        <v>0</v>
      </c>
      <c r="G9" s="253">
        <f>+'[1]2. PLAN DE INVERSIÓN'!G2</f>
        <v>0</v>
      </c>
      <c r="H9" s="253">
        <f>+'[1]2. PLAN DE INVERSIÓN'!H2</f>
        <v>0</v>
      </c>
      <c r="I9" s="236"/>
      <c r="J9" s="228"/>
      <c r="K9" s="239"/>
      <c r="L9" s="248" t="s">
        <v>268</v>
      </c>
      <c r="M9" s="249">
        <f>+'[1]5. PROYECCIÓN DE VENTAS'!F50</f>
        <v>94848000</v>
      </c>
      <c r="N9" s="249">
        <f>+'[1]5. PROYECCIÓN DE VENTAS'!G50</f>
        <v>101700578.30400001</v>
      </c>
      <c r="O9" s="249">
        <f>+'[1]5. PROYECCIÓN DE VENTAS'!H50</f>
        <v>109207504.79093145</v>
      </c>
      <c r="P9" s="249">
        <f>+'[1]5. PROYECCIÓN DE VENTAS'!I50</f>
        <v>116703398.71227621</v>
      </c>
      <c r="Q9" s="249">
        <f>+'[1]5. PROYECCIÓN DE VENTAS'!J50</f>
        <v>124291453.6965484</v>
      </c>
      <c r="R9" s="250">
        <f>+'[1]5. PROYECCIÓN DE VENTAS'!K50</f>
        <v>132372884.01589799</v>
      </c>
      <c r="S9" s="230"/>
    </row>
    <row r="10" spans="1:19" ht="15.75" thickBot="1" x14ac:dyDescent="0.3">
      <c r="A10" s="239"/>
      <c r="B10" s="236" t="s">
        <v>269</v>
      </c>
      <c r="C10" s="252">
        <v>0</v>
      </c>
      <c r="D10" s="253"/>
      <c r="E10" s="253"/>
      <c r="F10" s="253"/>
      <c r="G10" s="253"/>
      <c r="H10" s="253"/>
      <c r="I10" s="236"/>
      <c r="J10" s="228"/>
      <c r="K10" s="239"/>
      <c r="L10" s="254" t="s">
        <v>54</v>
      </c>
      <c r="M10" s="255">
        <f>SUM(M6:M9)</f>
        <v>467313600</v>
      </c>
      <c r="N10" s="255">
        <f t="shared" ref="N10:R10" si="0">SUM(N6:N9)</f>
        <v>501076072.97280002</v>
      </c>
      <c r="O10" s="255">
        <f t="shared" si="0"/>
        <v>538062502.22321427</v>
      </c>
      <c r="P10" s="255">
        <f t="shared" si="0"/>
        <v>574994574.3133136</v>
      </c>
      <c r="Q10" s="255">
        <f t="shared" si="0"/>
        <v>612380721.53516531</v>
      </c>
      <c r="R10" s="256">
        <f t="shared" si="0"/>
        <v>652197716.04938173</v>
      </c>
      <c r="S10" s="230"/>
    </row>
    <row r="11" spans="1:19" x14ac:dyDescent="0.25">
      <c r="A11" s="239"/>
      <c r="B11" s="236" t="s">
        <v>270</v>
      </c>
      <c r="C11" s="236"/>
      <c r="D11" s="257">
        <f>'Margen bruto'!E4</f>
        <v>64736000</v>
      </c>
      <c r="E11" s="257">
        <f>'Margen bruto'!G4</f>
        <v>71209600</v>
      </c>
      <c r="F11" s="257">
        <f>'Margen bruto'!I4</f>
        <v>78330560</v>
      </c>
      <c r="G11" s="257">
        <f>'Margen bruto'!K4</f>
        <v>86163616</v>
      </c>
      <c r="H11" s="257">
        <f>'Margen bruto'!M4</f>
        <v>94779977.600000009</v>
      </c>
      <c r="I11" s="236"/>
      <c r="J11" s="228"/>
      <c r="K11" s="239"/>
      <c r="L11" s="258"/>
      <c r="M11" s="258"/>
      <c r="N11" s="258"/>
      <c r="O11" s="258"/>
      <c r="P11" s="258"/>
      <c r="Q11" s="258"/>
      <c r="R11" s="258"/>
      <c r="S11" s="230"/>
    </row>
    <row r="12" spans="1:19" x14ac:dyDescent="0.25">
      <c r="A12" s="239"/>
      <c r="B12" s="251" t="s">
        <v>271</v>
      </c>
      <c r="C12" s="259">
        <f>SUM(C9:C11)</f>
        <v>41773000</v>
      </c>
      <c r="D12" s="257">
        <f t="shared" ref="D12:H12" si="1">SUM(D9:D11)</f>
        <v>64736000</v>
      </c>
      <c r="E12" s="257">
        <f t="shared" si="1"/>
        <v>71209600</v>
      </c>
      <c r="F12" s="257">
        <f t="shared" si="1"/>
        <v>78330560</v>
      </c>
      <c r="G12" s="257">
        <f t="shared" si="1"/>
        <v>86163616</v>
      </c>
      <c r="H12" s="257">
        <f t="shared" si="1"/>
        <v>94779977.600000009</v>
      </c>
      <c r="I12" s="236"/>
      <c r="J12" s="228"/>
      <c r="K12" s="230"/>
      <c r="L12" s="228"/>
      <c r="M12" s="228"/>
      <c r="N12" s="228"/>
      <c r="O12" s="228"/>
      <c r="P12" s="228"/>
      <c r="Q12" s="228"/>
      <c r="R12" s="228"/>
      <c r="S12" s="228"/>
    </row>
    <row r="13" spans="1:19" x14ac:dyDescent="0.25">
      <c r="A13" s="239"/>
      <c r="B13" s="236"/>
      <c r="C13" s="236"/>
      <c r="D13" s="260"/>
      <c r="E13" s="260"/>
      <c r="F13" s="260"/>
      <c r="G13" s="260"/>
      <c r="H13" s="260"/>
      <c r="I13" s="236"/>
      <c r="J13" s="228"/>
      <c r="K13" s="521" t="s">
        <v>272</v>
      </c>
      <c r="L13" s="521"/>
      <c r="M13" s="521"/>
      <c r="N13" s="521"/>
      <c r="O13" s="521"/>
      <c r="P13" s="521"/>
      <c r="Q13" s="521"/>
      <c r="R13" s="527"/>
      <c r="S13" s="228"/>
    </row>
    <row r="14" spans="1:19" ht="15.75" thickBot="1" x14ac:dyDescent="0.3">
      <c r="A14" s="239"/>
      <c r="B14" s="251" t="s">
        <v>273</v>
      </c>
      <c r="C14" s="236"/>
      <c r="D14" s="260"/>
      <c r="E14" s="260"/>
      <c r="F14" s="260"/>
      <c r="G14" s="260"/>
      <c r="H14" s="260"/>
      <c r="I14" s="236"/>
      <c r="J14" s="228"/>
      <c r="K14" s="230"/>
      <c r="L14" s="231"/>
      <c r="M14" s="231"/>
      <c r="N14" s="231"/>
      <c r="O14" s="231"/>
      <c r="P14" s="231"/>
      <c r="Q14" s="231"/>
      <c r="R14" s="232"/>
      <c r="S14" s="228"/>
    </row>
    <row r="15" spans="1:19" x14ac:dyDescent="0.25">
      <c r="A15" s="239"/>
      <c r="B15" s="236" t="s">
        <v>274</v>
      </c>
      <c r="C15" s="252">
        <f>Gastos!C7</f>
        <v>1323000</v>
      </c>
      <c r="D15" s="261"/>
      <c r="E15" s="261"/>
      <c r="F15" s="261"/>
      <c r="G15" s="261"/>
      <c r="H15" s="261"/>
      <c r="I15" s="236"/>
      <c r="J15" s="228"/>
      <c r="K15" s="239"/>
      <c r="L15" s="262" t="s">
        <v>21</v>
      </c>
      <c r="M15" s="263">
        <v>2018</v>
      </c>
      <c r="N15" s="263">
        <v>2019</v>
      </c>
      <c r="O15" s="263">
        <v>2020</v>
      </c>
      <c r="P15" s="263">
        <v>2021</v>
      </c>
      <c r="Q15" s="263">
        <v>2022</v>
      </c>
      <c r="R15" s="264">
        <v>2023</v>
      </c>
      <c r="S15" s="230"/>
    </row>
    <row r="16" spans="1:19" x14ac:dyDescent="0.25">
      <c r="A16" s="239"/>
      <c r="B16" s="236" t="s">
        <v>275</v>
      </c>
      <c r="C16" s="252"/>
      <c r="D16" s="261"/>
      <c r="E16" s="261"/>
      <c r="F16" s="261"/>
      <c r="G16" s="261"/>
      <c r="H16" s="261"/>
      <c r="I16" s="236"/>
      <c r="J16" s="228"/>
      <c r="K16" s="239"/>
      <c r="L16" s="519" t="s">
        <v>276</v>
      </c>
      <c r="M16" s="265"/>
      <c r="N16" s="266">
        <v>3.9E-2</v>
      </c>
      <c r="O16" s="266">
        <v>3.6499999999999998E-2</v>
      </c>
      <c r="P16" s="266">
        <v>3.3500000000000002E-2</v>
      </c>
      <c r="Q16" s="267">
        <v>0.03</v>
      </c>
      <c r="R16" s="268">
        <v>0.03</v>
      </c>
      <c r="S16" s="230"/>
    </row>
    <row r="17" spans="1:19" x14ac:dyDescent="0.25">
      <c r="A17" s="239"/>
      <c r="B17" s="236" t="s">
        <v>277</v>
      </c>
      <c r="C17" s="252"/>
      <c r="D17" s="261"/>
      <c r="E17" s="261"/>
      <c r="F17" s="261"/>
      <c r="G17" s="261"/>
      <c r="H17" s="261"/>
      <c r="I17" s="236"/>
      <c r="J17" s="228"/>
      <c r="K17" s="239"/>
      <c r="L17" s="519"/>
      <c r="M17" s="265"/>
      <c r="N17" s="269">
        <v>1.0389999999999999</v>
      </c>
      <c r="O17" s="269">
        <v>1.0365</v>
      </c>
      <c r="P17" s="269">
        <v>1.0335000000000001</v>
      </c>
      <c r="Q17" s="269">
        <v>1.03</v>
      </c>
      <c r="R17" s="270">
        <v>1.03</v>
      </c>
      <c r="S17" s="230"/>
    </row>
    <row r="18" spans="1:19" x14ac:dyDescent="0.25">
      <c r="A18" s="239"/>
      <c r="B18" s="236" t="s">
        <v>278</v>
      </c>
      <c r="C18" s="236"/>
      <c r="D18" s="253">
        <f>'Margen bruto'!E3*0.8</f>
        <v>28462812.800000001</v>
      </c>
      <c r="E18" s="253">
        <f>'Margen bruto'!G3*0.8</f>
        <v>30739837.824000001</v>
      </c>
      <c r="F18" s="253">
        <f>'Margen bruto'!I3*0.8</f>
        <v>33199024.849920005</v>
      </c>
      <c r="G18" s="253">
        <f>'Margen bruto'!K3*0.8</f>
        <v>35854946.83791361</v>
      </c>
      <c r="H18" s="253">
        <f>'Margen bruto'!M3*0.8</f>
        <v>38723342.584946699</v>
      </c>
      <c r="I18" s="236"/>
      <c r="J18" s="228"/>
      <c r="K18" s="239"/>
      <c r="L18" s="271" t="s">
        <v>279</v>
      </c>
      <c r="M18" s="272">
        <f>+'[1]3. GASTOS DE PUESTA EN MARCHA'!C7</f>
        <v>161250</v>
      </c>
      <c r="N18" s="272">
        <f>+M18*N17</f>
        <v>167538.75</v>
      </c>
      <c r="O18" s="272">
        <f t="shared" ref="O18:R18" si="2">+N18*O17</f>
        <v>173653.91437499999</v>
      </c>
      <c r="P18" s="272">
        <f t="shared" si="2"/>
        <v>179471.32050656251</v>
      </c>
      <c r="Q18" s="272">
        <f t="shared" si="2"/>
        <v>184855.46012175939</v>
      </c>
      <c r="R18" s="273">
        <f t="shared" si="2"/>
        <v>190401.12392541216</v>
      </c>
      <c r="S18" s="230"/>
    </row>
    <row r="19" spans="1:19" x14ac:dyDescent="0.25">
      <c r="A19" s="274"/>
      <c r="B19" s="236" t="s">
        <v>280</v>
      </c>
      <c r="C19" s="291">
        <f>C12-C15-C24</f>
        <v>20300000</v>
      </c>
      <c r="D19" s="257">
        <f>'Margen bruto'!E3*0.2</f>
        <v>7115703.2000000002</v>
      </c>
      <c r="E19" s="257">
        <f>'Margen bruto'!G3*0.2</f>
        <v>7684959.4560000002</v>
      </c>
      <c r="F19" s="257">
        <f>'Margen bruto'!I3*0.2</f>
        <v>8299756.2124800012</v>
      </c>
      <c r="G19" s="257">
        <f>'Margen bruto'!K3*0.2</f>
        <v>8963736.7094784025</v>
      </c>
      <c r="H19" s="257">
        <f>'Margen bruto'!M3*0.2</f>
        <v>9680835.6462366749</v>
      </c>
      <c r="I19" s="236"/>
      <c r="J19" s="228"/>
      <c r="K19" s="239"/>
      <c r="L19" s="271" t="s">
        <v>281</v>
      </c>
      <c r="M19" s="272">
        <f>+'[1]3. GASTOS DE PUESTA EN MARCHA'!F4</f>
        <v>10000000</v>
      </c>
      <c r="N19" s="272">
        <f>+M19*N17</f>
        <v>10390000</v>
      </c>
      <c r="O19" s="272">
        <f t="shared" ref="O19:R19" si="3">+N19*O17</f>
        <v>10769235</v>
      </c>
      <c r="P19" s="272">
        <f t="shared" si="3"/>
        <v>11130004.372500001</v>
      </c>
      <c r="Q19" s="272">
        <f t="shared" si="3"/>
        <v>11463904.503675001</v>
      </c>
      <c r="R19" s="273">
        <f t="shared" si="3"/>
        <v>11807821.63878525</v>
      </c>
      <c r="S19" s="230"/>
    </row>
    <row r="20" spans="1:19" x14ac:dyDescent="0.25">
      <c r="A20" s="274"/>
      <c r="B20" s="236" t="s">
        <v>282</v>
      </c>
      <c r="C20" s="252"/>
      <c r="D20" s="253"/>
      <c r="E20" s="253"/>
      <c r="F20" s="253"/>
      <c r="G20" s="253"/>
      <c r="H20" s="253"/>
      <c r="I20" s="236"/>
      <c r="J20" s="228"/>
      <c r="K20" s="239"/>
      <c r="L20" s="271" t="s">
        <v>283</v>
      </c>
      <c r="M20" s="272">
        <f>+'[1]3. GASTOS DE PUESTA EN MARCHA'!I7</f>
        <v>145354564</v>
      </c>
      <c r="N20" s="272">
        <f>+M20*N17</f>
        <v>151023391.99599999</v>
      </c>
      <c r="O20" s="272">
        <f t="shared" ref="O20:R20" si="4">+N20*O17</f>
        <v>156535745.80385399</v>
      </c>
      <c r="P20" s="272">
        <f t="shared" si="4"/>
        <v>161779693.28828311</v>
      </c>
      <c r="Q20" s="272">
        <f t="shared" si="4"/>
        <v>166633084.08693162</v>
      </c>
      <c r="R20" s="273">
        <f t="shared" si="4"/>
        <v>171632076.60953957</v>
      </c>
      <c r="S20" s="230"/>
    </row>
    <row r="21" spans="1:19" x14ac:dyDescent="0.25">
      <c r="A21" s="230"/>
      <c r="B21" s="236" t="s">
        <v>284</v>
      </c>
      <c r="C21" s="236"/>
      <c r="D21" s="253">
        <f>C24*0.2</f>
        <v>4030000</v>
      </c>
      <c r="E21" s="253">
        <f>D21</f>
        <v>4030000</v>
      </c>
      <c r="F21" s="253">
        <f>E21</f>
        <v>4030000</v>
      </c>
      <c r="G21" s="253">
        <f>F21</f>
        <v>4030000</v>
      </c>
      <c r="H21" s="253">
        <f>G21</f>
        <v>4030000</v>
      </c>
      <c r="I21" s="236"/>
      <c r="J21" s="228"/>
      <c r="K21" s="239"/>
      <c r="L21" s="271" t="s">
        <v>278</v>
      </c>
      <c r="M21" s="272">
        <f>+'[1]7. COSTOS DE PRODUCCIÓN'!B180</f>
        <v>302719560</v>
      </c>
      <c r="N21" s="272">
        <f>+M21*N17</f>
        <v>314525622.83999997</v>
      </c>
      <c r="O21" s="272">
        <f t="shared" ref="O21:R21" si="5">+N21*O17</f>
        <v>326005808.07365996</v>
      </c>
      <c r="P21" s="272">
        <f t="shared" si="5"/>
        <v>336927002.64412761</v>
      </c>
      <c r="Q21" s="272">
        <f t="shared" si="5"/>
        <v>347034812.72345144</v>
      </c>
      <c r="R21" s="273">
        <f t="shared" si="5"/>
        <v>357445857.10515499</v>
      </c>
      <c r="S21" s="230"/>
    </row>
    <row r="22" spans="1:19" x14ac:dyDescent="0.25">
      <c r="A22" s="230"/>
      <c r="B22" s="236" t="s">
        <v>285</v>
      </c>
      <c r="C22" s="236"/>
      <c r="D22" s="253"/>
      <c r="E22" s="253"/>
      <c r="F22" s="253"/>
      <c r="G22" s="253"/>
      <c r="H22" s="253"/>
      <c r="I22" s="236"/>
      <c r="J22" s="228"/>
      <c r="K22" s="239"/>
      <c r="L22" s="271" t="s">
        <v>286</v>
      </c>
      <c r="M22" s="272">
        <f>+'[1]9. GASTOS DE ADMÓN Y VENTAS'!C12</f>
        <v>108160000</v>
      </c>
      <c r="N22" s="272">
        <f>+M22*N17</f>
        <v>112378239.99999999</v>
      </c>
      <c r="O22" s="272">
        <f t="shared" ref="O22:R22" si="6">+N22*O17</f>
        <v>116480045.75999998</v>
      </c>
      <c r="P22" s="272">
        <f t="shared" si="6"/>
        <v>120382127.29295999</v>
      </c>
      <c r="Q22" s="272">
        <f t="shared" si="6"/>
        <v>123993591.11174878</v>
      </c>
      <c r="R22" s="273">
        <f t="shared" si="6"/>
        <v>127713398.84510125</v>
      </c>
      <c r="S22" s="230"/>
    </row>
    <row r="23" spans="1:19" x14ac:dyDescent="0.25">
      <c r="A23" s="230"/>
      <c r="B23" s="236" t="s">
        <v>287</v>
      </c>
      <c r="C23" s="275"/>
      <c r="D23" s="276"/>
      <c r="E23" s="276"/>
      <c r="F23" s="276"/>
      <c r="G23" s="276"/>
      <c r="H23" s="276"/>
      <c r="I23" s="236"/>
      <c r="J23" s="228"/>
      <c r="K23" s="239"/>
      <c r="L23" s="271" t="s">
        <v>282</v>
      </c>
      <c r="M23" s="272"/>
      <c r="N23" s="272">
        <f>+'[1]4. PRESTAMO BANCARIO'!G3</f>
        <v>24216717.825159639</v>
      </c>
      <c r="O23" s="272">
        <f>+'[1]4. PRESTAMO BANCARIO'!H3</f>
        <v>20139778.982003532</v>
      </c>
      <c r="P23" s="272">
        <f>+'[1]4. PRESTAMO BANCARIO'!I3</f>
        <v>15435421.167764533</v>
      </c>
      <c r="Q23" s="272">
        <f>+'[1]4. PRESTAMO BANCARIO'!J3</f>
        <v>10007087.97568281</v>
      </c>
      <c r="R23" s="273">
        <f>+'[1]4. PRESTAMO BANCARIO'!K3</f>
        <v>3743363.4870678149</v>
      </c>
      <c r="S23" s="230"/>
    </row>
    <row r="24" spans="1:19" x14ac:dyDescent="0.25">
      <c r="A24" s="230"/>
      <c r="B24" s="236" t="s">
        <v>288</v>
      </c>
      <c r="C24" s="291">
        <f>Gastos!G3</f>
        <v>20150000</v>
      </c>
      <c r="D24" s="277"/>
      <c r="E24" s="277"/>
      <c r="F24" s="277"/>
      <c r="G24" s="277"/>
      <c r="H24" s="277"/>
      <c r="I24" s="236"/>
      <c r="J24" s="228"/>
      <c r="K24" s="239"/>
      <c r="L24" s="271" t="s">
        <v>289</v>
      </c>
      <c r="M24" s="272">
        <f>+'[1]11. DEPRECIACIÓN '!$F$12</f>
        <v>2226116.1616161615</v>
      </c>
      <c r="N24" s="272">
        <f>+'[1]11. DEPRECIACIÓN '!$F$12</f>
        <v>2226116.1616161615</v>
      </c>
      <c r="O24" s="272">
        <f>+'[1]11. DEPRECIACIÓN '!$F$12</f>
        <v>2226116.1616161615</v>
      </c>
      <c r="P24" s="272">
        <f>+'[1]11. DEPRECIACIÓN '!$F$12</f>
        <v>2226116.1616161615</v>
      </c>
      <c r="Q24" s="272">
        <f>+'[1]11. DEPRECIACIÓN '!$F$12</f>
        <v>2226116.1616161615</v>
      </c>
      <c r="R24" s="273">
        <f>+'[1]11. DEPRECIACIÓN '!$F$12</f>
        <v>2226116.1616161615</v>
      </c>
      <c r="S24" s="230"/>
    </row>
    <row r="25" spans="1:19" x14ac:dyDescent="0.25">
      <c r="A25" s="239"/>
      <c r="B25" s="236" t="s">
        <v>290</v>
      </c>
      <c r="C25" s="236"/>
      <c r="D25" s="261"/>
      <c r="E25" s="261"/>
      <c r="F25" s="261"/>
      <c r="G25" s="261"/>
      <c r="H25" s="261"/>
      <c r="I25" s="236"/>
      <c r="J25" s="228"/>
      <c r="K25" s="239"/>
      <c r="L25" s="271" t="s">
        <v>291</v>
      </c>
      <c r="M25" s="272"/>
      <c r="N25" s="272">
        <f>CC1C</f>
        <v>26491756.062376034</v>
      </c>
      <c r="O25" s="272">
        <f>CC2C</f>
        <v>30568694.90553214</v>
      </c>
      <c r="P25" s="272">
        <f>CC3C</f>
        <v>35273052.719771139</v>
      </c>
      <c r="Q25" s="272">
        <f>CC4C</f>
        <v>40701385.911852866</v>
      </c>
      <c r="R25" s="273">
        <f>CC5C</f>
        <v>46965110.400467858</v>
      </c>
      <c r="S25" s="230"/>
    </row>
    <row r="26" spans="1:19" ht="15.75" thickBot="1" x14ac:dyDescent="0.3">
      <c r="A26" s="239"/>
      <c r="B26" s="251" t="s">
        <v>292</v>
      </c>
      <c r="C26" s="259">
        <f>SUM(C15:C25)</f>
        <v>41773000</v>
      </c>
      <c r="D26" s="257">
        <f>SUM(D15:D25)</f>
        <v>39608516</v>
      </c>
      <c r="E26" s="257">
        <f>SUM(E15:E25)</f>
        <v>42454797.280000001</v>
      </c>
      <c r="F26" s="257">
        <f t="shared" ref="F26:H26" si="7">SUM(F15:F25)</f>
        <v>45528781.062400006</v>
      </c>
      <c r="G26" s="257">
        <f t="shared" si="7"/>
        <v>48848683.547392011</v>
      </c>
      <c r="H26" s="257">
        <f t="shared" si="7"/>
        <v>52434178.231183372</v>
      </c>
      <c r="I26" s="236"/>
      <c r="J26" s="228"/>
      <c r="K26" s="239"/>
      <c r="L26" s="278" t="s">
        <v>293</v>
      </c>
      <c r="M26" s="279"/>
      <c r="N26" s="279">
        <f>+'[1]12. ESTADO RESULTADOS PROYECTAD'!D19</f>
        <v>12805949.113149039</v>
      </c>
      <c r="O26" s="279">
        <f>+'[1]12. ESTADO RESULTADOS PROYECTAD'!E19</f>
        <v>17226711.866048455</v>
      </c>
      <c r="P26" s="279">
        <f>+'[1]12. ESTADO RESULTADOS PROYECTAD'!F19</f>
        <v>21922193.90026943</v>
      </c>
      <c r="Q26" s="279">
        <f>+'[1]12. ESTADO RESULTADOS PROYECTAD'!G19</f>
        <v>27017014.21965776</v>
      </c>
      <c r="R26" s="280">
        <f>+'[1]12. ESTADO RESULTADOS PROYECTAD'!H19</f>
        <v>32650130.698220763</v>
      </c>
      <c r="S26" s="230"/>
    </row>
    <row r="27" spans="1:19" x14ac:dyDescent="0.25">
      <c r="A27" s="239"/>
      <c r="B27" s="236"/>
      <c r="C27" s="236"/>
      <c r="D27" s="260"/>
      <c r="E27" s="260"/>
      <c r="F27" s="260"/>
      <c r="G27" s="260"/>
      <c r="H27" s="260"/>
      <c r="I27" s="236"/>
      <c r="J27" s="228"/>
      <c r="K27" s="230"/>
      <c r="L27" s="258"/>
      <c r="M27" s="258"/>
      <c r="N27" s="258"/>
      <c r="O27" s="258"/>
      <c r="P27" s="258"/>
      <c r="Q27" s="258"/>
      <c r="R27" s="281"/>
      <c r="S27" s="228"/>
    </row>
    <row r="28" spans="1:19" x14ac:dyDescent="0.25">
      <c r="A28" s="239"/>
      <c r="B28" s="251" t="s">
        <v>294</v>
      </c>
      <c r="C28" s="259">
        <f t="shared" ref="C28:H28" si="8">C12-C26</f>
        <v>0</v>
      </c>
      <c r="D28" s="257">
        <f>D12-D26</f>
        <v>25127484</v>
      </c>
      <c r="E28" s="257">
        <f>E12-E26</f>
        <v>28754802.719999999</v>
      </c>
      <c r="F28" s="257">
        <f t="shared" si="8"/>
        <v>32801778.937599994</v>
      </c>
      <c r="G28" s="257">
        <f t="shared" si="8"/>
        <v>37314932.452607989</v>
      </c>
      <c r="H28" s="257">
        <f t="shared" si="8"/>
        <v>42345799.368816637</v>
      </c>
      <c r="I28" s="236"/>
      <c r="J28" s="228"/>
      <c r="K28" s="230"/>
      <c r="L28" s="228"/>
      <c r="M28" s="228"/>
      <c r="N28" s="228"/>
      <c r="O28" s="228"/>
      <c r="P28" s="228"/>
      <c r="Q28" s="228"/>
      <c r="R28" s="229"/>
      <c r="S28" s="228"/>
    </row>
    <row r="29" spans="1:19" x14ac:dyDescent="0.25">
      <c r="A29" s="239"/>
      <c r="B29" s="236"/>
      <c r="C29" s="236"/>
      <c r="D29" s="260"/>
      <c r="E29" s="260"/>
      <c r="F29" s="260"/>
      <c r="G29" s="260"/>
      <c r="H29" s="260"/>
      <c r="I29" s="236"/>
      <c r="J29" s="228"/>
      <c r="K29" s="230"/>
      <c r="L29" s="228"/>
      <c r="M29" s="228"/>
      <c r="N29" s="228"/>
      <c r="O29" s="228"/>
      <c r="P29" s="228"/>
      <c r="Q29" s="228"/>
      <c r="R29" s="229"/>
      <c r="S29" s="228"/>
    </row>
    <row r="30" spans="1:19" x14ac:dyDescent="0.25">
      <c r="A30" s="239" t="s">
        <v>295</v>
      </c>
      <c r="B30" s="236" t="s">
        <v>284</v>
      </c>
      <c r="C30" s="277"/>
      <c r="D30" s="253">
        <f>D21</f>
        <v>4030000</v>
      </c>
      <c r="E30" s="253">
        <f t="shared" ref="E30:H30" si="9">E21</f>
        <v>4030000</v>
      </c>
      <c r="F30" s="253">
        <f t="shared" si="9"/>
        <v>4030000</v>
      </c>
      <c r="G30" s="253">
        <f t="shared" si="9"/>
        <v>4030000</v>
      </c>
      <c r="H30" s="253">
        <f t="shared" si="9"/>
        <v>4030000</v>
      </c>
      <c r="I30" s="236"/>
      <c r="J30" s="228"/>
      <c r="K30" s="230"/>
      <c r="L30" s="228"/>
      <c r="M30" s="228"/>
      <c r="N30" s="228"/>
      <c r="O30" s="228"/>
      <c r="P30" s="228"/>
      <c r="Q30" s="228"/>
      <c r="R30" s="229"/>
      <c r="S30" s="228"/>
    </row>
    <row r="31" spans="1:19" x14ac:dyDescent="0.25">
      <c r="A31" s="239"/>
      <c r="B31" s="236"/>
      <c r="C31" s="236"/>
      <c r="D31" s="261"/>
      <c r="E31" s="261"/>
      <c r="F31" s="261"/>
      <c r="G31" s="261"/>
      <c r="H31" s="261"/>
      <c r="I31" s="236"/>
      <c r="J31" s="228"/>
      <c r="K31" s="230"/>
      <c r="L31" s="228"/>
      <c r="M31" s="228"/>
      <c r="N31" s="282"/>
      <c r="O31" s="228"/>
      <c r="P31" s="228"/>
      <c r="Q31" s="282"/>
      <c r="R31" s="229"/>
      <c r="S31" s="228"/>
    </row>
    <row r="32" spans="1:19" x14ac:dyDescent="0.25">
      <c r="A32" s="239"/>
      <c r="B32" s="236" t="s">
        <v>296</v>
      </c>
      <c r="C32" s="259">
        <v>0</v>
      </c>
      <c r="D32" s="257">
        <f t="shared" ref="D32:H32" si="10">+D28+D30+D31</f>
        <v>29157484</v>
      </c>
      <c r="E32" s="257">
        <f>+E28+E30+E31</f>
        <v>32784802.719999999</v>
      </c>
      <c r="F32" s="257">
        <f t="shared" si="10"/>
        <v>36831778.937599994</v>
      </c>
      <c r="G32" s="257">
        <f t="shared" si="10"/>
        <v>41344932.452607989</v>
      </c>
      <c r="H32" s="257">
        <f t="shared" si="10"/>
        <v>46375799.368816637</v>
      </c>
      <c r="I32" s="236"/>
      <c r="J32" s="228"/>
      <c r="K32" s="230"/>
      <c r="L32" s="228"/>
      <c r="M32" s="228"/>
      <c r="N32" s="282"/>
      <c r="O32" s="228"/>
      <c r="P32" s="228"/>
      <c r="Q32" s="228"/>
      <c r="R32" s="229"/>
      <c r="S32" s="228"/>
    </row>
    <row r="33" spans="1:19" x14ac:dyDescent="0.25">
      <c r="A33" s="239"/>
      <c r="B33" s="236"/>
      <c r="C33" s="236"/>
      <c r="D33" s="260"/>
      <c r="E33" s="260"/>
      <c r="F33" s="260"/>
      <c r="G33" s="260"/>
      <c r="H33" s="260"/>
      <c r="I33" s="236"/>
      <c r="J33" s="228"/>
      <c r="K33" s="230"/>
      <c r="L33" s="228"/>
      <c r="M33" s="228"/>
      <c r="N33" s="282"/>
      <c r="O33" s="228"/>
      <c r="P33" s="228"/>
      <c r="Q33" s="228"/>
      <c r="R33" s="229"/>
      <c r="S33" s="228"/>
    </row>
    <row r="34" spans="1:19" x14ac:dyDescent="0.25">
      <c r="A34" s="239"/>
      <c r="B34" s="236" t="s">
        <v>297</v>
      </c>
      <c r="C34" s="259">
        <v>0</v>
      </c>
      <c r="D34" s="257">
        <f>D32</f>
        <v>29157484</v>
      </c>
      <c r="E34" s="257">
        <f t="shared" ref="E34:H34" si="11">E32</f>
        <v>32784802.719999999</v>
      </c>
      <c r="F34" s="257">
        <f t="shared" si="11"/>
        <v>36831778.937599994</v>
      </c>
      <c r="G34" s="257">
        <f t="shared" si="11"/>
        <v>41344932.452607989</v>
      </c>
      <c r="H34" s="257">
        <f t="shared" si="11"/>
        <v>46375799.368816637</v>
      </c>
      <c r="I34" s="236"/>
      <c r="J34" s="228"/>
      <c r="K34" s="230"/>
      <c r="L34" s="228"/>
      <c r="M34" s="228"/>
      <c r="N34" s="282"/>
      <c r="O34" s="228"/>
      <c r="P34" s="228"/>
      <c r="Q34" s="228"/>
      <c r="R34" s="229"/>
      <c r="S34" s="228"/>
    </row>
    <row r="35" spans="1:19" ht="15.75" customHeight="1" x14ac:dyDescent="0.25">
      <c r="A35" s="239"/>
      <c r="B35" s="236"/>
      <c r="C35" s="292">
        <f>-C9</f>
        <v>-41773000</v>
      </c>
      <c r="D35" s="292">
        <f>D32</f>
        <v>29157484</v>
      </c>
      <c r="E35" s="292">
        <f>E32</f>
        <v>32784802.719999999</v>
      </c>
      <c r="F35" s="292">
        <f>F32</f>
        <v>36831778.937599994</v>
      </c>
      <c r="G35" s="292">
        <f>G32</f>
        <v>41344932.452607989</v>
      </c>
      <c r="H35" s="292">
        <f>H32</f>
        <v>46375799.368816637</v>
      </c>
      <c r="I35" s="236"/>
      <c r="J35" s="228"/>
      <c r="K35" s="239"/>
      <c r="L35" s="228"/>
      <c r="M35" s="228"/>
      <c r="N35" s="282"/>
      <c r="O35" s="228"/>
      <c r="P35" s="228"/>
      <c r="Q35" s="228"/>
      <c r="R35" s="229"/>
      <c r="S35" s="230"/>
    </row>
    <row r="36" spans="1:19" ht="15.75" thickBot="1" x14ac:dyDescent="0.3">
      <c r="A36" s="239"/>
      <c r="B36" s="236"/>
      <c r="C36" s="236"/>
      <c r="D36" s="236"/>
      <c r="E36" s="236"/>
      <c r="F36" s="236"/>
      <c r="G36" s="236"/>
      <c r="H36" s="236"/>
      <c r="I36" s="236"/>
      <c r="J36" s="228"/>
      <c r="K36" s="239"/>
      <c r="L36" s="228"/>
      <c r="M36" s="228"/>
      <c r="N36" s="282"/>
      <c r="O36" s="228"/>
      <c r="P36" s="228"/>
      <c r="Q36" s="228"/>
      <c r="R36" s="228"/>
      <c r="S36" s="230"/>
    </row>
    <row r="37" spans="1:19" x14ac:dyDescent="0.25">
      <c r="A37" s="239"/>
      <c r="B37" s="283" t="s">
        <v>259</v>
      </c>
      <c r="C37" s="284">
        <f>IRR(C35:H35)</f>
        <v>0.74423089313511226</v>
      </c>
      <c r="D37" s="285"/>
      <c r="E37" s="228"/>
      <c r="F37" s="228"/>
      <c r="G37" s="236"/>
      <c r="H37" s="228"/>
      <c r="I37" s="228"/>
      <c r="J37" s="228"/>
      <c r="K37" s="228"/>
      <c r="L37" s="228"/>
      <c r="M37" s="228"/>
      <c r="N37" s="228"/>
      <c r="O37" s="228"/>
      <c r="P37" s="228"/>
      <c r="Q37" s="230"/>
      <c r="R37" s="228"/>
      <c r="S37" s="228"/>
    </row>
    <row r="38" spans="1:19" x14ac:dyDescent="0.25">
      <c r="A38" s="239"/>
      <c r="B38" s="286" t="s">
        <v>260</v>
      </c>
      <c r="C38" s="435">
        <f>'Cálculo WACC 5'!B16</f>
        <v>6.294409890904859E-2</v>
      </c>
      <c r="D38" s="236"/>
      <c r="E38" s="228" t="s">
        <v>298</v>
      </c>
      <c r="F38" s="228" t="s">
        <v>299</v>
      </c>
      <c r="G38" s="236"/>
      <c r="H38" s="228"/>
      <c r="I38" s="228"/>
      <c r="J38" s="228"/>
      <c r="K38" s="228"/>
      <c r="L38" s="228"/>
      <c r="M38" s="228"/>
      <c r="N38" s="228"/>
      <c r="O38" s="228"/>
      <c r="P38" s="228"/>
      <c r="Q38" s="230"/>
      <c r="R38" s="228"/>
      <c r="S38" s="228"/>
    </row>
    <row r="39" spans="1:19" ht="15.75" thickBot="1" x14ac:dyDescent="0.3">
      <c r="A39" s="239"/>
      <c r="B39" s="287" t="s">
        <v>300</v>
      </c>
      <c r="C39" s="288">
        <f>NPV(C38,D35:H35)+C35</f>
        <v>111908397.39554194</v>
      </c>
      <c r="D39" s="289">
        <f>NPV(C38,D35:H35,)+C35</f>
        <v>111908397.39554194</v>
      </c>
      <c r="E39" s="282">
        <f>NPV(C38,D32:H32)+C34</f>
        <v>153681397.39554194</v>
      </c>
      <c r="F39" s="228"/>
      <c r="G39" s="236"/>
      <c r="H39" s="228"/>
      <c r="I39" s="228"/>
      <c r="J39" s="228"/>
      <c r="K39" s="228"/>
      <c r="L39" s="228"/>
      <c r="M39" s="228"/>
      <c r="N39" s="228"/>
      <c r="O39" s="228"/>
      <c r="P39" s="228"/>
      <c r="Q39" s="228"/>
      <c r="R39" s="228"/>
      <c r="S39" s="228"/>
    </row>
    <row r="40" spans="1:19" x14ac:dyDescent="0.25">
      <c r="A40" s="239"/>
      <c r="B40" s="236"/>
      <c r="C40" s="285"/>
      <c r="D40" s="236"/>
      <c r="E40" s="228"/>
      <c r="F40" s="228"/>
      <c r="G40" s="236"/>
      <c r="H40" s="228"/>
      <c r="I40" s="228"/>
      <c r="J40" s="228"/>
      <c r="K40" s="228"/>
      <c r="L40" s="228"/>
      <c r="M40" s="228"/>
      <c r="N40" s="228"/>
      <c r="O40" s="228"/>
      <c r="P40" s="228"/>
      <c r="Q40" s="228"/>
      <c r="R40" s="228"/>
      <c r="S40" s="228"/>
    </row>
    <row r="41" spans="1:19" x14ac:dyDescent="0.25">
      <c r="A41" s="239"/>
      <c r="B41" s="236"/>
      <c r="C41" s="236"/>
      <c r="D41" s="236"/>
      <c r="E41" s="228"/>
      <c r="F41" s="228"/>
      <c r="G41" s="236"/>
      <c r="H41" s="228"/>
      <c r="I41" s="228"/>
      <c r="J41" s="228"/>
      <c r="K41" s="228"/>
      <c r="L41" s="228"/>
      <c r="M41" s="228"/>
      <c r="N41" s="228"/>
      <c r="O41" s="228"/>
      <c r="P41" s="228"/>
      <c r="Q41" s="228"/>
      <c r="R41" s="228"/>
      <c r="S41" s="228"/>
    </row>
    <row r="42" spans="1:19" x14ac:dyDescent="0.25">
      <c r="A42" s="290"/>
      <c r="B42" s="231"/>
      <c r="C42" s="231"/>
      <c r="D42" s="229"/>
      <c r="E42" s="228"/>
      <c r="F42" s="228"/>
      <c r="G42" s="290"/>
      <c r="H42" s="228"/>
      <c r="I42" s="228"/>
      <c r="J42" s="231"/>
      <c r="K42" s="231"/>
      <c r="L42" s="231"/>
      <c r="M42" s="231"/>
      <c r="N42" s="231"/>
      <c r="O42" s="231"/>
      <c r="P42" s="231"/>
      <c r="Q42" s="228"/>
      <c r="R42" s="228"/>
      <c r="S42" s="228"/>
    </row>
    <row r="43" spans="1:19" x14ac:dyDescent="0.25">
      <c r="A43" s="228"/>
      <c r="B43" s="228"/>
      <c r="C43" s="228"/>
      <c r="D43" s="229"/>
      <c r="E43" s="228"/>
      <c r="F43" s="228"/>
      <c r="G43" s="230"/>
      <c r="H43" s="228"/>
      <c r="I43" s="228"/>
      <c r="J43" s="228"/>
      <c r="K43" s="228"/>
      <c r="L43" s="228"/>
      <c r="M43" s="228"/>
      <c r="N43" s="228"/>
      <c r="O43" s="228"/>
      <c r="P43" s="228"/>
      <c r="Q43" s="228"/>
      <c r="R43" s="228"/>
      <c r="S43" s="228"/>
    </row>
    <row r="44" spans="1:19" x14ac:dyDescent="0.25">
      <c r="A44" s="228"/>
      <c r="B44" s="228"/>
      <c r="C44" s="228"/>
      <c r="D44" s="229"/>
      <c r="E44" s="228"/>
      <c r="F44" s="228"/>
      <c r="G44" s="230"/>
      <c r="H44" s="228"/>
      <c r="I44" s="228"/>
      <c r="J44" s="228"/>
      <c r="K44" s="228"/>
      <c r="L44" s="228"/>
      <c r="M44" s="228"/>
      <c r="N44" s="228"/>
      <c r="O44" s="228"/>
      <c r="P44" s="228"/>
      <c r="Q44" s="228"/>
      <c r="R44" s="228"/>
      <c r="S44" s="228"/>
    </row>
    <row r="45" spans="1:19" x14ac:dyDescent="0.25">
      <c r="A45" s="228"/>
      <c r="B45" s="228"/>
      <c r="C45" s="228"/>
      <c r="D45" s="229"/>
      <c r="E45" s="228"/>
      <c r="F45" s="228"/>
      <c r="G45" s="230"/>
      <c r="H45" s="228"/>
      <c r="I45" s="228"/>
      <c r="J45" s="228"/>
      <c r="K45" s="228"/>
      <c r="L45" s="228"/>
      <c r="M45" s="228"/>
      <c r="N45" s="228"/>
      <c r="O45" s="228"/>
      <c r="P45" s="228"/>
      <c r="Q45" s="228"/>
      <c r="R45" s="228"/>
      <c r="S45" s="228"/>
    </row>
  </sheetData>
  <mergeCells count="6">
    <mergeCell ref="L16:L17"/>
    <mergeCell ref="A2:I2"/>
    <mergeCell ref="L2:R2"/>
    <mergeCell ref="A3:I3"/>
    <mergeCell ref="L4:R4"/>
    <mergeCell ref="K13:R13"/>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E5B9B-FB49-472B-A8CB-943D79124B65}">
  <dimension ref="F5:J12"/>
  <sheetViews>
    <sheetView workbookViewId="0">
      <selection activeCell="H12" sqref="H12"/>
    </sheetView>
  </sheetViews>
  <sheetFormatPr baseColWidth="10" defaultRowHeight="15" x14ac:dyDescent="0.25"/>
  <sheetData>
    <row r="5" spans="6:10" x14ac:dyDescent="0.25">
      <c r="F5">
        <v>1.1000000000000001</v>
      </c>
    </row>
    <row r="8" spans="6:10" x14ac:dyDescent="0.25">
      <c r="H8">
        <f>24*0.33</f>
        <v>7.92</v>
      </c>
      <c r="J8">
        <f>750</f>
        <v>750</v>
      </c>
    </row>
    <row r="9" spans="6:10" x14ac:dyDescent="0.25">
      <c r="J9">
        <f>J8/H8</f>
        <v>94.696969696969703</v>
      </c>
    </row>
    <row r="10" spans="6:10" x14ac:dyDescent="0.25">
      <c r="H10">
        <f>H8*120</f>
        <v>950.4</v>
      </c>
    </row>
    <row r="12" spans="6:10" x14ac:dyDescent="0.25">
      <c r="H12" t="s">
        <v>490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E6600-9609-4269-ADD5-8DDDBFCBF39F}">
  <dimension ref="B2:H13"/>
  <sheetViews>
    <sheetView workbookViewId="0">
      <selection activeCell="D12" sqref="D12"/>
    </sheetView>
  </sheetViews>
  <sheetFormatPr baseColWidth="10" defaultRowHeight="15" x14ac:dyDescent="0.25"/>
  <cols>
    <col min="2" max="2" width="19.28515625" bestFit="1" customWidth="1"/>
    <col min="3" max="3" width="14.7109375" bestFit="1" customWidth="1"/>
    <col min="4" max="8" width="14" bestFit="1" customWidth="1"/>
  </cols>
  <sheetData>
    <row r="2" spans="2:8" ht="15.75" thickBot="1" x14ac:dyDescent="0.3"/>
    <row r="3" spans="2:8" x14ac:dyDescent="0.25">
      <c r="B3" s="528" t="s">
        <v>316</v>
      </c>
      <c r="C3" s="529"/>
      <c r="D3" s="529"/>
      <c r="E3" s="529"/>
      <c r="F3" s="529"/>
      <c r="G3" s="529"/>
      <c r="H3" s="530"/>
    </row>
    <row r="4" spans="2:8" x14ac:dyDescent="0.25">
      <c r="B4" s="240" t="s">
        <v>306</v>
      </c>
      <c r="C4" s="265">
        <v>2022</v>
      </c>
      <c r="D4" s="265">
        <v>2023</v>
      </c>
      <c r="E4" s="265">
        <v>2024</v>
      </c>
      <c r="F4" s="265">
        <v>2025</v>
      </c>
      <c r="G4" s="265">
        <v>2026</v>
      </c>
      <c r="H4" s="242">
        <v>2027</v>
      </c>
    </row>
    <row r="5" spans="2:8" x14ac:dyDescent="0.25">
      <c r="B5" s="519" t="s">
        <v>307</v>
      </c>
      <c r="C5" s="534" t="s">
        <v>313</v>
      </c>
      <c r="D5" s="266" t="s">
        <v>315</v>
      </c>
      <c r="E5" s="266">
        <v>0.08</v>
      </c>
      <c r="F5" s="266">
        <v>0.08</v>
      </c>
      <c r="G5" s="266">
        <v>0.08</v>
      </c>
      <c r="H5" s="266">
        <v>0.08</v>
      </c>
    </row>
    <row r="6" spans="2:8" x14ac:dyDescent="0.25">
      <c r="B6" s="519"/>
      <c r="C6" s="535"/>
      <c r="D6" s="269" t="s">
        <v>315</v>
      </c>
      <c r="E6" s="269">
        <v>1.08</v>
      </c>
      <c r="F6" s="269">
        <v>1.08</v>
      </c>
      <c r="G6" s="269">
        <v>1.08</v>
      </c>
      <c r="H6" s="269">
        <v>1.08</v>
      </c>
    </row>
    <row r="7" spans="2:8" x14ac:dyDescent="0.25">
      <c r="B7" s="293" t="s">
        <v>308</v>
      </c>
      <c r="C7" s="531">
        <f>Gastos!E10</f>
        <v>41773000</v>
      </c>
      <c r="D7" s="294">
        <f>Costeo!J4*6+Costeo!J18*12</f>
        <v>34800000</v>
      </c>
      <c r="E7" s="294">
        <f>D7*E6</f>
        <v>37584000</v>
      </c>
      <c r="F7" s="294">
        <f>E7*F6</f>
        <v>40590720</v>
      </c>
      <c r="G7" s="294">
        <f>F7*G6</f>
        <v>43837977.600000001</v>
      </c>
      <c r="H7" s="295">
        <f>G7*H6</f>
        <v>47345015.808000006</v>
      </c>
    </row>
    <row r="8" spans="2:8" x14ac:dyDescent="0.25">
      <c r="B8" s="293" t="s">
        <v>309</v>
      </c>
      <c r="C8" s="532"/>
      <c r="D8" s="294">
        <f>Costeo!J5*12</f>
        <v>1800000</v>
      </c>
      <c r="E8" s="294">
        <f>D8*E6</f>
        <v>1944000.0000000002</v>
      </c>
      <c r="F8" s="294">
        <f>E8*F6</f>
        <v>2099520.0000000005</v>
      </c>
      <c r="G8" s="294">
        <f>F8*G6</f>
        <v>2267481.6000000006</v>
      </c>
      <c r="H8" s="295">
        <f>G8*H6</f>
        <v>2448880.128000001</v>
      </c>
    </row>
    <row r="9" spans="2:8" x14ac:dyDescent="0.25">
      <c r="B9" s="293" t="s">
        <v>310</v>
      </c>
      <c r="C9" s="532"/>
      <c r="D9" s="294">
        <f>Costeo!J6*12</f>
        <v>1841916</v>
      </c>
      <c r="E9" s="294">
        <f>D9*E6</f>
        <v>1989269.28</v>
      </c>
      <c r="F9" s="294">
        <f>E9*F6</f>
        <v>2148410.8223999999</v>
      </c>
      <c r="G9" s="294">
        <f>F9*G6</f>
        <v>2320283.6881920001</v>
      </c>
      <c r="H9" s="295">
        <f>G9*H6</f>
        <v>2505906.3832473601</v>
      </c>
    </row>
    <row r="10" spans="2:8" x14ac:dyDescent="0.25">
      <c r="B10" s="293" t="s">
        <v>311</v>
      </c>
      <c r="C10" s="532"/>
      <c r="D10" s="294">
        <f>Costeo!J16*12</f>
        <v>4200000</v>
      </c>
      <c r="E10" s="294">
        <f>D10*E6</f>
        <v>4536000</v>
      </c>
      <c r="F10" s="294">
        <f>E10*F6</f>
        <v>4898880</v>
      </c>
      <c r="G10" s="294">
        <f>F10*G6</f>
        <v>5290790.4000000004</v>
      </c>
      <c r="H10" s="295">
        <f>G10*H6</f>
        <v>5714053.6320000011</v>
      </c>
    </row>
    <row r="11" spans="2:8" x14ac:dyDescent="0.25">
      <c r="B11" s="293" t="s">
        <v>312</v>
      </c>
      <c r="C11" s="532"/>
      <c r="D11" s="294">
        <f>Costeo!J7*12</f>
        <v>73200</v>
      </c>
      <c r="E11" s="294">
        <f>D11*E6</f>
        <v>79056</v>
      </c>
      <c r="F11" s="294">
        <f>E11*F6</f>
        <v>85380.48000000001</v>
      </c>
      <c r="G11" s="294">
        <f>F11*G6</f>
        <v>92210.918400000024</v>
      </c>
      <c r="H11" s="295">
        <f>G11*H6</f>
        <v>99587.791872000031</v>
      </c>
    </row>
    <row r="12" spans="2:8" ht="45" x14ac:dyDescent="0.25">
      <c r="B12" s="299" t="s">
        <v>314</v>
      </c>
      <c r="C12" s="533"/>
      <c r="D12" s="294">
        <f>Costeo!J8*12</f>
        <v>279120</v>
      </c>
      <c r="E12" s="294">
        <f>D12*E6</f>
        <v>301449.60000000003</v>
      </c>
      <c r="F12" s="294">
        <f>E12*F6</f>
        <v>325565.56800000009</v>
      </c>
      <c r="G12" s="294">
        <f>F12*G6</f>
        <v>351610.81344000011</v>
      </c>
      <c r="H12" s="295">
        <f>G12*H6</f>
        <v>379739.67851520015</v>
      </c>
    </row>
    <row r="13" spans="2:8" ht="15.75" thickBot="1" x14ac:dyDescent="0.3">
      <c r="B13" s="296" t="s">
        <v>54</v>
      </c>
      <c r="C13" s="255">
        <f t="shared" ref="C13:H13" si="0">SUM(C7:C12)</f>
        <v>41773000</v>
      </c>
      <c r="D13" s="297">
        <f t="shared" si="0"/>
        <v>42994236</v>
      </c>
      <c r="E13" s="297">
        <f t="shared" si="0"/>
        <v>46433774.880000003</v>
      </c>
      <c r="F13" s="297">
        <f t="shared" si="0"/>
        <v>50148476.870400004</v>
      </c>
      <c r="G13" s="297">
        <f t="shared" si="0"/>
        <v>54160355.020032004</v>
      </c>
      <c r="H13" s="298">
        <f t="shared" si="0"/>
        <v>58493183.42163457</v>
      </c>
    </row>
  </sheetData>
  <mergeCells count="4">
    <mergeCell ref="B3:H3"/>
    <mergeCell ref="B5:B6"/>
    <mergeCell ref="C7:C12"/>
    <mergeCell ref="C5: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12D06-8C51-43EF-B06C-BAD145F3DFBB}">
  <dimension ref="B2:P59"/>
  <sheetViews>
    <sheetView topLeftCell="A23" zoomScaleNormal="100" workbookViewId="0">
      <selection activeCell="O15" sqref="O15"/>
    </sheetView>
  </sheetViews>
  <sheetFormatPr baseColWidth="10" defaultRowHeight="15" x14ac:dyDescent="0.25"/>
  <cols>
    <col min="4" max="4" width="23.7109375" customWidth="1"/>
    <col min="5" max="5" width="11.7109375" bestFit="1" customWidth="1"/>
    <col min="6" max="6" width="12.85546875" bestFit="1" customWidth="1"/>
    <col min="7" max="7" width="28" bestFit="1" customWidth="1"/>
    <col min="8" max="8" width="19" bestFit="1" customWidth="1"/>
    <col min="9" max="9" width="12.85546875" bestFit="1" customWidth="1"/>
    <col min="10" max="10" width="26.42578125" bestFit="1" customWidth="1"/>
    <col min="11" max="16" width="12.85546875" bestFit="1" customWidth="1"/>
  </cols>
  <sheetData>
    <row r="2" spans="2:16" ht="15.75" thickBot="1" x14ac:dyDescent="0.3"/>
    <row r="3" spans="2:16" x14ac:dyDescent="0.25">
      <c r="B3" s="550" t="s">
        <v>365</v>
      </c>
      <c r="C3" s="551"/>
      <c r="D3" s="551"/>
      <c r="E3" s="551"/>
      <c r="F3" s="551"/>
      <c r="G3" s="551"/>
      <c r="H3" s="552"/>
      <c r="J3" s="501" t="s">
        <v>340</v>
      </c>
      <c r="K3" s="538"/>
      <c r="L3" s="538"/>
      <c r="M3" s="538"/>
      <c r="N3" s="538"/>
      <c r="O3" s="538"/>
      <c r="P3" s="513"/>
    </row>
    <row r="4" spans="2:16" x14ac:dyDescent="0.25">
      <c r="B4" s="553" t="s">
        <v>368</v>
      </c>
      <c r="C4" s="554"/>
      <c r="D4" s="554"/>
      <c r="E4" s="554"/>
      <c r="F4" s="554"/>
      <c r="G4" s="554"/>
      <c r="H4" s="555"/>
      <c r="J4" s="539" t="s">
        <v>328</v>
      </c>
      <c r="K4" s="538"/>
      <c r="L4" s="538"/>
      <c r="M4" s="538"/>
      <c r="N4" s="538"/>
      <c r="O4" s="538"/>
      <c r="P4" s="513"/>
    </row>
    <row r="5" spans="2:16" x14ac:dyDescent="0.25">
      <c r="B5" s="556"/>
      <c r="C5" s="557"/>
      <c r="D5" s="557"/>
      <c r="E5" s="557"/>
      <c r="F5" s="557"/>
      <c r="G5" s="557"/>
      <c r="H5" s="558"/>
      <c r="J5" s="539" t="s">
        <v>329</v>
      </c>
      <c r="K5" s="538"/>
      <c r="L5" s="538"/>
      <c r="M5" s="538"/>
      <c r="N5" s="538"/>
      <c r="O5" s="538"/>
      <c r="P5" s="513"/>
    </row>
    <row r="6" spans="2:16" x14ac:dyDescent="0.25">
      <c r="B6" s="559" t="s">
        <v>343</v>
      </c>
      <c r="C6" s="560"/>
      <c r="D6" s="330">
        <f>D7+D13</f>
        <v>41773000</v>
      </c>
      <c r="E6" s="561"/>
      <c r="F6" s="560" t="s">
        <v>318</v>
      </c>
      <c r="G6" s="560"/>
      <c r="H6" s="331">
        <f>H7</f>
        <v>0</v>
      </c>
      <c r="J6" s="536"/>
      <c r="K6" s="537"/>
      <c r="L6" s="537"/>
      <c r="M6" s="537"/>
      <c r="N6" s="537"/>
      <c r="O6" s="537"/>
      <c r="P6" s="540"/>
    </row>
    <row r="7" spans="2:16" x14ac:dyDescent="0.25">
      <c r="B7" s="564"/>
      <c r="C7" s="332" t="s">
        <v>317</v>
      </c>
      <c r="D7" s="333">
        <f>SUM(D9:D11)</f>
        <v>22271000</v>
      </c>
      <c r="E7" s="562"/>
      <c r="F7" s="334"/>
      <c r="G7" s="335" t="s">
        <v>320</v>
      </c>
      <c r="H7" s="336">
        <v>0</v>
      </c>
      <c r="J7" s="301" t="s">
        <v>330</v>
      </c>
      <c r="K7" s="302">
        <v>2022</v>
      </c>
      <c r="L7" s="302">
        <v>2023</v>
      </c>
      <c r="M7" s="302">
        <v>2024</v>
      </c>
      <c r="N7" s="302">
        <v>2025</v>
      </c>
      <c r="O7" s="302">
        <v>2026</v>
      </c>
      <c r="P7" s="145">
        <v>2027</v>
      </c>
    </row>
    <row r="8" spans="2:16" x14ac:dyDescent="0.25">
      <c r="B8" s="565"/>
      <c r="C8" s="335"/>
      <c r="D8" s="335"/>
      <c r="E8" s="562"/>
      <c r="F8" s="337"/>
      <c r="G8" s="567"/>
      <c r="H8" s="558"/>
      <c r="J8" s="303" t="s">
        <v>331</v>
      </c>
      <c r="K8" s="348">
        <f>'Flujo de Caja'!C12</f>
        <v>41773000</v>
      </c>
      <c r="L8" s="305">
        <f>'Flujo de Caja'!D12</f>
        <v>64736000</v>
      </c>
      <c r="M8" s="305">
        <f>'Flujo de Caja'!E12</f>
        <v>71209600</v>
      </c>
      <c r="N8" s="305">
        <f>'Flujo de Caja'!F12</f>
        <v>78330560</v>
      </c>
      <c r="O8" s="305">
        <f>'Flujo de Caja'!G12</f>
        <v>86163616</v>
      </c>
      <c r="P8" s="305">
        <f>'Flujo de Caja'!H12</f>
        <v>94779977.600000009</v>
      </c>
    </row>
    <row r="9" spans="2:16" x14ac:dyDescent="0.25">
      <c r="B9" s="565"/>
      <c r="C9" s="335" t="s">
        <v>366</v>
      </c>
      <c r="D9" s="338">
        <f>'Plan de Inversión'!C5-20150800</f>
        <v>21622200</v>
      </c>
      <c r="E9" s="562"/>
      <c r="F9" s="560" t="s">
        <v>322</v>
      </c>
      <c r="G9" s="560"/>
      <c r="H9" s="339">
        <f>H10</f>
        <v>41773000</v>
      </c>
      <c r="J9" s="306" t="s">
        <v>332</v>
      </c>
      <c r="K9" s="348">
        <f>K8</f>
        <v>41773000</v>
      </c>
      <c r="L9" s="307">
        <f>'Flujo de Caja'!D18</f>
        <v>28462812.800000001</v>
      </c>
      <c r="M9" s="307">
        <f>'Flujo de Caja'!E18</f>
        <v>30739837.824000001</v>
      </c>
      <c r="N9" s="307">
        <f>'Flujo de Caja'!F18</f>
        <v>33199024.849920005</v>
      </c>
      <c r="O9" s="307">
        <f>'Flujo de Caja'!G18</f>
        <v>35854946.83791361</v>
      </c>
      <c r="P9" s="308">
        <f>'Flujo de Caja'!H18</f>
        <v>38723342.584946699</v>
      </c>
    </row>
    <row r="10" spans="2:16" x14ac:dyDescent="0.25">
      <c r="B10" s="565"/>
      <c r="C10" s="335" t="s">
        <v>367</v>
      </c>
      <c r="D10" s="340">
        <f>SUM(Compras!G23)</f>
        <v>648800</v>
      </c>
      <c r="E10" s="562"/>
      <c r="F10" s="561"/>
      <c r="G10" s="335" t="s">
        <v>324</v>
      </c>
      <c r="H10" s="341">
        <f>D6</f>
        <v>41773000</v>
      </c>
      <c r="J10" s="303" t="s">
        <v>333</v>
      </c>
      <c r="K10" s="309">
        <f>K9-K8</f>
        <v>0</v>
      </c>
      <c r="L10" s="310">
        <f t="shared" ref="L10:P10" si="0">L8-L9</f>
        <v>36273187.200000003</v>
      </c>
      <c r="M10" s="310">
        <f t="shared" si="0"/>
        <v>40469762.175999999</v>
      </c>
      <c r="N10" s="310">
        <f t="shared" si="0"/>
        <v>45131535.150079995</v>
      </c>
      <c r="O10" s="310">
        <f t="shared" si="0"/>
        <v>50308669.16208639</v>
      </c>
      <c r="P10" s="311">
        <f t="shared" si="0"/>
        <v>56056635.01505331</v>
      </c>
    </row>
    <row r="11" spans="2:16" x14ac:dyDescent="0.25">
      <c r="B11" s="565"/>
      <c r="C11" s="335" t="s">
        <v>323</v>
      </c>
      <c r="D11" s="340">
        <f>+'[1]3. GASTOS DE PUESTA EN MARCHA'!E10</f>
        <v>0</v>
      </c>
      <c r="E11" s="562"/>
      <c r="F11" s="562"/>
      <c r="G11" s="335"/>
      <c r="H11" s="342"/>
      <c r="J11" s="306"/>
      <c r="K11" s="304"/>
      <c r="L11" s="304"/>
      <c r="M11" s="304"/>
      <c r="N11" s="304"/>
      <c r="O11" s="304"/>
      <c r="P11" s="312"/>
    </row>
    <row r="12" spans="2:16" x14ac:dyDescent="0.25">
      <c r="B12" s="565"/>
      <c r="C12" s="335"/>
      <c r="D12" s="335"/>
      <c r="E12" s="562"/>
      <c r="F12" s="562"/>
      <c r="G12" s="335"/>
      <c r="H12" s="342"/>
      <c r="J12" s="536" t="s">
        <v>334</v>
      </c>
      <c r="K12" s="537"/>
      <c r="L12" s="307">
        <f>'Flujo de Caja'!D19</f>
        <v>7115703.2000000002</v>
      </c>
      <c r="M12" s="307">
        <f>'Flujo de Caja'!E19</f>
        <v>7684959.4560000002</v>
      </c>
      <c r="N12" s="307">
        <f>'Flujo de Caja'!F19</f>
        <v>8299756.2124800012</v>
      </c>
      <c r="O12" s="307">
        <f>'Flujo de Caja'!G19</f>
        <v>8963736.7094784025</v>
      </c>
      <c r="P12" s="308">
        <f>'Flujo de Caja'!H19</f>
        <v>9680835.6462366749</v>
      </c>
    </row>
    <row r="13" spans="2:16" x14ac:dyDescent="0.25">
      <c r="B13" s="565"/>
      <c r="C13" s="332" t="s">
        <v>325</v>
      </c>
      <c r="D13" s="343">
        <f>D14</f>
        <v>19502000</v>
      </c>
      <c r="E13" s="562"/>
      <c r="F13" s="562"/>
      <c r="G13" s="335"/>
      <c r="H13" s="342"/>
      <c r="J13" s="303" t="s">
        <v>335</v>
      </c>
      <c r="K13" s="309">
        <f t="shared" ref="K13:P13" si="1">K10-K12</f>
        <v>0</v>
      </c>
      <c r="L13" s="310">
        <f t="shared" si="1"/>
        <v>29157484.000000004</v>
      </c>
      <c r="M13" s="310">
        <f t="shared" si="1"/>
        <v>32784802.719999999</v>
      </c>
      <c r="N13" s="310">
        <f t="shared" si="1"/>
        <v>36831778.937599994</v>
      </c>
      <c r="O13" s="310">
        <f t="shared" si="1"/>
        <v>41344932.452607989</v>
      </c>
      <c r="P13" s="311">
        <f t="shared" si="1"/>
        <v>46375799.368816637</v>
      </c>
    </row>
    <row r="14" spans="2:16" ht="15.75" thickBot="1" x14ac:dyDescent="0.3">
      <c r="B14" s="566"/>
      <c r="C14" s="344" t="s">
        <v>288</v>
      </c>
      <c r="D14" s="345">
        <f>Compras!G37</f>
        <v>19502000</v>
      </c>
      <c r="E14" s="563"/>
      <c r="F14" s="563"/>
      <c r="G14" s="346" t="s">
        <v>327</v>
      </c>
      <c r="H14" s="347">
        <f>H9+H6</f>
        <v>41773000</v>
      </c>
      <c r="J14" s="306"/>
      <c r="K14" s="304"/>
      <c r="L14" s="304"/>
      <c r="M14" s="304"/>
      <c r="N14" s="304"/>
      <c r="O14" s="304"/>
      <c r="P14" s="312"/>
    </row>
    <row r="15" spans="2:16" x14ac:dyDescent="0.25">
      <c r="J15" s="306" t="s">
        <v>336</v>
      </c>
      <c r="K15" s="304"/>
      <c r="L15" s="307">
        <f>'[3]14 . FLUJO DE CAJA'!K20</f>
        <v>0</v>
      </c>
      <c r="M15" s="307">
        <f>'[3]14 . FLUJO DE CAJA'!L20</f>
        <v>0</v>
      </c>
      <c r="N15" s="307">
        <f>'[3]14 . FLUJO DE CAJA'!M20</f>
        <v>0</v>
      </c>
      <c r="O15" s="307">
        <f>'[3]14 . FLUJO DE CAJA'!N20</f>
        <v>0</v>
      </c>
      <c r="P15" s="308">
        <f>'[3]14 . FLUJO DE CAJA'!O20</f>
        <v>0</v>
      </c>
    </row>
    <row r="16" spans="2:16" x14ac:dyDescent="0.25">
      <c r="J16" s="536" t="s">
        <v>337</v>
      </c>
      <c r="K16" s="537"/>
      <c r="L16" s="307">
        <f>'Flujo de Caja'!D30</f>
        <v>4030000</v>
      </c>
      <c r="M16" s="307">
        <f>L16</f>
        <v>4030000</v>
      </c>
      <c r="N16" s="307">
        <f t="shared" ref="N16:P16" si="2">M16</f>
        <v>4030000</v>
      </c>
      <c r="O16" s="307">
        <f t="shared" si="2"/>
        <v>4030000</v>
      </c>
      <c r="P16" s="307">
        <f t="shared" si="2"/>
        <v>4030000</v>
      </c>
    </row>
    <row r="17" spans="3:16" x14ac:dyDescent="0.25">
      <c r="J17" s="303" t="s">
        <v>338</v>
      </c>
      <c r="K17" s="309">
        <f t="shared" ref="K17:P17" si="3">K13-K15-K16</f>
        <v>0</v>
      </c>
      <c r="L17" s="310">
        <f t="shared" si="3"/>
        <v>25127484.000000004</v>
      </c>
      <c r="M17" s="310">
        <f t="shared" si="3"/>
        <v>28754802.719999999</v>
      </c>
      <c r="N17" s="310">
        <f t="shared" si="3"/>
        <v>32801778.937599994</v>
      </c>
      <c r="O17" s="310">
        <f t="shared" si="3"/>
        <v>37314932.452607989</v>
      </c>
      <c r="P17" s="311">
        <f t="shared" si="3"/>
        <v>42345799.368816637</v>
      </c>
    </row>
    <row r="18" spans="3:16" x14ac:dyDescent="0.25">
      <c r="J18" s="306"/>
      <c r="K18" s="304"/>
      <c r="L18" s="304"/>
      <c r="M18" s="304"/>
      <c r="N18" s="304"/>
      <c r="O18" s="304"/>
      <c r="P18" s="312"/>
    </row>
    <row r="19" spans="3:16" x14ac:dyDescent="0.25">
      <c r="J19" s="536" t="s">
        <v>369</v>
      </c>
      <c r="K19" s="537"/>
      <c r="L19" s="313">
        <f>L17*0.33</f>
        <v>8292069.7200000016</v>
      </c>
      <c r="M19" s="313">
        <f t="shared" ref="M19:P19" si="4">M17*0.33</f>
        <v>9489084.8976000007</v>
      </c>
      <c r="N19" s="313">
        <f t="shared" si="4"/>
        <v>10824587.049407998</v>
      </c>
      <c r="O19" s="313">
        <f t="shared" si="4"/>
        <v>12313927.709360637</v>
      </c>
      <c r="P19" s="313">
        <f t="shared" si="4"/>
        <v>13974113.79170949</v>
      </c>
    </row>
    <row r="20" spans="3:16" x14ac:dyDescent="0.25">
      <c r="J20" s="314" t="s">
        <v>339</v>
      </c>
      <c r="K20" s="315">
        <f t="shared" ref="K20:P20" si="5">K17-K19</f>
        <v>0</v>
      </c>
      <c r="L20" s="316">
        <f t="shared" si="5"/>
        <v>16835414.280000001</v>
      </c>
      <c r="M20" s="316">
        <f t="shared" si="5"/>
        <v>19265717.822399996</v>
      </c>
      <c r="N20" s="316">
        <f t="shared" si="5"/>
        <v>21977191.888191998</v>
      </c>
      <c r="O20" s="316">
        <f t="shared" si="5"/>
        <v>25001004.743247353</v>
      </c>
      <c r="P20" s="317">
        <f t="shared" si="5"/>
        <v>28371685.577107146</v>
      </c>
    </row>
    <row r="24" spans="3:16" x14ac:dyDescent="0.25">
      <c r="C24" s="543" t="s">
        <v>340</v>
      </c>
      <c r="D24" s="544"/>
      <c r="E24" s="544"/>
      <c r="F24" s="544"/>
      <c r="G24" s="544"/>
      <c r="H24" s="544"/>
      <c r="I24" s="544"/>
      <c r="J24" s="545"/>
    </row>
    <row r="25" spans="3:16" x14ac:dyDescent="0.25">
      <c r="C25" s="546" t="s">
        <v>341</v>
      </c>
      <c r="D25" s="509"/>
      <c r="E25" s="509"/>
      <c r="F25" s="509"/>
      <c r="G25" s="509"/>
      <c r="H25" s="509"/>
      <c r="I25" s="509"/>
      <c r="J25" s="540"/>
    </row>
    <row r="26" spans="3:16" x14ac:dyDescent="0.25">
      <c r="C26" s="546" t="s">
        <v>342</v>
      </c>
      <c r="D26" s="509"/>
      <c r="E26" s="509"/>
      <c r="F26" s="509"/>
      <c r="G26" s="509"/>
      <c r="H26" s="509"/>
      <c r="I26" s="509"/>
      <c r="J26" s="540"/>
    </row>
    <row r="27" spans="3:16" x14ac:dyDescent="0.25">
      <c r="C27" s="547"/>
      <c r="D27" s="537"/>
      <c r="E27" s="537"/>
      <c r="F27" s="537"/>
      <c r="G27" s="537"/>
      <c r="H27" s="537"/>
      <c r="I27" s="537"/>
      <c r="J27" s="540"/>
    </row>
    <row r="28" spans="3:16" x14ac:dyDescent="0.25">
      <c r="C28" s="548" t="s">
        <v>330</v>
      </c>
      <c r="D28" s="537"/>
      <c r="E28" s="318">
        <v>2022</v>
      </c>
      <c r="F28" s="318">
        <v>2023</v>
      </c>
      <c r="G28" s="318">
        <v>2024</v>
      </c>
      <c r="H28" s="318">
        <v>2025</v>
      </c>
      <c r="I28" s="318">
        <v>2026</v>
      </c>
      <c r="J28" s="319">
        <v>2027</v>
      </c>
    </row>
    <row r="29" spans="3:16" x14ac:dyDescent="0.25">
      <c r="C29" s="547"/>
      <c r="D29" s="537"/>
      <c r="E29" s="549"/>
      <c r="F29" s="537"/>
      <c r="G29" s="537"/>
      <c r="H29" s="537"/>
      <c r="I29" s="537"/>
      <c r="J29" s="540"/>
    </row>
    <row r="30" spans="3:16" x14ac:dyDescent="0.25">
      <c r="C30" s="548" t="s">
        <v>343</v>
      </c>
      <c r="D30" s="537"/>
      <c r="E30" s="320" t="s">
        <v>344</v>
      </c>
      <c r="F30" s="320" t="s">
        <v>345</v>
      </c>
      <c r="G30" s="320" t="s">
        <v>346</v>
      </c>
      <c r="H30" s="320" t="s">
        <v>347</v>
      </c>
      <c r="I30" s="320" t="s">
        <v>348</v>
      </c>
      <c r="J30" s="319" t="s">
        <v>349</v>
      </c>
    </row>
    <row r="31" spans="3:16" x14ac:dyDescent="0.25">
      <c r="C31" s="321"/>
      <c r="D31" s="322" t="s">
        <v>350</v>
      </c>
      <c r="E31" s="159"/>
      <c r="F31" s="159"/>
      <c r="G31" s="159"/>
      <c r="H31" s="159"/>
      <c r="I31" s="159"/>
      <c r="J31" s="312"/>
    </row>
    <row r="32" spans="3:16" x14ac:dyDescent="0.25">
      <c r="C32" s="321"/>
      <c r="D32" s="304" t="s">
        <v>319</v>
      </c>
      <c r="E32" s="323">
        <f>D9</f>
        <v>21622200</v>
      </c>
      <c r="F32" s="323">
        <f>'Flujo de Caja'!D35</f>
        <v>29157484</v>
      </c>
      <c r="G32" s="323">
        <f>'Flujo de Caja'!E35</f>
        <v>32784802.719999999</v>
      </c>
      <c r="H32" s="323">
        <f>'Flujo de Caja'!F34</f>
        <v>36831778.937599994</v>
      </c>
      <c r="I32" s="323">
        <f>'Flujo de Caja'!G34</f>
        <v>41344932.452607989</v>
      </c>
      <c r="J32" s="324">
        <f>'Flujo de Caja'!H34</f>
        <v>46375799.368816637</v>
      </c>
    </row>
    <row r="33" spans="3:10" s="300" customFormat="1" x14ac:dyDescent="0.25">
      <c r="C33" s="321"/>
      <c r="D33" s="304" t="s">
        <v>437</v>
      </c>
      <c r="E33" s="323">
        <v>0</v>
      </c>
      <c r="F33" s="323">
        <f>E32</f>
        <v>21622200</v>
      </c>
      <c r="G33" s="323">
        <f>F32-3505284</f>
        <v>25652200</v>
      </c>
      <c r="H33" s="323">
        <f>G32-3102602.71999998</f>
        <v>29682200.000000019</v>
      </c>
      <c r="I33" s="323">
        <f>H32-3119578.93759999</f>
        <v>33712200.000000007</v>
      </c>
      <c r="J33" s="323">
        <f>I32-3602732.45260799</f>
        <v>37742200</v>
      </c>
    </row>
    <row r="34" spans="3:10" x14ac:dyDescent="0.25">
      <c r="C34" s="321"/>
      <c r="D34" s="304" t="s">
        <v>321</v>
      </c>
      <c r="E34" s="323">
        <f>D10</f>
        <v>648800</v>
      </c>
      <c r="F34" s="323">
        <f>E34</f>
        <v>648800</v>
      </c>
      <c r="G34" s="323">
        <f t="shared" ref="G34:J34" si="6">F34</f>
        <v>648800</v>
      </c>
      <c r="H34" s="323">
        <f t="shared" si="6"/>
        <v>648800</v>
      </c>
      <c r="I34" s="323">
        <f t="shared" si="6"/>
        <v>648800</v>
      </c>
      <c r="J34" s="323">
        <f t="shared" si="6"/>
        <v>648800</v>
      </c>
    </row>
    <row r="35" spans="3:10" x14ac:dyDescent="0.25">
      <c r="C35" s="321"/>
      <c r="D35" s="304" t="s">
        <v>351</v>
      </c>
      <c r="E35" s="323">
        <f>'[3]13. BALANCE INICIAL'!C29</f>
        <v>0</v>
      </c>
      <c r="F35" s="325"/>
      <c r="G35" s="159"/>
      <c r="H35" s="159"/>
      <c r="I35" s="159"/>
      <c r="J35" s="312"/>
    </row>
    <row r="36" spans="3:10" x14ac:dyDescent="0.25">
      <c r="C36" s="321"/>
      <c r="D36" s="322" t="s">
        <v>352</v>
      </c>
      <c r="E36" s="323">
        <f t="shared" ref="E36:J36" si="7">SUM(E32:E35)</f>
        <v>22271000</v>
      </c>
      <c r="F36" s="323">
        <f t="shared" si="7"/>
        <v>51428484</v>
      </c>
      <c r="G36" s="323">
        <f t="shared" si="7"/>
        <v>59085802.719999999</v>
      </c>
      <c r="H36" s="323">
        <f t="shared" si="7"/>
        <v>67162778.937600017</v>
      </c>
      <c r="I36" s="323">
        <f t="shared" si="7"/>
        <v>75705932.452607989</v>
      </c>
      <c r="J36" s="324">
        <f t="shared" si="7"/>
        <v>84766799.368816644</v>
      </c>
    </row>
    <row r="37" spans="3:10" x14ac:dyDescent="0.25">
      <c r="C37" s="321"/>
      <c r="D37" s="159"/>
      <c r="E37" s="159"/>
      <c r="F37" s="159"/>
      <c r="G37" s="159"/>
      <c r="H37" s="159"/>
      <c r="I37" s="159"/>
      <c r="J37" s="312"/>
    </row>
    <row r="38" spans="3:10" x14ac:dyDescent="0.25">
      <c r="C38" s="321"/>
      <c r="D38" s="322" t="s">
        <v>353</v>
      </c>
      <c r="E38" s="159"/>
      <c r="F38" s="159"/>
      <c r="G38" s="159"/>
      <c r="H38" s="159"/>
      <c r="I38" s="159"/>
      <c r="J38" s="312"/>
    </row>
    <row r="39" spans="3:10" x14ac:dyDescent="0.25">
      <c r="C39" s="321"/>
      <c r="D39" s="304" t="s">
        <v>288</v>
      </c>
      <c r="E39" s="323">
        <f>D14</f>
        <v>19502000</v>
      </c>
      <c r="F39" s="323">
        <f>$E$39</f>
        <v>19502000</v>
      </c>
      <c r="G39" s="323">
        <f t="shared" ref="G39:J39" si="8">$E$39</f>
        <v>19502000</v>
      </c>
      <c r="H39" s="323">
        <f t="shared" si="8"/>
        <v>19502000</v>
      </c>
      <c r="I39" s="323">
        <f t="shared" si="8"/>
        <v>19502000</v>
      </c>
      <c r="J39" s="323">
        <f t="shared" si="8"/>
        <v>19502000</v>
      </c>
    </row>
    <row r="40" spans="3:10" x14ac:dyDescent="0.25">
      <c r="C40" s="321" t="s">
        <v>354</v>
      </c>
      <c r="D40" s="304" t="s">
        <v>355</v>
      </c>
      <c r="E40" s="159">
        <v>0</v>
      </c>
      <c r="F40" s="323">
        <f>'Flujo de Caja'!D30</f>
        <v>4030000</v>
      </c>
      <c r="G40" s="323">
        <f>F40+$F$40</f>
        <v>8060000</v>
      </c>
      <c r="H40" s="323">
        <f t="shared" ref="H40:J40" si="9">G40+$F$40</f>
        <v>12090000</v>
      </c>
      <c r="I40" s="323">
        <f t="shared" si="9"/>
        <v>16120000</v>
      </c>
      <c r="J40" s="323">
        <f t="shared" si="9"/>
        <v>20150000</v>
      </c>
    </row>
    <row r="41" spans="3:10" x14ac:dyDescent="0.25">
      <c r="C41" s="321"/>
      <c r="D41" s="326" t="s">
        <v>356</v>
      </c>
      <c r="E41" s="323">
        <f t="shared" ref="E41:J41" si="10">E39-E40</f>
        <v>19502000</v>
      </c>
      <c r="F41" s="323">
        <f>F39-F40</f>
        <v>15472000</v>
      </c>
      <c r="G41" s="323">
        <f t="shared" si="10"/>
        <v>11442000</v>
      </c>
      <c r="H41" s="323">
        <f t="shared" si="10"/>
        <v>7412000</v>
      </c>
      <c r="I41" s="323">
        <f t="shared" si="10"/>
        <v>3382000</v>
      </c>
      <c r="J41" s="324">
        <f t="shared" si="10"/>
        <v>-648000</v>
      </c>
    </row>
    <row r="42" spans="3:10" x14ac:dyDescent="0.25">
      <c r="C42" s="321"/>
      <c r="D42" s="159"/>
      <c r="E42" s="159"/>
      <c r="F42" s="159"/>
      <c r="G42" s="159"/>
      <c r="H42" s="159"/>
      <c r="I42" s="159"/>
      <c r="J42" s="312"/>
    </row>
    <row r="43" spans="3:10" x14ac:dyDescent="0.25">
      <c r="C43" s="321"/>
      <c r="D43" s="326" t="s">
        <v>326</v>
      </c>
      <c r="E43" s="323">
        <f>E41+E36</f>
        <v>41773000</v>
      </c>
      <c r="F43" s="323">
        <f>F36+F41</f>
        <v>66900484</v>
      </c>
      <c r="G43" s="323">
        <f t="shared" ref="G43:H43" si="11">G36+G41</f>
        <v>70527802.719999999</v>
      </c>
      <c r="H43" s="323">
        <f t="shared" si="11"/>
        <v>74574778.937600017</v>
      </c>
      <c r="I43" s="323">
        <f>I36+I41</f>
        <v>79087932.452607989</v>
      </c>
      <c r="J43" s="324">
        <f>J36+J41</f>
        <v>84118799.368816644</v>
      </c>
    </row>
    <row r="44" spans="3:10" x14ac:dyDescent="0.25">
      <c r="C44" s="321"/>
      <c r="D44" s="159"/>
      <c r="E44" s="159"/>
      <c r="F44" s="159"/>
      <c r="G44" s="159"/>
      <c r="H44" s="159"/>
      <c r="I44" s="159"/>
      <c r="J44" s="312"/>
    </row>
    <row r="45" spans="3:10" x14ac:dyDescent="0.25">
      <c r="C45" s="548" t="s">
        <v>357</v>
      </c>
      <c r="D45" s="537"/>
      <c r="E45" s="159"/>
      <c r="F45" s="159"/>
      <c r="G45" s="159"/>
      <c r="H45" s="159"/>
      <c r="I45" s="159"/>
      <c r="J45" s="312"/>
    </row>
    <row r="46" spans="3:10" x14ac:dyDescent="0.25">
      <c r="C46" s="321"/>
      <c r="D46" s="304" t="s">
        <v>358</v>
      </c>
      <c r="E46" s="323">
        <f>'[3]13. BALANCE INICIAL'!F27</f>
        <v>0</v>
      </c>
      <c r="F46" s="323">
        <v>0</v>
      </c>
      <c r="G46" s="323">
        <v>0</v>
      </c>
      <c r="H46" s="323">
        <v>0</v>
      </c>
      <c r="I46" s="323">
        <v>0</v>
      </c>
      <c r="J46" s="324">
        <v>0</v>
      </c>
    </row>
    <row r="47" spans="3:10" x14ac:dyDescent="0.25">
      <c r="C47" s="321"/>
      <c r="D47" s="304" t="s">
        <v>359</v>
      </c>
      <c r="E47" s="159"/>
      <c r="F47" s="325">
        <f>L19</f>
        <v>8292069.7200000016</v>
      </c>
      <c r="G47" s="325">
        <f>M19</f>
        <v>9489084.8976000007</v>
      </c>
      <c r="H47" s="325">
        <f t="shared" ref="H47:J47" si="12">N19</f>
        <v>10824587.049407998</v>
      </c>
      <c r="I47" s="325">
        <f t="shared" si="12"/>
        <v>12313927.709360637</v>
      </c>
      <c r="J47" s="325">
        <f t="shared" si="12"/>
        <v>13974113.79170949</v>
      </c>
    </row>
    <row r="48" spans="3:10" x14ac:dyDescent="0.25">
      <c r="C48" s="321"/>
      <c r="D48" s="159"/>
      <c r="E48" s="159"/>
      <c r="F48" s="159"/>
      <c r="G48" s="159"/>
      <c r="H48" s="159"/>
      <c r="I48" s="159"/>
      <c r="J48" s="312"/>
    </row>
    <row r="49" spans="3:10" x14ac:dyDescent="0.25">
      <c r="C49" s="321"/>
      <c r="D49" s="326" t="s">
        <v>360</v>
      </c>
      <c r="E49" s="323">
        <f t="shared" ref="E49:J49" si="13">SUM(E46:E47)</f>
        <v>0</v>
      </c>
      <c r="F49" s="323">
        <f t="shared" si="13"/>
        <v>8292069.7200000016</v>
      </c>
      <c r="G49" s="323">
        <f t="shared" si="13"/>
        <v>9489084.8976000007</v>
      </c>
      <c r="H49" s="323">
        <f t="shared" si="13"/>
        <v>10824587.049407998</v>
      </c>
      <c r="I49" s="323">
        <f t="shared" si="13"/>
        <v>12313927.709360637</v>
      </c>
      <c r="J49" s="324">
        <f t="shared" si="13"/>
        <v>13974113.79170949</v>
      </c>
    </row>
    <row r="50" spans="3:10" x14ac:dyDescent="0.25">
      <c r="C50" s="321"/>
      <c r="D50" s="159"/>
      <c r="E50" s="159"/>
      <c r="F50" s="159"/>
      <c r="G50" s="159"/>
      <c r="H50" s="159"/>
      <c r="I50" s="159"/>
      <c r="J50" s="312"/>
    </row>
    <row r="51" spans="3:10" x14ac:dyDescent="0.25">
      <c r="C51" s="548" t="s">
        <v>322</v>
      </c>
      <c r="D51" s="537"/>
      <c r="E51" s="159"/>
      <c r="F51" s="159"/>
      <c r="G51" s="159"/>
      <c r="H51" s="159"/>
      <c r="I51" s="159"/>
      <c r="J51" s="312"/>
    </row>
    <row r="52" spans="3:10" x14ac:dyDescent="0.25">
      <c r="C52" s="321"/>
      <c r="D52" s="159" t="s">
        <v>324</v>
      </c>
      <c r="E52" s="323">
        <f>E43</f>
        <v>41773000</v>
      </c>
      <c r="F52" s="323">
        <f>E52</f>
        <v>41773000</v>
      </c>
      <c r="G52" s="323">
        <f>F52</f>
        <v>41773000</v>
      </c>
      <c r="H52" s="323">
        <f>G52</f>
        <v>41773000</v>
      </c>
      <c r="I52" s="323">
        <f>H52</f>
        <v>41773000</v>
      </c>
      <c r="J52" s="323">
        <f>I52</f>
        <v>41773000</v>
      </c>
    </row>
    <row r="53" spans="3:10" x14ac:dyDescent="0.25">
      <c r="C53" s="321"/>
      <c r="D53" s="159" t="s">
        <v>361</v>
      </c>
      <c r="E53" s="159"/>
      <c r="F53" s="327">
        <f>L20</f>
        <v>16835414.280000001</v>
      </c>
      <c r="G53" s="327">
        <f>M20</f>
        <v>19265717.822399996</v>
      </c>
      <c r="H53" s="327">
        <f>N20</f>
        <v>21977191.888191998</v>
      </c>
      <c r="I53" s="327">
        <f>O20</f>
        <v>25001004.743247353</v>
      </c>
      <c r="J53" s="328">
        <f>P20</f>
        <v>28371685.577107146</v>
      </c>
    </row>
    <row r="54" spans="3:10" x14ac:dyDescent="0.25">
      <c r="C54" s="321"/>
      <c r="D54" s="159"/>
      <c r="E54" s="159"/>
      <c r="F54" s="159"/>
      <c r="G54" s="159"/>
      <c r="H54" s="159"/>
      <c r="I54" s="159"/>
      <c r="J54" s="312"/>
    </row>
    <row r="55" spans="3:10" x14ac:dyDescent="0.25">
      <c r="C55" s="321"/>
      <c r="D55" s="326" t="s">
        <v>362</v>
      </c>
      <c r="E55" s="323">
        <f t="shared" ref="E55:J55" si="14">SUM(E52:E53)</f>
        <v>41773000</v>
      </c>
      <c r="F55" s="323">
        <f t="shared" si="14"/>
        <v>58608414.280000001</v>
      </c>
      <c r="G55" s="323">
        <f t="shared" si="14"/>
        <v>61038717.822399996</v>
      </c>
      <c r="H55" s="323">
        <f t="shared" si="14"/>
        <v>63750191.888191998</v>
      </c>
      <c r="I55" s="323">
        <f t="shared" si="14"/>
        <v>66774004.743247353</v>
      </c>
      <c r="J55" s="324">
        <f t="shared" si="14"/>
        <v>70144685.577107146</v>
      </c>
    </row>
    <row r="56" spans="3:10" x14ac:dyDescent="0.25">
      <c r="C56" s="321"/>
      <c r="D56" s="159"/>
      <c r="E56" s="159"/>
      <c r="F56" s="159"/>
      <c r="G56" s="159"/>
      <c r="H56" s="159"/>
      <c r="I56" s="159"/>
      <c r="J56" s="312"/>
    </row>
    <row r="57" spans="3:10" x14ac:dyDescent="0.25">
      <c r="C57" s="321"/>
      <c r="D57" s="326" t="s">
        <v>363</v>
      </c>
      <c r="E57" s="323">
        <f t="shared" ref="E57:J57" si="15">E49+E55</f>
        <v>41773000</v>
      </c>
      <c r="F57" s="323">
        <f t="shared" si="15"/>
        <v>66900484</v>
      </c>
      <c r="G57" s="323">
        <f t="shared" si="15"/>
        <v>70527802.719999999</v>
      </c>
      <c r="H57" s="323">
        <f t="shared" si="15"/>
        <v>74574778.937600002</v>
      </c>
      <c r="I57" s="323">
        <f t="shared" si="15"/>
        <v>79087932.452607989</v>
      </c>
      <c r="J57" s="324">
        <f t="shared" si="15"/>
        <v>84118799.368816644</v>
      </c>
    </row>
    <row r="58" spans="3:10" x14ac:dyDescent="0.25">
      <c r="C58" s="321"/>
      <c r="D58" s="159"/>
      <c r="E58" s="159"/>
      <c r="F58" s="159"/>
      <c r="G58" s="159"/>
      <c r="H58" s="159"/>
      <c r="I58" s="159"/>
      <c r="J58" s="312"/>
    </row>
    <row r="59" spans="3:10" x14ac:dyDescent="0.25">
      <c r="C59" s="541" t="s">
        <v>364</v>
      </c>
      <c r="D59" s="542"/>
      <c r="E59" s="329">
        <f t="shared" ref="E59" si="16">E43-E57</f>
        <v>0</v>
      </c>
      <c r="F59" s="329">
        <f>F43-F57</f>
        <v>0</v>
      </c>
      <c r="G59" s="329">
        <f t="shared" ref="G59:J59" si="17">G43-G57</f>
        <v>0</v>
      </c>
      <c r="H59" s="329">
        <f t="shared" si="17"/>
        <v>0</v>
      </c>
      <c r="I59" s="329">
        <f t="shared" si="17"/>
        <v>0</v>
      </c>
      <c r="J59" s="329">
        <f t="shared" si="17"/>
        <v>0</v>
      </c>
    </row>
  </sheetData>
  <mergeCells count="28">
    <mergeCell ref="B3:H3"/>
    <mergeCell ref="B4:H4"/>
    <mergeCell ref="B5:H5"/>
    <mergeCell ref="B6:C6"/>
    <mergeCell ref="E6:E14"/>
    <mergeCell ref="F6:G6"/>
    <mergeCell ref="B7:B14"/>
    <mergeCell ref="G8:H8"/>
    <mergeCell ref="F9:G9"/>
    <mergeCell ref="F10:F14"/>
    <mergeCell ref="C59:D59"/>
    <mergeCell ref="J19:K19"/>
    <mergeCell ref="C24:J24"/>
    <mergeCell ref="C25:J25"/>
    <mergeCell ref="C26:J26"/>
    <mergeCell ref="C27:J27"/>
    <mergeCell ref="C28:D28"/>
    <mergeCell ref="C29:D29"/>
    <mergeCell ref="E29:J29"/>
    <mergeCell ref="C30:D30"/>
    <mergeCell ref="C45:D45"/>
    <mergeCell ref="C51:D51"/>
    <mergeCell ref="J16:K16"/>
    <mergeCell ref="J3:P3"/>
    <mergeCell ref="J4:P4"/>
    <mergeCell ref="J5:P5"/>
    <mergeCell ref="J6:P6"/>
    <mergeCell ref="J12:K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4BB5F-47AE-4539-8489-875398A1A08C}">
  <dimension ref="B2:G14"/>
  <sheetViews>
    <sheetView workbookViewId="0">
      <selection activeCell="B14" sqref="B14:C14"/>
    </sheetView>
  </sheetViews>
  <sheetFormatPr baseColWidth="10" defaultRowHeight="15" x14ac:dyDescent="0.25"/>
  <cols>
    <col min="1" max="1" width="11.42578125" style="358"/>
    <col min="2" max="2" width="42.7109375" style="358" customWidth="1"/>
    <col min="3" max="3" width="48" style="358" customWidth="1"/>
    <col min="4" max="4" width="11.28515625" style="358" bestFit="1" customWidth="1"/>
    <col min="5" max="5" width="25.7109375" style="358" bestFit="1" customWidth="1"/>
    <col min="6" max="6" width="11.28515625" style="358" bestFit="1" customWidth="1"/>
    <col min="7" max="7" width="26.5703125" style="358" bestFit="1" customWidth="1"/>
    <col min="8" max="16384" width="11.42578125" style="358"/>
  </cols>
  <sheetData>
    <row r="2" spans="2:7" ht="15.75" thickBot="1" x14ac:dyDescent="0.3"/>
    <row r="3" spans="2:7" ht="15.75" thickBot="1" x14ac:dyDescent="0.3">
      <c r="B3" s="568" t="s">
        <v>374</v>
      </c>
      <c r="C3" s="569"/>
      <c r="D3" s="568" t="s">
        <v>374</v>
      </c>
      <c r="E3" s="569"/>
      <c r="F3" s="568" t="s">
        <v>374</v>
      </c>
      <c r="G3" s="569"/>
    </row>
    <row r="4" spans="2:7" ht="15.75" thickBot="1" x14ac:dyDescent="0.3">
      <c r="B4" s="354" t="s">
        <v>371</v>
      </c>
      <c r="C4" s="355"/>
      <c r="D4" s="354" t="s">
        <v>371</v>
      </c>
      <c r="E4" s="355" t="s">
        <v>384</v>
      </c>
      <c r="F4" s="354" t="s">
        <v>371</v>
      </c>
      <c r="G4" s="355" t="s">
        <v>99</v>
      </c>
    </row>
    <row r="5" spans="2:7" ht="15.75" thickBot="1" x14ac:dyDescent="0.3">
      <c r="B5" s="570" t="s">
        <v>383</v>
      </c>
      <c r="C5" s="571"/>
      <c r="D5" s="570" t="s">
        <v>383</v>
      </c>
      <c r="E5" s="571"/>
      <c r="F5" s="570" t="s">
        <v>383</v>
      </c>
      <c r="G5" s="571"/>
    </row>
    <row r="6" spans="2:7" ht="60" x14ac:dyDescent="0.25">
      <c r="B6" s="353" t="s">
        <v>70</v>
      </c>
      <c r="C6" s="12" t="s">
        <v>379</v>
      </c>
      <c r="D6" s="353" t="s">
        <v>70</v>
      </c>
      <c r="E6" s="12" t="s">
        <v>385</v>
      </c>
      <c r="F6" s="353" t="s">
        <v>70</v>
      </c>
      <c r="G6" s="12" t="s">
        <v>393</v>
      </c>
    </row>
    <row r="7" spans="2:7" x14ac:dyDescent="0.25">
      <c r="B7" s="350" t="s">
        <v>373</v>
      </c>
      <c r="C7" s="5" t="s">
        <v>380</v>
      </c>
      <c r="D7" s="350" t="s">
        <v>373</v>
      </c>
      <c r="E7" s="5" t="s">
        <v>388</v>
      </c>
      <c r="F7" s="350" t="s">
        <v>373</v>
      </c>
      <c r="G7" s="5" t="s">
        <v>388</v>
      </c>
    </row>
    <row r="8" spans="2:7" x14ac:dyDescent="0.25">
      <c r="B8" s="350" t="s">
        <v>375</v>
      </c>
      <c r="C8" s="5" t="s">
        <v>387</v>
      </c>
      <c r="D8" s="350" t="s">
        <v>375</v>
      </c>
      <c r="E8" s="5" t="s">
        <v>386</v>
      </c>
      <c r="F8" s="350" t="s">
        <v>375</v>
      </c>
      <c r="G8" s="5" t="s">
        <v>394</v>
      </c>
    </row>
    <row r="9" spans="2:7" ht="45" x14ac:dyDescent="0.25">
      <c r="B9" s="350" t="s">
        <v>221</v>
      </c>
      <c r="C9" s="13" t="s">
        <v>381</v>
      </c>
      <c r="D9" s="350" t="s">
        <v>221</v>
      </c>
      <c r="E9" s="13" t="s">
        <v>389</v>
      </c>
      <c r="F9" s="350" t="s">
        <v>221</v>
      </c>
      <c r="G9" s="13" t="s">
        <v>395</v>
      </c>
    </row>
    <row r="10" spans="2:7" x14ac:dyDescent="0.25">
      <c r="B10" s="350" t="s">
        <v>377</v>
      </c>
      <c r="C10" s="5" t="s">
        <v>382</v>
      </c>
      <c r="D10" s="350" t="s">
        <v>377</v>
      </c>
      <c r="E10" s="5" t="s">
        <v>390</v>
      </c>
      <c r="F10" s="350" t="s">
        <v>377</v>
      </c>
      <c r="G10" s="5" t="s">
        <v>396</v>
      </c>
    </row>
    <row r="11" spans="2:7" ht="15.75" thickBot="1" x14ac:dyDescent="0.3">
      <c r="B11" s="351" t="s">
        <v>378</v>
      </c>
      <c r="C11" s="352" t="s">
        <v>392</v>
      </c>
      <c r="D11" s="351" t="s">
        <v>378</v>
      </c>
      <c r="E11" s="352" t="s">
        <v>391</v>
      </c>
      <c r="F11" s="351" t="s">
        <v>378</v>
      </c>
      <c r="G11" s="352" t="s">
        <v>397</v>
      </c>
    </row>
    <row r="13" spans="2:7" ht="15.75" thickBot="1" x14ac:dyDescent="0.3"/>
    <row r="14" spans="2:7" ht="120.75" thickBot="1" x14ac:dyDescent="0.3">
      <c r="B14" s="444" t="s">
        <v>491</v>
      </c>
      <c r="C14" s="445" t="s">
        <v>492</v>
      </c>
    </row>
  </sheetData>
  <mergeCells count="6">
    <mergeCell ref="B3:C3"/>
    <mergeCell ref="D3:E3"/>
    <mergeCell ref="F3:G3"/>
    <mergeCell ref="B5:C5"/>
    <mergeCell ref="D5:E5"/>
    <mergeCell ref="F5:G5"/>
  </mergeCells>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198F-DE8D-44A6-B499-9A5673AFF408}">
  <dimension ref="B2:G11"/>
  <sheetViews>
    <sheetView workbookViewId="0">
      <selection activeCell="B3" sqref="B3:G11"/>
    </sheetView>
  </sheetViews>
  <sheetFormatPr baseColWidth="10" defaultRowHeight="15" x14ac:dyDescent="0.25"/>
  <cols>
    <col min="2" max="2" width="11.28515625" bestFit="1" customWidth="1"/>
    <col min="3" max="3" width="25.7109375" bestFit="1" customWidth="1"/>
    <col min="4" max="4" width="11.28515625" bestFit="1" customWidth="1"/>
    <col min="5" max="5" width="25.7109375" bestFit="1" customWidth="1"/>
    <col min="6" max="6" width="11.28515625" bestFit="1" customWidth="1"/>
    <col min="7" max="7" width="26.5703125" bestFit="1" customWidth="1"/>
  </cols>
  <sheetData>
    <row r="2" spans="2:7" ht="15.75" thickBot="1" x14ac:dyDescent="0.3"/>
    <row r="3" spans="2:7" ht="15.75" thickBot="1" x14ac:dyDescent="0.3">
      <c r="B3" s="568" t="s">
        <v>374</v>
      </c>
      <c r="C3" s="569"/>
      <c r="D3" s="568" t="s">
        <v>374</v>
      </c>
      <c r="E3" s="569"/>
      <c r="F3" s="568" t="s">
        <v>374</v>
      </c>
      <c r="G3" s="569"/>
    </row>
    <row r="4" spans="2:7" ht="15.75" thickBot="1" x14ac:dyDescent="0.3">
      <c r="B4" s="354" t="s">
        <v>371</v>
      </c>
      <c r="C4" s="355" t="s">
        <v>376</v>
      </c>
      <c r="D4" s="354" t="s">
        <v>371</v>
      </c>
      <c r="E4" s="355" t="s">
        <v>384</v>
      </c>
      <c r="F4" s="354" t="s">
        <v>371</v>
      </c>
      <c r="G4" s="355" t="s">
        <v>99</v>
      </c>
    </row>
    <row r="5" spans="2:7" s="300" customFormat="1" ht="15.75" thickBot="1" x14ac:dyDescent="0.3">
      <c r="B5" s="570" t="s">
        <v>383</v>
      </c>
      <c r="C5" s="571"/>
      <c r="D5" s="570" t="s">
        <v>383</v>
      </c>
      <c r="E5" s="571"/>
      <c r="F5" s="570" t="s">
        <v>383</v>
      </c>
      <c r="G5" s="571"/>
    </row>
    <row r="6" spans="2:7" ht="105" x14ac:dyDescent="0.25">
      <c r="B6" s="353" t="s">
        <v>70</v>
      </c>
      <c r="C6" s="12" t="s">
        <v>379</v>
      </c>
      <c r="D6" s="353" t="s">
        <v>70</v>
      </c>
      <c r="E6" s="12" t="s">
        <v>385</v>
      </c>
      <c r="F6" s="353" t="s">
        <v>70</v>
      </c>
      <c r="G6" s="12" t="s">
        <v>393</v>
      </c>
    </row>
    <row r="7" spans="2:7" x14ac:dyDescent="0.25">
      <c r="B7" s="350" t="s">
        <v>373</v>
      </c>
      <c r="C7" s="5" t="s">
        <v>380</v>
      </c>
      <c r="D7" s="350" t="s">
        <v>373</v>
      </c>
      <c r="E7" s="5" t="s">
        <v>388</v>
      </c>
      <c r="F7" s="350" t="s">
        <v>373</v>
      </c>
      <c r="G7" s="5" t="s">
        <v>388</v>
      </c>
    </row>
    <row r="8" spans="2:7" x14ac:dyDescent="0.25">
      <c r="B8" s="350" t="s">
        <v>375</v>
      </c>
      <c r="C8" s="5" t="s">
        <v>387</v>
      </c>
      <c r="D8" s="350" t="s">
        <v>375</v>
      </c>
      <c r="E8" s="5" t="s">
        <v>386</v>
      </c>
      <c r="F8" s="350" t="s">
        <v>375</v>
      </c>
      <c r="G8" s="5" t="s">
        <v>394</v>
      </c>
    </row>
    <row r="9" spans="2:7" ht="45" x14ac:dyDescent="0.25">
      <c r="B9" s="350" t="s">
        <v>221</v>
      </c>
      <c r="C9" s="13" t="s">
        <v>381</v>
      </c>
      <c r="D9" s="350" t="s">
        <v>221</v>
      </c>
      <c r="E9" s="13" t="s">
        <v>389</v>
      </c>
      <c r="F9" s="350" t="s">
        <v>221</v>
      </c>
      <c r="G9" s="13" t="s">
        <v>395</v>
      </c>
    </row>
    <row r="10" spans="2:7" x14ac:dyDescent="0.25">
      <c r="B10" s="350" t="s">
        <v>377</v>
      </c>
      <c r="C10" s="5" t="s">
        <v>382</v>
      </c>
      <c r="D10" s="350" t="s">
        <v>377</v>
      </c>
      <c r="E10" s="5" t="s">
        <v>390</v>
      </c>
      <c r="F10" s="350" t="s">
        <v>377</v>
      </c>
      <c r="G10" s="5" t="s">
        <v>396</v>
      </c>
    </row>
    <row r="11" spans="2:7" ht="15.75" thickBot="1" x14ac:dyDescent="0.3">
      <c r="B11" s="351" t="s">
        <v>378</v>
      </c>
      <c r="C11" s="352" t="s">
        <v>392</v>
      </c>
      <c r="D11" s="351" t="s">
        <v>378</v>
      </c>
      <c r="E11" s="352" t="s">
        <v>391</v>
      </c>
      <c r="F11" s="351" t="s">
        <v>378</v>
      </c>
      <c r="G11" s="352" t="s">
        <v>397</v>
      </c>
    </row>
  </sheetData>
  <mergeCells count="6">
    <mergeCell ref="B3:C3"/>
    <mergeCell ref="B5:C5"/>
    <mergeCell ref="D3:E3"/>
    <mergeCell ref="D5:E5"/>
    <mergeCell ref="F3:G3"/>
    <mergeCell ref="F5:G5"/>
  </mergeCells>
  <phoneticPr fontId="12" type="noConversion"/>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601C-F4A2-4ED5-8D7C-8CFD913FBE83}">
  <dimension ref="B2:G11"/>
  <sheetViews>
    <sheetView workbookViewId="0">
      <selection activeCell="G11" sqref="B3:G11"/>
    </sheetView>
  </sheetViews>
  <sheetFormatPr baseColWidth="10" defaultRowHeight="15" x14ac:dyDescent="0.25"/>
  <cols>
    <col min="1" max="1" width="11.42578125" style="300"/>
    <col min="2" max="2" width="11.28515625" style="300" bestFit="1" customWidth="1"/>
    <col min="3" max="3" width="25.7109375" style="300" bestFit="1" customWidth="1"/>
    <col min="4" max="4" width="11.28515625" style="300" bestFit="1" customWidth="1"/>
    <col min="5" max="5" width="25.7109375" style="300" bestFit="1" customWidth="1"/>
    <col min="6" max="6" width="11.28515625" style="300" bestFit="1" customWidth="1"/>
    <col min="7" max="7" width="26.5703125" style="300" bestFit="1" customWidth="1"/>
    <col min="8" max="16384" width="11.42578125" style="300"/>
  </cols>
  <sheetData>
    <row r="2" spans="2:7" ht="15.75" thickBot="1" x14ac:dyDescent="0.3"/>
    <row r="3" spans="2:7" ht="15.75" thickBot="1" x14ac:dyDescent="0.3">
      <c r="B3" s="568" t="s">
        <v>374</v>
      </c>
      <c r="C3" s="569"/>
      <c r="D3" s="568" t="s">
        <v>374</v>
      </c>
      <c r="E3" s="569"/>
      <c r="F3" s="568" t="s">
        <v>374</v>
      </c>
      <c r="G3" s="569"/>
    </row>
    <row r="4" spans="2:7" ht="15.75" thickBot="1" x14ac:dyDescent="0.3">
      <c r="B4" s="354" t="s">
        <v>371</v>
      </c>
      <c r="C4" s="355" t="s">
        <v>401</v>
      </c>
      <c r="D4" s="354" t="s">
        <v>371</v>
      </c>
      <c r="E4" s="355" t="s">
        <v>402</v>
      </c>
      <c r="F4" s="354" t="s">
        <v>371</v>
      </c>
      <c r="G4" s="355" t="s">
        <v>403</v>
      </c>
    </row>
    <row r="5" spans="2:7" ht="15.75" thickBot="1" x14ac:dyDescent="0.3">
      <c r="B5" s="570" t="s">
        <v>383</v>
      </c>
      <c r="C5" s="571"/>
      <c r="D5" s="570" t="s">
        <v>383</v>
      </c>
      <c r="E5" s="571"/>
      <c r="F5" s="570" t="s">
        <v>383</v>
      </c>
      <c r="G5" s="571"/>
    </row>
    <row r="6" spans="2:7" ht="60" x14ac:dyDescent="0.25">
      <c r="B6" s="353" t="s">
        <v>70</v>
      </c>
      <c r="C6" s="12" t="s">
        <v>404</v>
      </c>
      <c r="D6" s="353" t="s">
        <v>70</v>
      </c>
      <c r="E6" s="12" t="s">
        <v>409</v>
      </c>
      <c r="F6" s="353" t="s">
        <v>70</v>
      </c>
      <c r="G6" s="12" t="s">
        <v>418</v>
      </c>
    </row>
    <row r="7" spans="2:7" x14ac:dyDescent="0.25">
      <c r="B7" s="350" t="s">
        <v>373</v>
      </c>
      <c r="C7" s="5" t="s">
        <v>388</v>
      </c>
      <c r="D7" s="350" t="s">
        <v>373</v>
      </c>
      <c r="E7" s="5" t="s">
        <v>410</v>
      </c>
      <c r="F7" s="350" t="s">
        <v>373</v>
      </c>
      <c r="G7" s="5" t="s">
        <v>414</v>
      </c>
    </row>
    <row r="8" spans="2:7" x14ac:dyDescent="0.25">
      <c r="B8" s="350" t="s">
        <v>375</v>
      </c>
      <c r="C8" s="5" t="s">
        <v>405</v>
      </c>
      <c r="D8" s="350" t="s">
        <v>375</v>
      </c>
      <c r="E8" s="5" t="s">
        <v>411</v>
      </c>
      <c r="F8" s="350" t="s">
        <v>375</v>
      </c>
      <c r="G8" s="5" t="s">
        <v>415</v>
      </c>
    </row>
    <row r="9" spans="2:7" ht="75" x14ac:dyDescent="0.25">
      <c r="B9" s="350" t="s">
        <v>221</v>
      </c>
      <c r="C9" s="13" t="s">
        <v>406</v>
      </c>
      <c r="D9" s="350" t="s">
        <v>221</v>
      </c>
      <c r="E9" s="13" t="s">
        <v>412</v>
      </c>
      <c r="F9" s="350" t="s">
        <v>221</v>
      </c>
      <c r="G9" s="13" t="s">
        <v>416</v>
      </c>
    </row>
    <row r="10" spans="2:7" x14ac:dyDescent="0.25">
      <c r="B10" s="350" t="s">
        <v>377</v>
      </c>
      <c r="C10" s="5" t="s">
        <v>407</v>
      </c>
      <c r="D10" s="350" t="s">
        <v>377</v>
      </c>
      <c r="E10" s="5" t="s">
        <v>413</v>
      </c>
      <c r="F10" s="350" t="s">
        <v>377</v>
      </c>
      <c r="G10" s="5" t="s">
        <v>417</v>
      </c>
    </row>
    <row r="11" spans="2:7" ht="15.75" thickBot="1" x14ac:dyDescent="0.3">
      <c r="B11" s="351" t="s">
        <v>378</v>
      </c>
      <c r="C11" s="352" t="s">
        <v>408</v>
      </c>
      <c r="D11" s="351" t="s">
        <v>378</v>
      </c>
      <c r="E11" s="352" t="s">
        <v>400</v>
      </c>
      <c r="F11" s="351" t="s">
        <v>378</v>
      </c>
      <c r="G11" s="352" t="s">
        <v>399</v>
      </c>
    </row>
  </sheetData>
  <mergeCells count="6">
    <mergeCell ref="B3:C3"/>
    <mergeCell ref="D3:E3"/>
    <mergeCell ref="F3:G3"/>
    <mergeCell ref="B5:C5"/>
    <mergeCell ref="D5:E5"/>
    <mergeCell ref="F5:G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B2F5-A4C0-4A88-AFD3-2307D273F68C}">
  <dimension ref="B1:H27"/>
  <sheetViews>
    <sheetView workbookViewId="0">
      <selection activeCell="B17" sqref="B17"/>
    </sheetView>
  </sheetViews>
  <sheetFormatPr baseColWidth="10" defaultRowHeight="15" x14ac:dyDescent="0.25"/>
  <cols>
    <col min="2" max="2" width="19" bestFit="1" customWidth="1"/>
    <col min="3" max="3" width="14.5703125" bestFit="1" customWidth="1"/>
    <col min="4" max="4" width="13.85546875" bestFit="1" customWidth="1"/>
    <col min="5" max="5" width="15.5703125" bestFit="1" customWidth="1"/>
    <col min="6" max="6" width="27.28515625" bestFit="1" customWidth="1"/>
    <col min="7" max="7" width="18.28515625" customWidth="1"/>
    <col min="8" max="8" width="15.5703125" bestFit="1" customWidth="1"/>
  </cols>
  <sheetData>
    <row r="1" spans="2:8" ht="15.75" thickBot="1" x14ac:dyDescent="0.3"/>
    <row r="2" spans="2:8" ht="15.75" thickBot="1" x14ac:dyDescent="0.3">
      <c r="B2" s="448" t="s">
        <v>27</v>
      </c>
      <c r="C2" s="449"/>
      <c r="F2" s="450" t="s">
        <v>32</v>
      </c>
      <c r="G2" s="451"/>
    </row>
    <row r="3" spans="2:8" x14ac:dyDescent="0.25">
      <c r="B3" s="19" t="s">
        <v>28</v>
      </c>
      <c r="C3" s="25">
        <v>36000</v>
      </c>
      <c r="F3" s="19" t="s">
        <v>33</v>
      </c>
      <c r="G3" s="25">
        <v>20150000</v>
      </c>
    </row>
    <row r="4" spans="2:8" x14ac:dyDescent="0.25">
      <c r="B4" s="19" t="s">
        <v>29</v>
      </c>
      <c r="C4" s="25">
        <v>48000</v>
      </c>
      <c r="F4" s="19" t="s">
        <v>438</v>
      </c>
      <c r="G4" s="25">
        <f>1400000*6</f>
        <v>8400000</v>
      </c>
    </row>
    <row r="5" spans="2:8" x14ac:dyDescent="0.25">
      <c r="B5" s="19" t="s">
        <v>30</v>
      </c>
      <c r="C5" s="25">
        <v>39000</v>
      </c>
      <c r="F5" s="19" t="s">
        <v>34</v>
      </c>
      <c r="G5" s="25">
        <f>1500000*6</f>
        <v>9000000</v>
      </c>
    </row>
    <row r="6" spans="2:8" ht="15.75" thickBot="1" x14ac:dyDescent="0.3">
      <c r="B6" s="19" t="s">
        <v>31</v>
      </c>
      <c r="C6" s="25">
        <v>1200000</v>
      </c>
      <c r="F6" s="19" t="s">
        <v>35</v>
      </c>
      <c r="G6" s="25">
        <f>150000*6</f>
        <v>900000</v>
      </c>
    </row>
    <row r="7" spans="2:8" ht="15.75" thickBot="1" x14ac:dyDescent="0.3">
      <c r="B7" s="21" t="s">
        <v>37</v>
      </c>
      <c r="C7" s="24">
        <f>SUM(C3:C6)</f>
        <v>1323000</v>
      </c>
      <c r="F7" s="20" t="s">
        <v>36</v>
      </c>
      <c r="G7" s="26">
        <v>2000000</v>
      </c>
    </row>
    <row r="8" spans="2:8" ht="15.75" thickBot="1" x14ac:dyDescent="0.3">
      <c r="F8" s="22" t="s">
        <v>37</v>
      </c>
      <c r="G8" s="24">
        <f>SUM(G3:G7)</f>
        <v>40450000</v>
      </c>
    </row>
    <row r="9" spans="2:8" ht="15.75" thickBot="1" x14ac:dyDescent="0.3"/>
    <row r="10" spans="2:8" ht="15.75" thickBot="1" x14ac:dyDescent="0.3">
      <c r="D10" s="23" t="s">
        <v>38</v>
      </c>
      <c r="E10" s="24">
        <f>SUM(C7+G8)</f>
        <v>41773000</v>
      </c>
    </row>
    <row r="11" spans="2:8" x14ac:dyDescent="0.25">
      <c r="H11" s="114"/>
    </row>
    <row r="15" spans="2:8" x14ac:dyDescent="0.25">
      <c r="B15">
        <f>5000000*12</f>
        <v>60000000</v>
      </c>
      <c r="E15" s="114"/>
    </row>
    <row r="16" spans="2:8" x14ac:dyDescent="0.25">
      <c r="B16" s="149">
        <f>B15/4%</f>
        <v>1500000000</v>
      </c>
    </row>
    <row r="17" spans="2:8" x14ac:dyDescent="0.25">
      <c r="B17" s="114"/>
      <c r="E17" t="s">
        <v>441</v>
      </c>
      <c r="F17" t="s">
        <v>442</v>
      </c>
      <c r="G17" t="s">
        <v>443</v>
      </c>
    </row>
    <row r="18" spans="2:8" x14ac:dyDescent="0.25">
      <c r="E18">
        <f>F18*G18</f>
        <v>64736000</v>
      </c>
      <c r="F18">
        <f>85000*0.2</f>
        <v>17000</v>
      </c>
      <c r="G18">
        <v>3808</v>
      </c>
    </row>
    <row r="22" spans="2:8" x14ac:dyDescent="0.25">
      <c r="G22" s="131"/>
    </row>
    <row r="27" spans="2:8" x14ac:dyDescent="0.25">
      <c r="H27" s="132"/>
    </row>
  </sheetData>
  <mergeCells count="2">
    <mergeCell ref="B2:C2"/>
    <mergeCell ref="F2:G2"/>
  </mergeCells>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0EE6-FCC4-4AE2-9179-F2BE3D32A6F8}">
  <dimension ref="B2:I11"/>
  <sheetViews>
    <sheetView topLeftCell="G1" workbookViewId="0">
      <selection activeCell="H8" sqref="H8"/>
    </sheetView>
  </sheetViews>
  <sheetFormatPr baseColWidth="10" defaultRowHeight="15" x14ac:dyDescent="0.25"/>
  <cols>
    <col min="1" max="1" width="11.42578125" style="300"/>
    <col min="2" max="2" width="11.28515625" style="300" bestFit="1" customWidth="1"/>
    <col min="3" max="3" width="25.7109375" style="300" bestFit="1" customWidth="1"/>
    <col min="4" max="4" width="11.28515625" style="300" bestFit="1" customWidth="1"/>
    <col min="5" max="5" width="25.7109375" style="300" bestFit="1" customWidth="1"/>
    <col min="6" max="6" width="11.28515625" style="300" bestFit="1" customWidth="1"/>
    <col min="7" max="7" width="26.5703125" style="300" bestFit="1" customWidth="1"/>
    <col min="8" max="8" width="11.28515625" style="300" bestFit="1" customWidth="1"/>
    <col min="9" max="9" width="25.7109375" style="300" bestFit="1" customWidth="1"/>
    <col min="10" max="16384" width="11.42578125" style="300"/>
  </cols>
  <sheetData>
    <row r="2" spans="2:9" ht="15.75" thickBot="1" x14ac:dyDescent="0.3"/>
    <row r="3" spans="2:9" ht="15.75" thickBot="1" x14ac:dyDescent="0.3">
      <c r="B3" s="568" t="s">
        <v>374</v>
      </c>
      <c r="C3" s="569"/>
      <c r="D3" s="568" t="s">
        <v>374</v>
      </c>
      <c r="E3" s="569"/>
      <c r="F3" s="568" t="s">
        <v>374</v>
      </c>
      <c r="G3" s="569"/>
      <c r="H3" s="568" t="s">
        <v>374</v>
      </c>
      <c r="I3" s="569"/>
    </row>
    <row r="4" spans="2:9" ht="15.75" thickBot="1" x14ac:dyDescent="0.3">
      <c r="B4" s="354" t="s">
        <v>371</v>
      </c>
      <c r="C4" s="355" t="s">
        <v>106</v>
      </c>
      <c r="D4" s="354" t="s">
        <v>371</v>
      </c>
      <c r="E4" s="355" t="s">
        <v>107</v>
      </c>
      <c r="F4" s="354" t="s">
        <v>371</v>
      </c>
      <c r="G4" s="355" t="s">
        <v>109</v>
      </c>
      <c r="H4" s="354" t="s">
        <v>371</v>
      </c>
      <c r="I4" s="355" t="s">
        <v>419</v>
      </c>
    </row>
    <row r="5" spans="2:9" ht="15.75" thickBot="1" x14ac:dyDescent="0.3">
      <c r="B5" s="570" t="s">
        <v>383</v>
      </c>
      <c r="C5" s="571"/>
      <c r="D5" s="570" t="s">
        <v>383</v>
      </c>
      <c r="E5" s="571"/>
      <c r="F5" s="570" t="s">
        <v>383</v>
      </c>
      <c r="G5" s="571"/>
      <c r="H5" s="570" t="s">
        <v>383</v>
      </c>
      <c r="I5" s="571"/>
    </row>
    <row r="6" spans="2:9" ht="75" x14ac:dyDescent="0.25">
      <c r="B6" s="353" t="s">
        <v>70</v>
      </c>
      <c r="C6" s="12" t="s">
        <v>420</v>
      </c>
      <c r="D6" s="353" t="s">
        <v>70</v>
      </c>
      <c r="E6" s="12" t="s">
        <v>425</v>
      </c>
      <c r="F6" s="353" t="s">
        <v>70</v>
      </c>
      <c r="G6" s="12" t="s">
        <v>430</v>
      </c>
      <c r="H6" s="353" t="s">
        <v>70</v>
      </c>
      <c r="I6" s="12" t="s">
        <v>434</v>
      </c>
    </row>
    <row r="7" spans="2:9" x14ac:dyDescent="0.25">
      <c r="B7" s="350" t="s">
        <v>373</v>
      </c>
      <c r="C7" s="5" t="s">
        <v>380</v>
      </c>
      <c r="D7" s="350" t="s">
        <v>373</v>
      </c>
      <c r="E7" s="5" t="s">
        <v>388</v>
      </c>
      <c r="F7" s="350" t="s">
        <v>373</v>
      </c>
      <c r="G7" s="5" t="s">
        <v>433</v>
      </c>
      <c r="H7" s="350" t="s">
        <v>373</v>
      </c>
      <c r="I7" s="5" t="s">
        <v>388</v>
      </c>
    </row>
    <row r="8" spans="2:9" x14ac:dyDescent="0.25">
      <c r="B8" s="350" t="s">
        <v>375</v>
      </c>
      <c r="C8" s="5" t="s">
        <v>421</v>
      </c>
      <c r="D8" s="350" t="s">
        <v>375</v>
      </c>
      <c r="E8" s="5" t="s">
        <v>426</v>
      </c>
      <c r="F8" s="350" t="s">
        <v>375</v>
      </c>
      <c r="G8" s="5" t="s">
        <v>398</v>
      </c>
      <c r="H8" s="350" t="s">
        <v>375</v>
      </c>
      <c r="I8" s="5" t="s">
        <v>435</v>
      </c>
    </row>
    <row r="9" spans="2:9" ht="60" x14ac:dyDescent="0.25">
      <c r="B9" s="350" t="s">
        <v>221</v>
      </c>
      <c r="C9" s="13" t="s">
        <v>422</v>
      </c>
      <c r="D9" s="350" t="s">
        <v>221</v>
      </c>
      <c r="E9" s="13" t="s">
        <v>427</v>
      </c>
      <c r="F9" s="350" t="s">
        <v>221</v>
      </c>
      <c r="G9" s="13" t="s">
        <v>431</v>
      </c>
      <c r="H9" s="350" t="s">
        <v>221</v>
      </c>
      <c r="I9" s="13" t="s">
        <v>436</v>
      </c>
    </row>
    <row r="10" spans="2:9" x14ac:dyDescent="0.25">
      <c r="B10" s="350" t="s">
        <v>377</v>
      </c>
      <c r="C10" s="5" t="s">
        <v>423</v>
      </c>
      <c r="D10" s="350" t="s">
        <v>377</v>
      </c>
      <c r="E10" s="5" t="s">
        <v>429</v>
      </c>
      <c r="F10" s="350" t="s">
        <v>377</v>
      </c>
      <c r="G10" s="5" t="s">
        <v>407</v>
      </c>
      <c r="H10" s="350" t="s">
        <v>377</v>
      </c>
      <c r="I10" s="5" t="s">
        <v>428</v>
      </c>
    </row>
    <row r="11" spans="2:9" ht="15.75" thickBot="1" x14ac:dyDescent="0.3">
      <c r="B11" s="351" t="s">
        <v>378</v>
      </c>
      <c r="C11" s="352" t="s">
        <v>424</v>
      </c>
      <c r="D11" s="351" t="s">
        <v>378</v>
      </c>
      <c r="E11" s="352" t="s">
        <v>400</v>
      </c>
      <c r="F11" s="351" t="s">
        <v>378</v>
      </c>
      <c r="G11" s="352" t="s">
        <v>432</v>
      </c>
      <c r="H11" s="351" t="s">
        <v>378</v>
      </c>
      <c r="I11" s="352" t="s">
        <v>399</v>
      </c>
    </row>
  </sheetData>
  <mergeCells count="8">
    <mergeCell ref="H3:I3"/>
    <mergeCell ref="H5:I5"/>
    <mergeCell ref="B3:C3"/>
    <mergeCell ref="D3:E3"/>
    <mergeCell ref="F3:G3"/>
    <mergeCell ref="B5:C5"/>
    <mergeCell ref="D5:E5"/>
    <mergeCell ref="F5:G5"/>
  </mergeCells>
  <pageMargins left="0.7" right="0.7" top="0.75" bottom="0.75" header="0.3" footer="0.3"/>
  <pageSetup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C91C7-0BC0-4CB2-A650-5F567B65314F}">
  <dimension ref="A1:E10"/>
  <sheetViews>
    <sheetView workbookViewId="0">
      <selection activeCell="A8" sqref="A8"/>
    </sheetView>
  </sheetViews>
  <sheetFormatPr baseColWidth="10" defaultRowHeight="15" x14ac:dyDescent="0.25"/>
  <cols>
    <col min="2" max="2" width="13.140625" bestFit="1" customWidth="1"/>
  </cols>
  <sheetData>
    <row r="1" spans="1:5" x14ac:dyDescent="0.25">
      <c r="A1" s="359" t="s">
        <v>444</v>
      </c>
      <c r="B1" s="360"/>
      <c r="C1" s="360"/>
      <c r="D1" s="360"/>
      <c r="E1" s="360"/>
    </row>
    <row r="2" spans="1:5" x14ac:dyDescent="0.25">
      <c r="A2" s="360" t="s">
        <v>445</v>
      </c>
      <c r="B2" s="361">
        <v>0.157</v>
      </c>
      <c r="C2" s="360"/>
      <c r="D2" s="360"/>
      <c r="E2" s="360"/>
    </row>
    <row r="3" spans="1:5" x14ac:dyDescent="0.25">
      <c r="A3" s="360" t="s">
        <v>446</v>
      </c>
      <c r="B3" s="361">
        <v>0.33</v>
      </c>
      <c r="C3" s="360"/>
      <c r="D3" s="360"/>
      <c r="E3" s="360"/>
    </row>
    <row r="4" spans="1:5" ht="15.75" thickBot="1" x14ac:dyDescent="0.3">
      <c r="A4" s="362" t="s">
        <v>447</v>
      </c>
      <c r="B4" s="363">
        <f>B2*(1-B3)</f>
        <v>0.10518999999999999</v>
      </c>
      <c r="C4" s="364"/>
      <c r="D4" s="364"/>
      <c r="E4" s="364"/>
    </row>
    <row r="5" spans="1:5" ht="15.75" thickBot="1" x14ac:dyDescent="0.3">
      <c r="A5" s="365"/>
      <c r="B5" s="365"/>
      <c r="C5" s="365"/>
      <c r="D5" s="365"/>
      <c r="E5" s="365"/>
    </row>
    <row r="6" spans="1:5" x14ac:dyDescent="0.25">
      <c r="A6" s="366"/>
      <c r="B6" s="366" t="s">
        <v>24</v>
      </c>
      <c r="C6" s="366" t="s">
        <v>448</v>
      </c>
      <c r="D6" s="366" t="s">
        <v>445</v>
      </c>
      <c r="E6" s="366" t="s">
        <v>449</v>
      </c>
    </row>
    <row r="7" spans="1:5" x14ac:dyDescent="0.25">
      <c r="A7" s="359" t="s">
        <v>444</v>
      </c>
      <c r="B7" s="367">
        <v>41773000</v>
      </c>
      <c r="C7" s="360">
        <f>B7/$B$8</f>
        <v>1</v>
      </c>
      <c r="D7" s="368">
        <v>0.157</v>
      </c>
      <c r="E7" s="360">
        <f>C7*D7</f>
        <v>0.157</v>
      </c>
    </row>
    <row r="8" spans="1:5" x14ac:dyDescent="0.25">
      <c r="A8" s="360"/>
      <c r="B8" s="367">
        <f>SUM(B7:B7)</f>
        <v>41773000</v>
      </c>
      <c r="C8" s="360"/>
      <c r="D8" s="360"/>
      <c r="E8" s="369">
        <f>SUM(E7:E7)</f>
        <v>0.157</v>
      </c>
    </row>
    <row r="9" spans="1:5" x14ac:dyDescent="0.25">
      <c r="A9" s="360"/>
      <c r="B9" s="360"/>
      <c r="C9" s="360"/>
      <c r="D9" s="360"/>
      <c r="E9" s="360"/>
    </row>
    <row r="10" spans="1:5" ht="15.75" thickBot="1" x14ac:dyDescent="0.3">
      <c r="A10" s="364" t="s">
        <v>446</v>
      </c>
      <c r="B10" s="370">
        <v>0.4</v>
      </c>
      <c r="C10" s="364"/>
      <c r="D10" s="371" t="s">
        <v>450</v>
      </c>
      <c r="E10" s="372">
        <f>E8*(1-B10)</f>
        <v>9.4199999999999992E-2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F8FF8-A050-4A20-9986-4D8784706C62}">
  <dimension ref="A1:P53"/>
  <sheetViews>
    <sheetView topLeftCell="G1" workbookViewId="0">
      <selection activeCell="I2" sqref="I2:M2"/>
    </sheetView>
  </sheetViews>
  <sheetFormatPr baseColWidth="10" defaultColWidth="10.85546875" defaultRowHeight="15.75" x14ac:dyDescent="0.25"/>
  <cols>
    <col min="1" max="1" width="27.28515625" style="373" bestFit="1" customWidth="1"/>
    <col min="2" max="2" width="12.140625" style="373" bestFit="1" customWidth="1"/>
    <col min="3" max="6" width="10.85546875" style="373"/>
    <col min="7" max="7" width="3.140625" style="373" customWidth="1"/>
    <col min="8" max="8" width="32.42578125" style="373" bestFit="1" customWidth="1"/>
    <col min="9" max="14" width="10.85546875" style="373"/>
    <col min="15" max="15" width="35.5703125" style="373" bestFit="1" customWidth="1"/>
    <col min="16" max="16384" width="10.85546875" style="373"/>
  </cols>
  <sheetData>
    <row r="1" spans="1:16" ht="21" customHeight="1" x14ac:dyDescent="0.25">
      <c r="A1" s="572" t="s">
        <v>451</v>
      </c>
      <c r="B1" s="572"/>
      <c r="C1" s="572"/>
      <c r="D1" s="572"/>
      <c r="E1" s="572"/>
      <c r="F1" s="572"/>
      <c r="H1" s="573" t="s">
        <v>452</v>
      </c>
      <c r="I1" s="573"/>
      <c r="J1" s="573"/>
      <c r="K1" s="573"/>
      <c r="L1" s="573"/>
      <c r="M1" s="573"/>
    </row>
    <row r="2" spans="1:16" s="374" customFormat="1" x14ac:dyDescent="0.25">
      <c r="B2" s="375">
        <v>2018</v>
      </c>
      <c r="C2" s="375">
        <v>2019</v>
      </c>
      <c r="D2" s="375">
        <v>2020</v>
      </c>
      <c r="E2" s="375">
        <v>2021</v>
      </c>
      <c r="F2" s="375">
        <v>2022</v>
      </c>
      <c r="I2" s="375">
        <v>2018</v>
      </c>
      <c r="J2" s="375">
        <v>2019</v>
      </c>
      <c r="K2" s="375">
        <v>2020</v>
      </c>
      <c r="L2" s="375">
        <v>2021</v>
      </c>
      <c r="M2" s="375">
        <v>2022</v>
      </c>
    </row>
    <row r="3" spans="1:16" x14ac:dyDescent="0.25">
      <c r="A3" s="376" t="s">
        <v>42</v>
      </c>
      <c r="B3" s="377">
        <v>4320</v>
      </c>
      <c r="C3" s="377">
        <v>4799</v>
      </c>
      <c r="D3" s="377">
        <v>4646</v>
      </c>
      <c r="E3" s="377">
        <v>6450</v>
      </c>
      <c r="F3" s="377">
        <v>5762</v>
      </c>
      <c r="H3" s="376" t="s">
        <v>42</v>
      </c>
      <c r="I3" s="378">
        <v>1.29E-2</v>
      </c>
      <c r="J3" s="379">
        <v>1.0200000000000001E-2</v>
      </c>
      <c r="K3" s="379">
        <v>6.3E-3</v>
      </c>
      <c r="L3" s="379">
        <v>6.0000000000000001E-3</v>
      </c>
      <c r="M3" s="379">
        <v>4.1999999999999997E-3</v>
      </c>
    </row>
    <row r="4" spans="1:16" x14ac:dyDescent="0.25">
      <c r="A4" s="376" t="s">
        <v>58</v>
      </c>
      <c r="B4" s="377">
        <v>4732</v>
      </c>
      <c r="C4" s="377">
        <v>4501</v>
      </c>
      <c r="D4" s="377">
        <v>4785</v>
      </c>
      <c r="E4" s="377">
        <v>5764</v>
      </c>
      <c r="F4" s="377">
        <v>5949</v>
      </c>
      <c r="H4" s="376" t="s">
        <v>58</v>
      </c>
      <c r="I4" s="378">
        <v>1.2800000000000001E-2</v>
      </c>
      <c r="J4" s="379">
        <v>1.01E-2</v>
      </c>
      <c r="K4" s="379">
        <v>7.1000000000000004E-3</v>
      </c>
      <c r="L4" s="379">
        <v>5.7000000000000002E-3</v>
      </c>
      <c r="M4" s="379">
        <v>6.7000000000000002E-3</v>
      </c>
    </row>
    <row r="5" spans="1:16" x14ac:dyDescent="0.25">
      <c r="A5" s="376" t="s">
        <v>44</v>
      </c>
      <c r="B5" s="377">
        <v>4622</v>
      </c>
      <c r="C5" s="377">
        <v>4895</v>
      </c>
      <c r="D5" s="377">
        <v>4898</v>
      </c>
      <c r="E5" s="377">
        <v>5706</v>
      </c>
      <c r="F5" s="377">
        <v>6049</v>
      </c>
      <c r="H5" s="376" t="s">
        <v>44</v>
      </c>
      <c r="I5" s="378">
        <v>9.4000000000000004E-3</v>
      </c>
      <c r="J5" s="379">
        <v>4.7000000000000002E-3</v>
      </c>
      <c r="K5" s="379">
        <v>2.3999999999999998E-3</v>
      </c>
      <c r="L5" s="379">
        <v>4.3E-3</v>
      </c>
      <c r="M5" s="379">
        <v>5.7000000000000002E-3</v>
      </c>
    </row>
    <row r="6" spans="1:16" x14ac:dyDescent="0.25">
      <c r="A6" s="376" t="s">
        <v>453</v>
      </c>
      <c r="B6" s="377">
        <v>4811</v>
      </c>
      <c r="C6" s="377">
        <v>5457</v>
      </c>
      <c r="D6" s="377">
        <v>5098</v>
      </c>
      <c r="E6" s="377">
        <v>6492</v>
      </c>
      <c r="F6" s="377">
        <v>5763</v>
      </c>
      <c r="H6" s="376" t="s">
        <v>453</v>
      </c>
      <c r="I6" s="378">
        <v>5.0000000000000001E-3</v>
      </c>
      <c r="J6" s="379">
        <v>4.7000000000000002E-3</v>
      </c>
      <c r="K6" s="379">
        <v>4.5999999999999999E-3</v>
      </c>
      <c r="L6" s="379">
        <v>5.0000000000000001E-3</v>
      </c>
      <c r="M6" s="379">
        <v>1.6000000000000001E-3</v>
      </c>
    </row>
    <row r="7" spans="1:16" x14ac:dyDescent="0.25">
      <c r="A7" s="376" t="s">
        <v>46</v>
      </c>
      <c r="B7" s="377">
        <v>4190</v>
      </c>
      <c r="C7" s="377">
        <v>4719</v>
      </c>
      <c r="D7" s="377">
        <v>4876</v>
      </c>
      <c r="E7" s="377">
        <v>5940</v>
      </c>
      <c r="F7" s="377">
        <v>5959</v>
      </c>
      <c r="H7" s="376" t="s">
        <v>46</v>
      </c>
      <c r="I7" s="378">
        <v>5.1000000000000004E-3</v>
      </c>
      <c r="J7" s="379">
        <v>2.3E-3</v>
      </c>
      <c r="K7" s="379">
        <v>2.5000000000000001E-3</v>
      </c>
      <c r="L7" s="379">
        <v>3.0999999999999999E-3</v>
      </c>
      <c r="M7" s="379">
        <v>-3.2000000000000002E-3</v>
      </c>
    </row>
    <row r="8" spans="1:16" x14ac:dyDescent="0.25">
      <c r="A8" s="376" t="s">
        <v>47</v>
      </c>
      <c r="B8" s="377">
        <v>4512</v>
      </c>
      <c r="C8" s="377">
        <v>5339</v>
      </c>
      <c r="D8" s="377">
        <v>4684</v>
      </c>
      <c r="E8" s="377">
        <v>5593</v>
      </c>
      <c r="F8" s="377">
        <v>6404</v>
      </c>
      <c r="H8" s="376" t="s">
        <v>47</v>
      </c>
      <c r="I8" s="378">
        <v>4.7999999999999996E-3</v>
      </c>
      <c r="J8" s="379">
        <v>1.1000000000000001E-3</v>
      </c>
      <c r="K8" s="379">
        <v>1.5E-3</v>
      </c>
      <c r="L8" s="379">
        <v>2.7000000000000001E-3</v>
      </c>
      <c r="M8" s="379">
        <v>-3.8E-3</v>
      </c>
    </row>
    <row r="9" spans="1:16" x14ac:dyDescent="0.25">
      <c r="A9" s="376" t="s">
        <v>48</v>
      </c>
      <c r="B9" s="377">
        <v>4472</v>
      </c>
      <c r="C9" s="377">
        <v>4775</v>
      </c>
      <c r="D9" s="377">
        <v>4750</v>
      </c>
      <c r="E9" s="377">
        <v>5692</v>
      </c>
      <c r="F9" s="377">
        <v>6287</v>
      </c>
      <c r="H9" s="376" t="s">
        <v>48</v>
      </c>
      <c r="I9" s="378">
        <v>5.1999999999999998E-3</v>
      </c>
      <c r="J9" s="379">
        <v>-5.0000000000000001E-4</v>
      </c>
      <c r="K9" s="379">
        <v>-1.2999999999999999E-3</v>
      </c>
      <c r="L9" s="379">
        <v>2.2000000000000001E-3</v>
      </c>
      <c r="M9" s="379">
        <v>0</v>
      </c>
    </row>
    <row r="10" spans="1:16" x14ac:dyDescent="0.25">
      <c r="A10" s="376" t="s">
        <v>49</v>
      </c>
      <c r="B10" s="377">
        <v>4046</v>
      </c>
      <c r="C10" s="377">
        <v>5038</v>
      </c>
      <c r="D10" s="377">
        <v>5134</v>
      </c>
      <c r="E10" s="377">
        <v>6344</v>
      </c>
      <c r="F10" s="377">
        <v>6110</v>
      </c>
      <c r="H10" s="376" t="s">
        <v>49</v>
      </c>
      <c r="I10" s="378">
        <v>-3.2000000000000002E-3</v>
      </c>
      <c r="J10" s="379">
        <v>1.4E-3</v>
      </c>
      <c r="K10" s="379">
        <v>1.1999999999999999E-3</v>
      </c>
      <c r="L10" s="379">
        <v>8.9999999999999998E-4</v>
      </c>
      <c r="M10" s="379">
        <v>-1E-4</v>
      </c>
    </row>
    <row r="11" spans="1:16" x14ac:dyDescent="0.25">
      <c r="A11" s="376" t="s">
        <v>50</v>
      </c>
      <c r="B11" s="377">
        <v>4549</v>
      </c>
      <c r="C11" s="377">
        <v>5363</v>
      </c>
      <c r="D11" s="377">
        <v>5424</v>
      </c>
      <c r="E11" s="377">
        <v>5979</v>
      </c>
      <c r="F11" s="377">
        <v>6303</v>
      </c>
      <c r="H11" s="376" t="s">
        <v>50</v>
      </c>
      <c r="I11" s="378">
        <v>-5.0000000000000001E-4</v>
      </c>
      <c r="J11" s="379">
        <v>4.0000000000000002E-4</v>
      </c>
      <c r="K11" s="379">
        <v>1.6000000000000001E-3</v>
      </c>
      <c r="L11" s="379">
        <v>2.3E-3</v>
      </c>
      <c r="M11" s="379">
        <v>3.2000000000000002E-3</v>
      </c>
    </row>
    <row r="12" spans="1:16" x14ac:dyDescent="0.25">
      <c r="A12" s="376" t="s">
        <v>51</v>
      </c>
      <c r="B12" s="377">
        <v>4451</v>
      </c>
      <c r="C12" s="377">
        <v>4716</v>
      </c>
      <c r="D12" s="377">
        <v>4922</v>
      </c>
      <c r="E12" s="377">
        <v>5792</v>
      </c>
      <c r="F12" s="377">
        <v>5637</v>
      </c>
      <c r="H12" s="376" t="s">
        <v>51</v>
      </c>
      <c r="I12" s="378">
        <v>-5.9999999999999995E-4</v>
      </c>
      <c r="J12" s="379">
        <v>2.0000000000000001E-4</v>
      </c>
      <c r="K12" s="379">
        <v>1.1999999999999999E-3</v>
      </c>
      <c r="L12" s="379">
        <v>1.6000000000000001E-3</v>
      </c>
      <c r="M12" s="379">
        <v>-5.9999999999999995E-4</v>
      </c>
    </row>
    <row r="13" spans="1:16" x14ac:dyDescent="0.25">
      <c r="A13" s="376" t="s">
        <v>52</v>
      </c>
      <c r="B13" s="377">
        <v>4380</v>
      </c>
      <c r="C13" s="377">
        <v>5124</v>
      </c>
      <c r="D13" s="377">
        <v>5306</v>
      </c>
      <c r="E13" s="377">
        <v>6259</v>
      </c>
      <c r="F13" s="377">
        <v>6381</v>
      </c>
      <c r="H13" s="376" t="s">
        <v>52</v>
      </c>
      <c r="I13" s="378">
        <v>1.1000000000000001E-3</v>
      </c>
      <c r="J13" s="379">
        <v>1.8E-3</v>
      </c>
      <c r="K13" s="379">
        <v>1.1999999999999999E-3</v>
      </c>
      <c r="L13" s="379">
        <v>1E-3</v>
      </c>
      <c r="M13" s="379">
        <v>-1.5E-3</v>
      </c>
    </row>
    <row r="14" spans="1:16" ht="16.5" thickBot="1" x14ac:dyDescent="0.3">
      <c r="A14" s="376" t="s">
        <v>53</v>
      </c>
      <c r="B14" s="377">
        <v>4105</v>
      </c>
      <c r="C14" s="377">
        <v>4926</v>
      </c>
      <c r="D14" s="377">
        <v>5483</v>
      </c>
      <c r="E14" s="377">
        <v>5948</v>
      </c>
      <c r="F14" s="377">
        <v>6098</v>
      </c>
      <c r="H14" s="380" t="s">
        <v>53</v>
      </c>
      <c r="I14" s="381">
        <v>4.1999999999999997E-3</v>
      </c>
      <c r="J14" s="382">
        <v>3.8E-3</v>
      </c>
      <c r="K14" s="382">
        <v>3.0000000000000001E-3</v>
      </c>
      <c r="L14" s="382">
        <v>2.5999999999999999E-3</v>
      </c>
      <c r="M14" s="382">
        <v>3.8E-3</v>
      </c>
    </row>
    <row r="15" spans="1:16" ht="17.25" thickTop="1" thickBot="1" x14ac:dyDescent="0.3">
      <c r="H15" s="383" t="s">
        <v>454</v>
      </c>
      <c r="I15" s="384">
        <v>3.1E-2</v>
      </c>
      <c r="J15" s="384">
        <v>3.7499999999999999E-2</v>
      </c>
      <c r="K15" s="384">
        <v>1.8800000000000001E-2</v>
      </c>
      <c r="L15" s="384">
        <v>4.4400000000000002E-2</v>
      </c>
      <c r="M15" s="384">
        <v>0.1084</v>
      </c>
    </row>
    <row r="16" spans="1:16" ht="22.5" customHeight="1" thickTop="1" x14ac:dyDescent="0.25">
      <c r="A16" s="574" t="s">
        <v>455</v>
      </c>
      <c r="B16" s="574"/>
      <c r="C16" s="574"/>
      <c r="D16" s="574"/>
      <c r="E16" s="574"/>
      <c r="F16" s="574"/>
      <c r="O16" s="385" t="s">
        <v>456</v>
      </c>
      <c r="P16" s="386">
        <f>AVERAGE(B30:F30)</f>
        <v>4.213999999999999E-2</v>
      </c>
    </row>
    <row r="17" spans="1:16" x14ac:dyDescent="0.25">
      <c r="A17" s="374"/>
      <c r="B17" s="375"/>
      <c r="C17" s="375"/>
      <c r="D17" s="375"/>
      <c r="E17" s="375"/>
      <c r="F17" s="375"/>
      <c r="O17" s="387" t="s">
        <v>457</v>
      </c>
      <c r="P17" s="388">
        <f>AVERAGE(I15:M15)</f>
        <v>4.802E-2</v>
      </c>
    </row>
    <row r="18" spans="1:16" x14ac:dyDescent="0.25">
      <c r="A18" s="376" t="s">
        <v>42</v>
      </c>
      <c r="B18" s="389">
        <v>0</v>
      </c>
      <c r="C18" s="389">
        <f>C4/C3-1</f>
        <v>-6.2096270056261726E-2</v>
      </c>
      <c r="D18" s="389">
        <f t="shared" ref="D18:F18" si="0">D4/D3-1</f>
        <v>2.9918209212225655E-2</v>
      </c>
      <c r="E18" s="389">
        <f t="shared" si="0"/>
        <v>-0.10635658914728685</v>
      </c>
      <c r="F18" s="389">
        <f t="shared" si="0"/>
        <v>3.2454009024644126E-2</v>
      </c>
      <c r="O18" s="390" t="s">
        <v>458</v>
      </c>
      <c r="P18" s="391">
        <f>P16-P17</f>
        <v>-5.8800000000000102E-3</v>
      </c>
    </row>
    <row r="19" spans="1:16" x14ac:dyDescent="0.25">
      <c r="A19" s="376" t="s">
        <v>58</v>
      </c>
      <c r="B19" s="389">
        <f>B4/B3-1</f>
        <v>9.5370370370370328E-2</v>
      </c>
      <c r="C19" s="389">
        <f t="shared" ref="B19:F28" si="1">C5/C4-1</f>
        <v>8.7536103088202699E-2</v>
      </c>
      <c r="D19" s="389">
        <f t="shared" si="1"/>
        <v>2.3615464994775293E-2</v>
      </c>
      <c r="E19" s="389">
        <f t="shared" si="1"/>
        <v>-1.0062456627342176E-2</v>
      </c>
      <c r="F19" s="389">
        <f t="shared" si="1"/>
        <v>1.6809547823163573E-2</v>
      </c>
    </row>
    <row r="20" spans="1:16" x14ac:dyDescent="0.25">
      <c r="A20" s="376" t="s">
        <v>44</v>
      </c>
      <c r="B20" s="389">
        <f t="shared" si="1"/>
        <v>4.0891389009086954E-2</v>
      </c>
      <c r="C20" s="389">
        <f t="shared" si="1"/>
        <v>0.1148110316649642</v>
      </c>
      <c r="D20" s="389">
        <f t="shared" si="1"/>
        <v>4.0832993058391276E-2</v>
      </c>
      <c r="E20" s="389">
        <f t="shared" si="1"/>
        <v>0.13774973711882232</v>
      </c>
      <c r="F20" s="389">
        <f t="shared" si="1"/>
        <v>-4.7280542238386514E-2</v>
      </c>
    </row>
    <row r="21" spans="1:16" x14ac:dyDescent="0.25">
      <c r="A21" s="376" t="s">
        <v>453</v>
      </c>
      <c r="B21" s="389">
        <f t="shared" si="1"/>
        <v>-0.12907919351486175</v>
      </c>
      <c r="C21" s="389">
        <f t="shared" si="1"/>
        <v>-0.13523914238592638</v>
      </c>
      <c r="D21" s="389">
        <f t="shared" si="1"/>
        <v>-4.3546488819144802E-2</v>
      </c>
      <c r="E21" s="389">
        <f t="shared" si="1"/>
        <v>-8.5027726432532313E-2</v>
      </c>
      <c r="F21" s="389">
        <f t="shared" si="1"/>
        <v>3.4010064202672163E-2</v>
      </c>
    </row>
    <row r="22" spans="1:16" x14ac:dyDescent="0.25">
      <c r="A22" s="376" t="s">
        <v>46</v>
      </c>
      <c r="B22" s="389">
        <f t="shared" si="1"/>
        <v>7.6849642004773289E-2</v>
      </c>
      <c r="C22" s="389">
        <f t="shared" si="1"/>
        <v>0.13138376774740412</v>
      </c>
      <c r="D22" s="389">
        <f t="shared" si="1"/>
        <v>-3.9376538146021378E-2</v>
      </c>
      <c r="E22" s="389">
        <f t="shared" si="1"/>
        <v>-5.8417508417508368E-2</v>
      </c>
      <c r="F22" s="389">
        <f t="shared" si="1"/>
        <v>7.4676959221345873E-2</v>
      </c>
    </row>
    <row r="23" spans="1:16" x14ac:dyDescent="0.25">
      <c r="A23" s="376" t="s">
        <v>47</v>
      </c>
      <c r="B23" s="389">
        <f t="shared" si="1"/>
        <v>-8.8652482269503396E-3</v>
      </c>
      <c r="C23" s="389">
        <f t="shared" si="1"/>
        <v>-0.10563775988012736</v>
      </c>
      <c r="D23" s="389">
        <f t="shared" si="1"/>
        <v>1.4090520922288574E-2</v>
      </c>
      <c r="E23" s="389">
        <f t="shared" si="1"/>
        <v>1.7700697300196744E-2</v>
      </c>
      <c r="F23" s="389">
        <f t="shared" si="1"/>
        <v>-1.8269831355402832E-2</v>
      </c>
    </row>
    <row r="24" spans="1:16" x14ac:dyDescent="0.25">
      <c r="A24" s="376" t="s">
        <v>48</v>
      </c>
      <c r="B24" s="389">
        <f t="shared" si="1"/>
        <v>-9.5259391771019719E-2</v>
      </c>
      <c r="C24" s="389">
        <f t="shared" si="1"/>
        <v>5.5078534031413717E-2</v>
      </c>
      <c r="D24" s="389">
        <f t="shared" si="1"/>
        <v>8.0842105263157826E-2</v>
      </c>
      <c r="E24" s="389">
        <f t="shared" si="1"/>
        <v>0.11454673225579759</v>
      </c>
      <c r="F24" s="389">
        <f t="shared" si="1"/>
        <v>-2.8153332272944143E-2</v>
      </c>
    </row>
    <row r="25" spans="1:16" x14ac:dyDescent="0.25">
      <c r="A25" s="376" t="s">
        <v>49</v>
      </c>
      <c r="B25" s="389">
        <f t="shared" si="1"/>
        <v>0.12432031636183893</v>
      </c>
      <c r="C25" s="389">
        <f t="shared" si="1"/>
        <v>6.4509726081778407E-2</v>
      </c>
      <c r="D25" s="389">
        <f t="shared" si="1"/>
        <v>5.6486170627191301E-2</v>
      </c>
      <c r="E25" s="389">
        <f t="shared" si="1"/>
        <v>-5.7534678436317765E-2</v>
      </c>
      <c r="F25" s="389">
        <f t="shared" si="1"/>
        <v>3.1587561374795348E-2</v>
      </c>
    </row>
    <row r="26" spans="1:16" x14ac:dyDescent="0.25">
      <c r="A26" s="376" t="s">
        <v>50</v>
      </c>
      <c r="B26" s="389">
        <f t="shared" si="1"/>
        <v>-2.1543196306880619E-2</v>
      </c>
      <c r="C26" s="389">
        <f t="shared" si="1"/>
        <v>-0.1206414320343091</v>
      </c>
      <c r="D26" s="389">
        <f t="shared" si="1"/>
        <v>-9.2551622418879043E-2</v>
      </c>
      <c r="E26" s="389">
        <f t="shared" si="1"/>
        <v>-3.127613313263089E-2</v>
      </c>
      <c r="F26" s="389">
        <f t="shared" si="1"/>
        <v>-0.10566396953831514</v>
      </c>
    </row>
    <row r="27" spans="1:16" x14ac:dyDescent="0.25">
      <c r="A27" s="376" t="s">
        <v>51</v>
      </c>
      <c r="B27" s="389">
        <f t="shared" si="1"/>
        <v>-1.595147157942034E-2</v>
      </c>
      <c r="C27" s="389">
        <f t="shared" si="1"/>
        <v>8.6513994910941472E-2</v>
      </c>
      <c r="D27" s="389">
        <f t="shared" si="1"/>
        <v>7.8017066233238452E-2</v>
      </c>
      <c r="E27" s="389">
        <f t="shared" si="1"/>
        <v>8.0628453038674053E-2</v>
      </c>
      <c r="F27" s="389">
        <f t="shared" si="1"/>
        <v>0.13198509845662576</v>
      </c>
    </row>
    <row r="28" spans="1:16" x14ac:dyDescent="0.25">
      <c r="A28" s="376" t="s">
        <v>52</v>
      </c>
      <c r="B28" s="389">
        <f t="shared" si="1"/>
        <v>-6.2785388127853836E-2</v>
      </c>
      <c r="C28" s="389">
        <f t="shared" si="1"/>
        <v>-3.8641686182669832E-2</v>
      </c>
      <c r="D28" s="389">
        <f t="shared" si="1"/>
        <v>3.3358462118356469E-2</v>
      </c>
      <c r="E28" s="389">
        <f t="shared" si="1"/>
        <v>-4.9688448633967042E-2</v>
      </c>
      <c r="F28" s="389">
        <f t="shared" si="1"/>
        <v>-4.4350415295408285E-2</v>
      </c>
    </row>
    <row r="29" spans="1:16" ht="16.5" thickBot="1" x14ac:dyDescent="0.3">
      <c r="A29" s="380" t="s">
        <v>53</v>
      </c>
      <c r="B29" s="392">
        <f>C3/B14-1</f>
        <v>0.16906211936662596</v>
      </c>
      <c r="C29" s="392">
        <f t="shared" ref="C29:E29" si="2">D3/C14-1</f>
        <v>-5.684125050751121E-2</v>
      </c>
      <c r="D29" s="392">
        <f t="shared" si="2"/>
        <v>0.17636330476016782</v>
      </c>
      <c r="E29" s="392">
        <f t="shared" si="2"/>
        <v>-3.1271015467383978E-2</v>
      </c>
      <c r="F29" s="392"/>
    </row>
    <row r="30" spans="1:16" ht="17.25" thickTop="1" thickBot="1" x14ac:dyDescent="0.3">
      <c r="A30" s="383" t="s">
        <v>459</v>
      </c>
      <c r="B30" s="384">
        <v>0.35799999999999998</v>
      </c>
      <c r="C30" s="384">
        <v>-7.9000000000000001E-2</v>
      </c>
      <c r="D30" s="384">
        <v>7.7799999999999994E-2</v>
      </c>
      <c r="E30" s="384">
        <v>-0.01</v>
      </c>
      <c r="F30" s="384">
        <v>-0.1361</v>
      </c>
      <c r="H30" s="393">
        <v>-0.1361</v>
      </c>
    </row>
    <row r="31" spans="1:16" ht="16.5" thickTop="1" x14ac:dyDescent="0.25"/>
    <row r="32" spans="1:16" x14ac:dyDescent="0.25">
      <c r="E32" s="394"/>
    </row>
    <row r="53" spans="5:6" x14ac:dyDescent="0.25">
      <c r="E53" s="395" t="s">
        <v>460</v>
      </c>
      <c r="F53" s="396">
        <f>AVERAGE(B30:F30)</f>
        <v>4.213999999999999E-2</v>
      </c>
    </row>
  </sheetData>
  <mergeCells count="3">
    <mergeCell ref="A1:F1"/>
    <mergeCell ref="H1:M1"/>
    <mergeCell ref="A16:F1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1FDE-25E5-4850-ADD6-78CD8189FDB9}">
  <dimension ref="A1:J37"/>
  <sheetViews>
    <sheetView workbookViewId="0">
      <selection activeCell="D10" sqref="D10"/>
    </sheetView>
  </sheetViews>
  <sheetFormatPr baseColWidth="10" defaultColWidth="10.85546875" defaultRowHeight="15.75" x14ac:dyDescent="0.25"/>
  <cols>
    <col min="1" max="1" width="34.140625" style="373" bestFit="1" customWidth="1"/>
    <col min="2" max="2" width="12.140625" style="373" bestFit="1" customWidth="1"/>
    <col min="3" max="6" width="10.85546875" style="373"/>
    <col min="7" max="7" width="1.7109375" style="373" customWidth="1"/>
    <col min="8" max="16384" width="10.85546875" style="373"/>
  </cols>
  <sheetData>
    <row r="1" spans="1:10" ht="21" customHeight="1" x14ac:dyDescent="0.25">
      <c r="A1" s="572" t="s">
        <v>461</v>
      </c>
      <c r="B1" s="572"/>
      <c r="C1" s="572"/>
      <c r="D1" s="572"/>
      <c r="E1" s="572"/>
      <c r="F1" s="572"/>
      <c r="J1" s="397"/>
    </row>
    <row r="2" spans="1:10" s="374" customFormat="1" x14ac:dyDescent="0.25">
      <c r="B2" s="375">
        <v>2018</v>
      </c>
      <c r="C2" s="375">
        <v>2019</v>
      </c>
      <c r="D2" s="375">
        <v>2018</v>
      </c>
      <c r="E2" s="375">
        <v>2019</v>
      </c>
      <c r="F2" s="375">
        <v>2020</v>
      </c>
      <c r="H2" s="373"/>
      <c r="J2" s="398"/>
    </row>
    <row r="3" spans="1:10" x14ac:dyDescent="0.25">
      <c r="A3" s="376" t="s">
        <v>42</v>
      </c>
      <c r="B3" s="389">
        <v>3.4500000000000003E-2</v>
      </c>
      <c r="C3" s="389">
        <v>3.8300000000000001E-2</v>
      </c>
      <c r="D3" s="389">
        <v>4.0300000000000002E-2</v>
      </c>
      <c r="E3" s="389">
        <v>3.1E-2</v>
      </c>
      <c r="F3" s="389">
        <v>3.0099999999999998E-2</v>
      </c>
    </row>
    <row r="4" spans="1:10" x14ac:dyDescent="0.25">
      <c r="A4" s="376" t="s">
        <v>58</v>
      </c>
      <c r="B4" s="389">
        <v>3.5499999999999997E-2</v>
      </c>
      <c r="C4" s="389">
        <v>3.9300000000000002E-2</v>
      </c>
      <c r="D4" s="389">
        <v>3.7900000000000003E-2</v>
      </c>
      <c r="E4" s="389">
        <v>2.8000000000000001E-2</v>
      </c>
      <c r="F4" s="389">
        <v>2.9600000000000001E-2</v>
      </c>
    </row>
    <row r="5" spans="1:10" x14ac:dyDescent="0.25">
      <c r="A5" s="376" t="s">
        <v>44</v>
      </c>
      <c r="B5" s="389">
        <v>3.3500000000000002E-2</v>
      </c>
      <c r="C5" s="389">
        <v>3.78E-2</v>
      </c>
      <c r="D5" s="389">
        <v>3.5000000000000003E-2</v>
      </c>
      <c r="E5" s="389">
        <v>2.7799999999999998E-2</v>
      </c>
      <c r="F5" s="389">
        <v>2.98E-2</v>
      </c>
    </row>
    <row r="6" spans="1:10" x14ac:dyDescent="0.25">
      <c r="A6" s="376" t="s">
        <v>453</v>
      </c>
      <c r="B6" s="389">
        <v>3.0499999999999999E-2</v>
      </c>
      <c r="C6" s="389">
        <v>3.8100000000000002E-2</v>
      </c>
      <c r="D6" s="389">
        <v>3.8199999999999998E-2</v>
      </c>
      <c r="E6" s="389">
        <v>2.6100000000000002E-2</v>
      </c>
      <c r="F6" s="389">
        <v>2.7799999999999998E-2</v>
      </c>
    </row>
    <row r="7" spans="1:10" x14ac:dyDescent="0.25">
      <c r="A7" s="376" t="s">
        <v>46</v>
      </c>
      <c r="B7" s="389">
        <v>3.5099999999999999E-2</v>
      </c>
      <c r="C7" s="389">
        <v>3.9100000000000003E-2</v>
      </c>
      <c r="D7" s="389">
        <v>3.7199999999999997E-2</v>
      </c>
      <c r="E7" s="389">
        <v>2.3800000000000002E-2</v>
      </c>
      <c r="F7" s="389">
        <v>3.1E-2</v>
      </c>
    </row>
    <row r="8" spans="1:10" x14ac:dyDescent="0.25">
      <c r="A8" s="376" t="s">
        <v>47</v>
      </c>
      <c r="B8" s="389">
        <v>3.7999999999999999E-2</v>
      </c>
      <c r="C8" s="389">
        <v>3.8100000000000002E-2</v>
      </c>
      <c r="D8" s="389">
        <v>3.7900000000000003E-2</v>
      </c>
      <c r="E8" s="389">
        <v>2.2100000000000002E-2</v>
      </c>
      <c r="F8" s="389">
        <v>2.9000000000000001E-2</v>
      </c>
    </row>
    <row r="9" spans="1:10" x14ac:dyDescent="0.25">
      <c r="A9" s="376" t="s">
        <v>48</v>
      </c>
      <c r="B9" s="389">
        <v>0.04</v>
      </c>
      <c r="C9" s="389">
        <v>3.8699999999999998E-2</v>
      </c>
      <c r="D9" s="389">
        <v>3.6400000000000002E-2</v>
      </c>
      <c r="E9" s="389">
        <v>2.18E-2</v>
      </c>
      <c r="F9" s="389">
        <v>2.7799999999999998E-2</v>
      </c>
    </row>
    <row r="10" spans="1:10" x14ac:dyDescent="0.25">
      <c r="A10" s="376" t="s">
        <v>49</v>
      </c>
      <c r="B10" s="389">
        <v>4.0500000000000001E-2</v>
      </c>
      <c r="C10" s="389">
        <v>3.8600000000000002E-2</v>
      </c>
      <c r="D10" s="389">
        <v>3.15E-2</v>
      </c>
      <c r="E10" s="389">
        <v>2.4E-2</v>
      </c>
      <c r="F10" s="389">
        <v>2.5999999999999999E-2</v>
      </c>
    </row>
    <row r="11" spans="1:10" x14ac:dyDescent="0.25">
      <c r="A11" s="376" t="s">
        <v>50</v>
      </c>
      <c r="B11" s="389">
        <v>3.6600000000000001E-2</v>
      </c>
      <c r="C11" s="389">
        <v>4.02E-2</v>
      </c>
      <c r="D11" s="389">
        <v>3.27E-2</v>
      </c>
      <c r="E11" s="389">
        <v>2.4500000000000001E-2</v>
      </c>
      <c r="F11" s="389">
        <v>2.5499999999999998E-2</v>
      </c>
    </row>
    <row r="12" spans="1:10" x14ac:dyDescent="0.25">
      <c r="A12" s="376" t="s">
        <v>51</v>
      </c>
      <c r="B12" s="389">
        <v>3.9600000000000003E-2</v>
      </c>
      <c r="C12" s="389">
        <v>4.19E-2</v>
      </c>
      <c r="D12" s="389">
        <v>3.2500000000000001E-2</v>
      </c>
      <c r="E12" s="389">
        <v>2.5600000000000001E-2</v>
      </c>
      <c r="F12" s="389">
        <v>2.4400000000000002E-2</v>
      </c>
    </row>
    <row r="13" spans="1:10" x14ac:dyDescent="0.25">
      <c r="A13" s="376" t="s">
        <v>52</v>
      </c>
      <c r="B13" s="389">
        <v>4.0599999999999997E-2</v>
      </c>
      <c r="C13" s="389">
        <v>4.1300000000000003E-2</v>
      </c>
      <c r="D13" s="389">
        <v>3.1699999999999999E-2</v>
      </c>
      <c r="E13" s="389">
        <v>2.8000000000000001E-2</v>
      </c>
      <c r="F13" s="389">
        <v>2.4500000000000001E-2</v>
      </c>
    </row>
    <row r="14" spans="1:10" ht="16.5" thickBot="1" x14ac:dyDescent="0.3">
      <c r="A14" s="380" t="s">
        <v>53</v>
      </c>
      <c r="B14" s="392">
        <v>4.0899999999999999E-2</v>
      </c>
      <c r="C14" s="392">
        <v>4.2700000000000002E-2</v>
      </c>
      <c r="D14" s="392">
        <v>3.2199999999999999E-2</v>
      </c>
      <c r="E14" s="392">
        <v>2.98E-2</v>
      </c>
      <c r="F14" s="392">
        <v>2.2100000000000002E-2</v>
      </c>
    </row>
    <row r="15" spans="1:10" ht="17.25" thickTop="1" thickBot="1" x14ac:dyDescent="0.3">
      <c r="A15" s="399" t="s">
        <v>462</v>
      </c>
      <c r="B15" s="400">
        <f>AVERAGE(B3:B14)</f>
        <v>3.710833333333334E-2</v>
      </c>
      <c r="C15" s="400">
        <f t="shared" ref="C15:F15" si="0">AVERAGE(C3:C14)</f>
        <v>3.9508333333333333E-2</v>
      </c>
      <c r="D15" s="400">
        <f t="shared" si="0"/>
        <v>3.5291666666666673E-2</v>
      </c>
      <c r="E15" s="400">
        <f t="shared" si="0"/>
        <v>2.6041666666666668E-2</v>
      </c>
      <c r="F15" s="400">
        <f t="shared" si="0"/>
        <v>2.7300000000000001E-2</v>
      </c>
    </row>
    <row r="16" spans="1:10" ht="16.5" thickTop="1" x14ac:dyDescent="0.25">
      <c r="A16" s="401" t="s">
        <v>463</v>
      </c>
      <c r="B16" s="402">
        <f>AVERAGE(B15:F15)</f>
        <v>3.3049999999999996E-2</v>
      </c>
    </row>
    <row r="37" spans="5:6" x14ac:dyDescent="0.25">
      <c r="E37" s="395" t="s">
        <v>460</v>
      </c>
      <c r="F37" s="396" t="e">
        <f>AVERAGE(#REF!)</f>
        <v>#REF!</v>
      </c>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D30A-48D1-4C5A-BC4E-39B5A1ABB112}">
  <dimension ref="A1:G13"/>
  <sheetViews>
    <sheetView workbookViewId="0">
      <selection sqref="A1:XFD1048576"/>
    </sheetView>
  </sheetViews>
  <sheetFormatPr baseColWidth="10" defaultColWidth="10.85546875" defaultRowHeight="15.75" x14ac:dyDescent="0.25"/>
  <cols>
    <col min="1" max="1" width="10.85546875" style="413"/>
    <col min="2" max="2" width="10.85546875" style="373"/>
    <col min="3" max="3" width="14.42578125" style="373" bestFit="1" customWidth="1"/>
    <col min="4" max="4" width="10.85546875" style="373"/>
    <col min="5" max="5" width="16.42578125" style="373" customWidth="1"/>
    <col min="6" max="16384" width="10.85546875" style="373"/>
  </cols>
  <sheetData>
    <row r="1" spans="1:7" x14ac:dyDescent="0.25">
      <c r="A1" s="575" t="s">
        <v>464</v>
      </c>
      <c r="B1" s="575"/>
      <c r="C1" s="575"/>
    </row>
    <row r="2" spans="1:7" x14ac:dyDescent="0.25">
      <c r="A2" s="403" t="s">
        <v>465</v>
      </c>
      <c r="B2" s="403" t="s">
        <v>466</v>
      </c>
      <c r="C2" s="403" t="s">
        <v>467</v>
      </c>
    </row>
    <row r="3" spans="1:7" x14ac:dyDescent="0.25">
      <c r="A3" s="404">
        <v>2016</v>
      </c>
      <c r="B3" s="405">
        <v>-1E-4</v>
      </c>
      <c r="C3" s="406">
        <f t="array" ref="C3:C7">TRANSPOSE([5]Rm!B30:F30)</f>
        <v>0.17300994758570887</v>
      </c>
      <c r="E3" s="408"/>
    </row>
    <row r="4" spans="1:7" x14ac:dyDescent="0.25">
      <c r="A4" s="404">
        <v>2017</v>
      </c>
      <c r="B4" s="405">
        <v>1.7999999999999999E-2</v>
      </c>
      <c r="C4" s="406">
        <v>2.073561647789901E-2</v>
      </c>
      <c r="E4" s="408"/>
    </row>
    <row r="5" spans="1:7" x14ac:dyDescent="0.25">
      <c r="A5" s="404">
        <v>2018</v>
      </c>
      <c r="B5" s="405">
        <v>3.2000000000000001E-2</v>
      </c>
      <c r="C5" s="406">
        <v>0.35804964780574744</v>
      </c>
      <c r="E5" s="408"/>
    </row>
    <row r="6" spans="1:7" x14ac:dyDescent="0.25">
      <c r="A6" s="404">
        <v>2019</v>
      </c>
      <c r="B6" s="405">
        <v>1.4999999999999999E-2</v>
      </c>
      <c r="C6" s="406">
        <v>-7.9008936581478673E-2</v>
      </c>
      <c r="E6" s="408"/>
    </row>
    <row r="7" spans="1:7" ht="16.5" thickBot="1" x14ac:dyDescent="0.3">
      <c r="A7" s="409">
        <v>2020</v>
      </c>
      <c r="B7" s="410">
        <v>2.1000000000000001E-2</v>
      </c>
      <c r="C7" s="407">
        <v>7.780514940278993E-2</v>
      </c>
      <c r="E7" s="408"/>
    </row>
    <row r="8" spans="1:7" ht="17.25" thickTop="1" thickBot="1" x14ac:dyDescent="0.3">
      <c r="A8" s="411" t="s">
        <v>468</v>
      </c>
      <c r="B8" s="412">
        <f>AVERAGE(B3:B7)</f>
        <v>1.7180000000000001E-2</v>
      </c>
      <c r="C8" s="412">
        <f>AVERAGE(C3:C7)</f>
        <v>0.11011828493813332</v>
      </c>
    </row>
    <row r="9" spans="1:7" ht="16.5" thickTop="1" x14ac:dyDescent="0.25"/>
    <row r="10" spans="1:7" x14ac:dyDescent="0.25">
      <c r="A10" s="414" t="s">
        <v>469</v>
      </c>
      <c r="B10" s="395"/>
      <c r="C10" s="415">
        <f>_xlfn.COVARIANCE.P(B3:B7,C3:C7)</f>
        <v>5.6062844883565731E-4</v>
      </c>
      <c r="E10" s="416" t="s">
        <v>470</v>
      </c>
    </row>
    <row r="11" spans="1:7" x14ac:dyDescent="0.25">
      <c r="A11" s="417" t="s">
        <v>471</v>
      </c>
      <c r="B11" s="395"/>
      <c r="C11" s="415">
        <f>_xlfn.VAR.P(C3:C7,C8)</f>
        <v>1.8371304665482497E-2</v>
      </c>
      <c r="E11" s="416" t="s">
        <v>472</v>
      </c>
    </row>
    <row r="13" spans="1:7" x14ac:dyDescent="0.25">
      <c r="B13" s="418" t="s">
        <v>473</v>
      </c>
      <c r="C13" s="419">
        <f>C10/C11</f>
        <v>3.0516528849963045E-2</v>
      </c>
      <c r="E13" s="373" t="s">
        <v>474</v>
      </c>
      <c r="F13" s="420">
        <f>1-C13</f>
        <v>0.96948347115003697</v>
      </c>
      <c r="G13" s="421" t="s">
        <v>475</v>
      </c>
    </row>
  </sheetData>
  <mergeCells count="1">
    <mergeCell ref="A1:C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1595-BA30-4BD3-BA8C-F015758828BE}">
  <dimension ref="A1:I17"/>
  <sheetViews>
    <sheetView workbookViewId="0">
      <selection activeCell="E15" sqref="E15"/>
    </sheetView>
  </sheetViews>
  <sheetFormatPr baseColWidth="10" defaultColWidth="10.85546875" defaultRowHeight="15.75" x14ac:dyDescent="0.25"/>
  <cols>
    <col min="1" max="1" width="19.140625" style="373" bestFit="1" customWidth="1"/>
    <col min="2" max="2" width="15.7109375" style="373" bestFit="1" customWidth="1"/>
    <col min="3" max="3" width="12.7109375" style="373" bestFit="1" customWidth="1"/>
    <col min="4" max="16384" width="10.85546875" style="373"/>
  </cols>
  <sheetData>
    <row r="1" spans="1:9" x14ac:dyDescent="0.25">
      <c r="A1" s="422" t="s">
        <v>476</v>
      </c>
      <c r="B1" s="423">
        <f>[5]Beta!C13</f>
        <v>3.0516528849963045E-2</v>
      </c>
    </row>
    <row r="2" spans="1:9" x14ac:dyDescent="0.25">
      <c r="A2" s="424" t="s">
        <v>446</v>
      </c>
      <c r="B2" s="425">
        <v>0.33</v>
      </c>
    </row>
    <row r="3" spans="1:9" x14ac:dyDescent="0.25">
      <c r="A3" s="424" t="s">
        <v>96</v>
      </c>
      <c r="B3" s="426">
        <v>20150000</v>
      </c>
    </row>
    <row r="4" spans="1:9" x14ac:dyDescent="0.25">
      <c r="A4" s="424" t="s">
        <v>477</v>
      </c>
      <c r="B4" s="426">
        <v>20150000</v>
      </c>
      <c r="C4" s="436"/>
      <c r="D4" s="436"/>
      <c r="E4" s="436"/>
      <c r="F4" s="436"/>
      <c r="G4" s="436"/>
      <c r="H4" s="436"/>
      <c r="I4" s="436"/>
    </row>
    <row r="5" spans="1:9" x14ac:dyDescent="0.25">
      <c r="A5" s="424" t="s">
        <v>478</v>
      </c>
      <c r="B5" s="426">
        <v>21623000</v>
      </c>
      <c r="C5" s="437"/>
      <c r="D5" s="436"/>
      <c r="E5" s="436"/>
      <c r="F5" s="436"/>
      <c r="G5" s="436"/>
      <c r="H5" s="436"/>
      <c r="I5" s="436"/>
    </row>
    <row r="6" spans="1:9" x14ac:dyDescent="0.25">
      <c r="A6" s="424"/>
      <c r="B6" s="424"/>
      <c r="C6" s="436"/>
      <c r="D6" s="436"/>
      <c r="E6" s="436"/>
      <c r="F6" s="436"/>
      <c r="G6" s="436"/>
      <c r="H6" s="436"/>
      <c r="I6" s="436"/>
    </row>
    <row r="7" spans="1:9" x14ac:dyDescent="0.25">
      <c r="A7" s="427" t="s">
        <v>479</v>
      </c>
      <c r="B7" s="428">
        <f>B1/(1+(1-B2)*(B4/B5))</f>
        <v>1.878682088410184E-2</v>
      </c>
      <c r="C7" s="436"/>
      <c r="D7" s="436"/>
      <c r="E7" s="436"/>
      <c r="F7" s="436"/>
      <c r="G7" s="436"/>
      <c r="H7" s="436"/>
      <c r="I7" s="436"/>
    </row>
    <row r="8" spans="1:9" x14ac:dyDescent="0.25">
      <c r="A8" s="424"/>
      <c r="B8" s="424"/>
      <c r="C8" s="436"/>
      <c r="D8" s="436"/>
      <c r="E8" s="436"/>
      <c r="F8" s="436"/>
      <c r="G8" s="436"/>
      <c r="H8" s="436"/>
      <c r="I8" s="436"/>
    </row>
    <row r="9" spans="1:9" x14ac:dyDescent="0.25">
      <c r="A9" s="424"/>
      <c r="B9" s="424"/>
      <c r="C9" s="436"/>
      <c r="D9" s="436"/>
      <c r="E9" s="436"/>
      <c r="F9" s="436"/>
      <c r="G9" s="436"/>
      <c r="H9" s="436"/>
      <c r="I9" s="436"/>
    </row>
    <row r="10" spans="1:9" x14ac:dyDescent="0.25">
      <c r="A10" s="424" t="s">
        <v>467</v>
      </c>
      <c r="B10" s="429">
        <f>[5]Rm!P18</f>
        <v>7.389828493813333E-2</v>
      </c>
      <c r="C10" s="436"/>
      <c r="D10" s="436"/>
      <c r="E10" s="436"/>
      <c r="F10" s="436"/>
      <c r="G10" s="436"/>
      <c r="H10" s="436"/>
      <c r="I10" s="436"/>
    </row>
    <row r="11" spans="1:9" x14ac:dyDescent="0.25">
      <c r="A11" s="424" t="s">
        <v>480</v>
      </c>
      <c r="B11" s="429">
        <f>[5]Rf!B16</f>
        <v>3.3049999999999996E-2</v>
      </c>
      <c r="C11" s="436"/>
      <c r="D11" s="436"/>
      <c r="E11" s="436"/>
      <c r="F11" s="436"/>
      <c r="G11" s="436"/>
      <c r="H11" s="436"/>
      <c r="I11" s="436"/>
    </row>
    <row r="12" spans="1:9" x14ac:dyDescent="0.25">
      <c r="A12" s="424" t="s">
        <v>479</v>
      </c>
      <c r="B12" s="430">
        <f>B7</f>
        <v>1.878682088410184E-2</v>
      </c>
      <c r="C12" s="436"/>
      <c r="D12" s="436"/>
      <c r="E12" s="436"/>
      <c r="F12" s="436"/>
      <c r="G12" s="436"/>
      <c r="H12" s="436"/>
      <c r="I12" s="436"/>
    </row>
    <row r="13" spans="1:9" x14ac:dyDescent="0.25">
      <c r="A13" s="431" t="s">
        <v>481</v>
      </c>
      <c r="B13" s="432">
        <f>B11+((B10-B11)*B12)</f>
        <v>3.3817409412555462E-2</v>
      </c>
      <c r="C13" s="436"/>
      <c r="D13" s="436"/>
      <c r="E13" s="436"/>
      <c r="F13" s="436"/>
      <c r="G13" s="436"/>
      <c r="H13" s="436"/>
      <c r="I13" s="436"/>
    </row>
    <row r="14" spans="1:9" x14ac:dyDescent="0.25">
      <c r="C14" s="436"/>
      <c r="D14" s="436"/>
      <c r="E14" s="436"/>
      <c r="F14" s="436"/>
      <c r="G14" s="436"/>
      <c r="H14" s="436"/>
      <c r="I14" s="436"/>
    </row>
    <row r="15" spans="1:9" ht="16.5" thickBot="1" x14ac:dyDescent="0.3">
      <c r="C15" s="436"/>
      <c r="D15" s="436"/>
      <c r="E15" s="436"/>
      <c r="F15" s="436"/>
      <c r="G15" s="436"/>
      <c r="H15" s="436"/>
      <c r="I15" s="436"/>
    </row>
    <row r="16" spans="1:9" ht="16.5" thickBot="1" x14ac:dyDescent="0.3">
      <c r="A16" s="434" t="s">
        <v>482</v>
      </c>
      <c r="B16" s="433">
        <f>B13*(B5/(B4+B5))+'calculo WACC'!E10*(B4/(B4+B5))</f>
        <v>6.294409890904859E-2</v>
      </c>
      <c r="C16" s="436"/>
      <c r="D16" s="436"/>
      <c r="E16" s="436"/>
      <c r="F16" s="436"/>
      <c r="G16" s="436"/>
      <c r="H16" s="436"/>
      <c r="I16" s="436"/>
    </row>
    <row r="17" spans="3:9" x14ac:dyDescent="0.25">
      <c r="C17" s="438"/>
      <c r="D17" s="436"/>
      <c r="E17" s="436"/>
      <c r="F17" s="436"/>
      <c r="G17" s="436"/>
      <c r="H17" s="436"/>
      <c r="I17" s="43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0A90-A364-4C66-A1E6-497EA07262E7}">
  <dimension ref="A1:AA7"/>
  <sheetViews>
    <sheetView tabSelected="1" workbookViewId="0">
      <selection activeCell="E20" sqref="E20"/>
    </sheetView>
  </sheetViews>
  <sheetFormatPr baseColWidth="10" defaultRowHeight="15" x14ac:dyDescent="0.25"/>
  <cols>
    <col min="2" max="2" width="16.42578125" bestFit="1" customWidth="1"/>
    <col min="3" max="3" width="15.28515625" bestFit="1" customWidth="1"/>
    <col min="4" max="4" width="18" bestFit="1" customWidth="1"/>
  </cols>
  <sheetData>
    <row r="1" spans="1:27" ht="15.75" thickBot="1" x14ac:dyDescent="0.3">
      <c r="A1" s="583" t="s">
        <v>498</v>
      </c>
      <c r="B1" s="584"/>
      <c r="C1" s="584"/>
      <c r="D1" s="585"/>
      <c r="AA1" t="s">
        <v>500</v>
      </c>
    </row>
    <row r="2" spans="1:27" ht="15.75" thickBot="1" x14ac:dyDescent="0.3">
      <c r="A2" s="580" t="s">
        <v>493</v>
      </c>
      <c r="B2" s="581" t="s">
        <v>371</v>
      </c>
      <c r="C2" s="579" t="s">
        <v>494</v>
      </c>
      <c r="D2" s="579" t="s">
        <v>449</v>
      </c>
      <c r="AA2" t="s">
        <v>493</v>
      </c>
    </row>
    <row r="3" spans="1:27" ht="15.75" thickBot="1" x14ac:dyDescent="0.3">
      <c r="A3" s="3">
        <v>1</v>
      </c>
      <c r="B3" s="576" t="s">
        <v>495</v>
      </c>
      <c r="C3" s="121">
        <v>9</v>
      </c>
      <c r="D3" s="577">
        <f>AVERAGE(C3:C7)+D7</f>
        <v>9.4</v>
      </c>
    </row>
    <row r="4" spans="1:27" ht="15.75" thickBot="1" x14ac:dyDescent="0.3">
      <c r="A4" s="3">
        <v>2</v>
      </c>
      <c r="B4" s="576" t="s">
        <v>496</v>
      </c>
      <c r="C4" s="121">
        <v>9</v>
      </c>
      <c r="D4" s="582" t="s">
        <v>502</v>
      </c>
    </row>
    <row r="5" spans="1:27" ht="15.75" thickBot="1" x14ac:dyDescent="0.3">
      <c r="A5" s="3">
        <v>3</v>
      </c>
      <c r="B5" s="576" t="s">
        <v>373</v>
      </c>
      <c r="C5" s="121">
        <v>7</v>
      </c>
      <c r="D5" s="215" t="s">
        <v>500</v>
      </c>
    </row>
    <row r="6" spans="1:27" ht="15.75" thickBot="1" x14ac:dyDescent="0.3">
      <c r="A6" s="3">
        <v>4</v>
      </c>
      <c r="B6" s="576" t="s">
        <v>497</v>
      </c>
      <c r="C6" s="121">
        <v>9</v>
      </c>
      <c r="D6" s="582" t="s">
        <v>501</v>
      </c>
    </row>
    <row r="7" spans="1:27" ht="15.75" thickBot="1" x14ac:dyDescent="0.3">
      <c r="A7" s="4">
        <v>5</v>
      </c>
      <c r="B7" s="578" t="s">
        <v>499</v>
      </c>
      <c r="C7" s="441">
        <v>8</v>
      </c>
      <c r="D7" s="129">
        <f>IF(D5="si",1,0)</f>
        <v>1</v>
      </c>
    </row>
  </sheetData>
  <mergeCells count="1">
    <mergeCell ref="A1:D1"/>
  </mergeCells>
  <conditionalFormatting sqref="D3">
    <cfRule type="cellIs" dxfId="0" priority="2" operator="greaterThan">
      <formula>8</formula>
    </cfRule>
    <cfRule type="cellIs" dxfId="1" priority="1" operator="lessThan">
      <formula>8</formula>
    </cfRule>
  </conditionalFormatting>
  <dataValidations count="1">
    <dataValidation type="list" allowBlank="1" showInputMessage="1" showErrorMessage="1" sqref="D5" xr:uid="{E1C3AA78-CC71-4517-93ED-A7636269CF12}">
      <formula1>$AA$1:$AA$2</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F861-7399-4E38-BD3B-52E822C9099B}">
  <dimension ref="B1:G38"/>
  <sheetViews>
    <sheetView topLeftCell="B20" workbookViewId="0">
      <selection activeCell="D24" sqref="D24"/>
    </sheetView>
  </sheetViews>
  <sheetFormatPr baseColWidth="10" defaultRowHeight="15" x14ac:dyDescent="0.25"/>
  <cols>
    <col min="1" max="1" width="11.42578125" style="2"/>
    <col min="2" max="2" width="19.28515625" style="2" customWidth="1"/>
    <col min="3" max="3" width="23" style="2" customWidth="1"/>
    <col min="4" max="4" width="13.7109375" style="2" customWidth="1"/>
    <col min="5" max="5" width="12.42578125" style="2" customWidth="1"/>
    <col min="6" max="6" width="12" style="2" customWidth="1"/>
    <col min="7" max="7" width="16.140625" style="2" customWidth="1"/>
    <col min="8" max="16384" width="11.42578125" style="2"/>
  </cols>
  <sheetData>
    <row r="1" spans="2:7" ht="15.75" thickBot="1" x14ac:dyDescent="0.3"/>
    <row r="2" spans="2:7" x14ac:dyDescent="0.25">
      <c r="B2" s="452" t="s">
        <v>68</v>
      </c>
      <c r="C2" s="453"/>
      <c r="D2" s="453"/>
      <c r="E2" s="453"/>
      <c r="F2" s="453"/>
      <c r="G2" s="454"/>
    </row>
    <row r="3" spans="2:7" ht="26.25" thickBot="1" x14ac:dyDescent="0.3">
      <c r="B3" s="54" t="s">
        <v>69</v>
      </c>
      <c r="C3" s="55" t="s">
        <v>70</v>
      </c>
      <c r="D3" s="56" t="s">
        <v>71</v>
      </c>
      <c r="E3" s="55" t="s">
        <v>72</v>
      </c>
      <c r="F3" s="55" t="s">
        <v>73</v>
      </c>
      <c r="G3" s="57" t="s">
        <v>74</v>
      </c>
    </row>
    <row r="4" spans="2:7" x14ac:dyDescent="0.25">
      <c r="B4" s="455" t="s">
        <v>75</v>
      </c>
      <c r="C4" s="58" t="s">
        <v>76</v>
      </c>
      <c r="D4" s="59">
        <v>4500</v>
      </c>
      <c r="E4" s="60">
        <v>5</v>
      </c>
      <c r="F4" s="60" t="s">
        <v>77</v>
      </c>
      <c r="G4" s="61">
        <f t="shared" ref="G4:G22" si="0">D4*E4</f>
        <v>22500</v>
      </c>
    </row>
    <row r="5" spans="2:7" x14ac:dyDescent="0.25">
      <c r="B5" s="456"/>
      <c r="C5" s="62" t="s">
        <v>78</v>
      </c>
      <c r="D5" s="63">
        <v>150</v>
      </c>
      <c r="E5" s="64">
        <v>20</v>
      </c>
      <c r="F5" s="64" t="s">
        <v>77</v>
      </c>
      <c r="G5" s="65">
        <f t="shared" si="0"/>
        <v>3000</v>
      </c>
    </row>
    <row r="6" spans="2:7" x14ac:dyDescent="0.25">
      <c r="B6" s="456"/>
      <c r="C6" s="66" t="s">
        <v>79</v>
      </c>
      <c r="D6" s="63">
        <v>9500</v>
      </c>
      <c r="E6" s="64">
        <v>2</v>
      </c>
      <c r="F6" s="64" t="s">
        <v>77</v>
      </c>
      <c r="G6" s="65">
        <f t="shared" si="0"/>
        <v>19000</v>
      </c>
    </row>
    <row r="7" spans="2:7" x14ac:dyDescent="0.25">
      <c r="B7" s="456"/>
      <c r="C7" s="66" t="s">
        <v>80</v>
      </c>
      <c r="D7" s="63">
        <v>4500</v>
      </c>
      <c r="E7" s="64">
        <v>5</v>
      </c>
      <c r="F7" s="64" t="s">
        <v>77</v>
      </c>
      <c r="G7" s="65">
        <f t="shared" si="0"/>
        <v>22500</v>
      </c>
    </row>
    <row r="8" spans="2:7" x14ac:dyDescent="0.25">
      <c r="B8" s="456"/>
      <c r="C8" s="66" t="s">
        <v>81</v>
      </c>
      <c r="D8" s="63">
        <v>4000</v>
      </c>
      <c r="E8" s="64">
        <v>1</v>
      </c>
      <c r="F8" s="64" t="s">
        <v>77</v>
      </c>
      <c r="G8" s="65">
        <f t="shared" si="0"/>
        <v>4000</v>
      </c>
    </row>
    <row r="9" spans="2:7" x14ac:dyDescent="0.25">
      <c r="B9" s="456"/>
      <c r="C9" s="66" t="s">
        <v>82</v>
      </c>
      <c r="D9" s="63">
        <v>7000</v>
      </c>
      <c r="E9" s="64">
        <v>1</v>
      </c>
      <c r="F9" s="64" t="s">
        <v>77</v>
      </c>
      <c r="G9" s="65">
        <f t="shared" si="0"/>
        <v>7000</v>
      </c>
    </row>
    <row r="10" spans="2:7" x14ac:dyDescent="0.25">
      <c r="B10" s="456"/>
      <c r="C10" s="66" t="s">
        <v>83</v>
      </c>
      <c r="D10" s="63">
        <v>10000</v>
      </c>
      <c r="E10" s="64">
        <v>1</v>
      </c>
      <c r="F10" s="64" t="s">
        <v>77</v>
      </c>
      <c r="G10" s="65">
        <f t="shared" si="0"/>
        <v>10000</v>
      </c>
    </row>
    <row r="11" spans="2:7" x14ac:dyDescent="0.25">
      <c r="B11" s="456"/>
      <c r="C11" s="66" t="s">
        <v>84</v>
      </c>
      <c r="D11" s="63">
        <v>8000</v>
      </c>
      <c r="E11" s="64">
        <v>1</v>
      </c>
      <c r="F11" s="64" t="s">
        <v>77</v>
      </c>
      <c r="G11" s="65">
        <f t="shared" si="0"/>
        <v>8000</v>
      </c>
    </row>
    <row r="12" spans="2:7" x14ac:dyDescent="0.25">
      <c r="B12" s="456"/>
      <c r="C12" s="66" t="s">
        <v>85</v>
      </c>
      <c r="D12" s="63">
        <v>5000</v>
      </c>
      <c r="E12" s="64">
        <v>1</v>
      </c>
      <c r="F12" s="64" t="s">
        <v>77</v>
      </c>
      <c r="G12" s="65">
        <f t="shared" si="0"/>
        <v>5000</v>
      </c>
    </row>
    <row r="13" spans="2:7" x14ac:dyDescent="0.25">
      <c r="B13" s="456"/>
      <c r="C13" s="66" t="s">
        <v>86</v>
      </c>
      <c r="D13" s="63">
        <v>7500</v>
      </c>
      <c r="E13" s="64">
        <v>5</v>
      </c>
      <c r="F13" s="64" t="s">
        <v>77</v>
      </c>
      <c r="G13" s="65">
        <f t="shared" si="0"/>
        <v>37500</v>
      </c>
    </row>
    <row r="14" spans="2:7" x14ac:dyDescent="0.25">
      <c r="B14" s="456"/>
      <c r="C14" s="66" t="s">
        <v>87</v>
      </c>
      <c r="D14" s="63">
        <v>9900</v>
      </c>
      <c r="E14" s="64">
        <v>5</v>
      </c>
      <c r="F14" s="64" t="s">
        <v>77</v>
      </c>
      <c r="G14" s="65">
        <f t="shared" si="0"/>
        <v>49500</v>
      </c>
    </row>
    <row r="15" spans="2:7" x14ac:dyDescent="0.25">
      <c r="B15" s="456"/>
      <c r="C15" s="66" t="s">
        <v>88</v>
      </c>
      <c r="D15" s="63">
        <v>40000</v>
      </c>
      <c r="E15" s="64">
        <v>1</v>
      </c>
      <c r="F15" s="64" t="s">
        <v>77</v>
      </c>
      <c r="G15" s="65">
        <f t="shared" si="0"/>
        <v>40000</v>
      </c>
    </row>
    <row r="16" spans="2:7" x14ac:dyDescent="0.25">
      <c r="B16" s="456"/>
      <c r="C16" s="66" t="s">
        <v>89</v>
      </c>
      <c r="D16" s="63">
        <v>3000</v>
      </c>
      <c r="E16" s="64">
        <v>5</v>
      </c>
      <c r="F16" s="64" t="s">
        <v>77</v>
      </c>
      <c r="G16" s="65">
        <f t="shared" si="0"/>
        <v>15000</v>
      </c>
    </row>
    <row r="17" spans="2:7" x14ac:dyDescent="0.25">
      <c r="B17" s="456"/>
      <c r="C17" s="66" t="s">
        <v>90</v>
      </c>
      <c r="D17" s="63">
        <v>46500</v>
      </c>
      <c r="E17" s="64">
        <v>2</v>
      </c>
      <c r="F17" s="64" t="s">
        <v>77</v>
      </c>
      <c r="G17" s="65">
        <f t="shared" si="0"/>
        <v>93000</v>
      </c>
    </row>
    <row r="18" spans="2:7" x14ac:dyDescent="0.25">
      <c r="B18" s="456"/>
      <c r="C18" s="66" t="s">
        <v>91</v>
      </c>
      <c r="D18" s="63">
        <v>15000</v>
      </c>
      <c r="E18" s="64">
        <v>2</v>
      </c>
      <c r="F18" s="64" t="s">
        <v>77</v>
      </c>
      <c r="G18" s="65">
        <f t="shared" si="0"/>
        <v>30000</v>
      </c>
    </row>
    <row r="19" spans="2:7" x14ac:dyDescent="0.25">
      <c r="B19" s="456"/>
      <c r="C19" s="66" t="s">
        <v>92</v>
      </c>
      <c r="D19" s="63">
        <v>12000</v>
      </c>
      <c r="E19" s="64">
        <v>2</v>
      </c>
      <c r="F19" s="64" t="s">
        <v>77</v>
      </c>
      <c r="G19" s="65">
        <f t="shared" si="0"/>
        <v>24000</v>
      </c>
    </row>
    <row r="20" spans="2:7" ht="25.5" x14ac:dyDescent="0.25">
      <c r="B20" s="456"/>
      <c r="C20" s="66" t="s">
        <v>93</v>
      </c>
      <c r="D20" s="63">
        <v>50000</v>
      </c>
      <c r="E20" s="64">
        <v>3</v>
      </c>
      <c r="F20" s="64" t="s">
        <v>77</v>
      </c>
      <c r="G20" s="65">
        <f t="shared" si="0"/>
        <v>150000</v>
      </c>
    </row>
    <row r="21" spans="2:7" ht="25.5" x14ac:dyDescent="0.25">
      <c r="B21" s="456"/>
      <c r="C21" s="66" t="s">
        <v>94</v>
      </c>
      <c r="D21" s="63">
        <v>17000</v>
      </c>
      <c r="E21" s="64">
        <v>5</v>
      </c>
      <c r="F21" s="64" t="s">
        <v>77</v>
      </c>
      <c r="G21" s="65">
        <f t="shared" si="0"/>
        <v>85000</v>
      </c>
    </row>
    <row r="22" spans="2:7" ht="15.75" thickBot="1" x14ac:dyDescent="0.3">
      <c r="B22" s="456"/>
      <c r="C22" s="67" t="s">
        <v>95</v>
      </c>
      <c r="D22" s="68">
        <v>11900</v>
      </c>
      <c r="E22" s="69">
        <v>2</v>
      </c>
      <c r="F22" s="69" t="s">
        <v>77</v>
      </c>
      <c r="G22" s="70">
        <f t="shared" si="0"/>
        <v>23800</v>
      </c>
    </row>
    <row r="23" spans="2:7" ht="15.75" thickBot="1" x14ac:dyDescent="0.3">
      <c r="B23" s="457"/>
      <c r="C23" s="458" t="s">
        <v>37</v>
      </c>
      <c r="D23" s="459"/>
      <c r="E23" s="459"/>
      <c r="F23" s="460"/>
      <c r="G23" s="71">
        <f>SUM(G4:G22)</f>
        <v>648800</v>
      </c>
    </row>
    <row r="24" spans="2:7" ht="38.25" x14ac:dyDescent="0.25">
      <c r="B24" s="456" t="s">
        <v>96</v>
      </c>
      <c r="C24" s="72" t="s">
        <v>97</v>
      </c>
      <c r="D24" s="59">
        <v>500000</v>
      </c>
      <c r="E24" s="60">
        <v>1</v>
      </c>
      <c r="F24" s="60" t="s">
        <v>77</v>
      </c>
      <c r="G24" s="61">
        <f t="shared" ref="G24:G36" si="1">D24*E24</f>
        <v>500000</v>
      </c>
    </row>
    <row r="25" spans="2:7" x14ac:dyDescent="0.25">
      <c r="B25" s="456"/>
      <c r="C25" s="73" t="s">
        <v>98</v>
      </c>
      <c r="D25" s="63">
        <v>298000</v>
      </c>
      <c r="E25" s="64">
        <v>4</v>
      </c>
      <c r="F25" s="64" t="s">
        <v>77</v>
      </c>
      <c r="G25" s="65">
        <f t="shared" si="1"/>
        <v>1192000</v>
      </c>
    </row>
    <row r="26" spans="2:7" x14ac:dyDescent="0.25">
      <c r="B26" s="456"/>
      <c r="C26" s="73" t="s">
        <v>99</v>
      </c>
      <c r="D26" s="63">
        <v>350000</v>
      </c>
      <c r="E26" s="64">
        <v>4</v>
      </c>
      <c r="F26" s="64" t="s">
        <v>77</v>
      </c>
      <c r="G26" s="65">
        <f t="shared" si="1"/>
        <v>1400000</v>
      </c>
    </row>
    <row r="27" spans="2:7" x14ac:dyDescent="0.25">
      <c r="B27" s="456"/>
      <c r="C27" s="73" t="s">
        <v>100</v>
      </c>
      <c r="D27" s="63">
        <v>4000000</v>
      </c>
      <c r="E27" s="64">
        <v>2</v>
      </c>
      <c r="F27" s="64" t="s">
        <v>77</v>
      </c>
      <c r="G27" s="65">
        <f t="shared" si="1"/>
        <v>8000000</v>
      </c>
    </row>
    <row r="28" spans="2:7" x14ac:dyDescent="0.25">
      <c r="B28" s="456"/>
      <c r="C28" s="74" t="s">
        <v>101</v>
      </c>
      <c r="D28" s="63">
        <v>4500000</v>
      </c>
      <c r="E28" s="64">
        <v>1</v>
      </c>
      <c r="F28" s="64" t="s">
        <v>77</v>
      </c>
      <c r="G28" s="65">
        <f t="shared" si="1"/>
        <v>4500000</v>
      </c>
    </row>
    <row r="29" spans="2:7" x14ac:dyDescent="0.25">
      <c r="B29" s="456"/>
      <c r="C29" s="73" t="s">
        <v>102</v>
      </c>
      <c r="D29" s="63">
        <v>300000</v>
      </c>
      <c r="E29" s="64">
        <v>1</v>
      </c>
      <c r="F29" s="64" t="s">
        <v>77</v>
      </c>
      <c r="G29" s="65">
        <f t="shared" si="1"/>
        <v>300000</v>
      </c>
    </row>
    <row r="30" spans="2:7" ht="25.5" x14ac:dyDescent="0.25">
      <c r="B30" s="456"/>
      <c r="C30" s="73" t="s">
        <v>103</v>
      </c>
      <c r="D30" s="63">
        <v>40000</v>
      </c>
      <c r="E30" s="64">
        <v>1</v>
      </c>
      <c r="F30" s="64" t="s">
        <v>77</v>
      </c>
      <c r="G30" s="65">
        <f t="shared" si="1"/>
        <v>40000</v>
      </c>
    </row>
    <row r="31" spans="2:7" x14ac:dyDescent="0.25">
      <c r="B31" s="456"/>
      <c r="C31" s="73" t="s">
        <v>104</v>
      </c>
      <c r="D31" s="63">
        <v>40000</v>
      </c>
      <c r="E31" s="64">
        <v>1</v>
      </c>
      <c r="F31" s="64" t="s">
        <v>77</v>
      </c>
      <c r="G31" s="65">
        <f t="shared" si="1"/>
        <v>40000</v>
      </c>
    </row>
    <row r="32" spans="2:7" ht="25.5" x14ac:dyDescent="0.25">
      <c r="B32" s="456"/>
      <c r="C32" s="73" t="s">
        <v>105</v>
      </c>
      <c r="D32" s="63">
        <v>20000</v>
      </c>
      <c r="E32" s="64">
        <v>1</v>
      </c>
      <c r="F32" s="64" t="s">
        <v>77</v>
      </c>
      <c r="G32" s="65">
        <f t="shared" si="1"/>
        <v>20000</v>
      </c>
    </row>
    <row r="33" spans="2:7" x14ac:dyDescent="0.25">
      <c r="B33" s="456"/>
      <c r="C33" s="74" t="s">
        <v>106</v>
      </c>
      <c r="D33" s="63">
        <v>550000</v>
      </c>
      <c r="E33" s="64">
        <v>1</v>
      </c>
      <c r="F33" s="64" t="s">
        <v>77</v>
      </c>
      <c r="G33" s="65">
        <f t="shared" si="1"/>
        <v>550000</v>
      </c>
    </row>
    <row r="34" spans="2:7" x14ac:dyDescent="0.25">
      <c r="B34" s="456"/>
      <c r="C34" s="73" t="s">
        <v>107</v>
      </c>
      <c r="D34" s="63">
        <v>1500000</v>
      </c>
      <c r="E34" s="64">
        <v>1</v>
      </c>
      <c r="F34" s="64" t="s">
        <v>108</v>
      </c>
      <c r="G34" s="65">
        <f t="shared" si="1"/>
        <v>1500000</v>
      </c>
    </row>
    <row r="35" spans="2:7" x14ac:dyDescent="0.25">
      <c r="B35" s="456"/>
      <c r="C35" s="73" t="s">
        <v>109</v>
      </c>
      <c r="D35" s="63">
        <v>500000</v>
      </c>
      <c r="E35" s="64">
        <v>1</v>
      </c>
      <c r="F35" s="64" t="s">
        <v>77</v>
      </c>
      <c r="G35" s="65">
        <f t="shared" si="1"/>
        <v>500000</v>
      </c>
    </row>
    <row r="36" spans="2:7" ht="15.75" thickBot="1" x14ac:dyDescent="0.3">
      <c r="B36" s="456"/>
      <c r="C36" s="75" t="s">
        <v>110</v>
      </c>
      <c r="D36" s="76">
        <v>240000</v>
      </c>
      <c r="E36" s="77">
        <v>4</v>
      </c>
      <c r="F36" s="77" t="s">
        <v>77</v>
      </c>
      <c r="G36" s="78">
        <f t="shared" si="1"/>
        <v>960000</v>
      </c>
    </row>
    <row r="37" spans="2:7" x14ac:dyDescent="0.25">
      <c r="B37" s="456"/>
      <c r="C37" s="461" t="s">
        <v>37</v>
      </c>
      <c r="D37" s="462"/>
      <c r="E37" s="462"/>
      <c r="F37" s="462"/>
      <c r="G37" s="79">
        <f>SUM(G24:G36)</f>
        <v>19502000</v>
      </c>
    </row>
    <row r="38" spans="2:7" ht="15.75" thickBot="1" x14ac:dyDescent="0.3">
      <c r="B38" s="457"/>
      <c r="C38" s="463" t="s">
        <v>111</v>
      </c>
      <c r="D38" s="464"/>
      <c r="E38" s="464"/>
      <c r="F38" s="464"/>
      <c r="G38" s="80">
        <f>+G23+G37</f>
        <v>20150800</v>
      </c>
    </row>
  </sheetData>
  <mergeCells count="6">
    <mergeCell ref="B2:G2"/>
    <mergeCell ref="B4:B23"/>
    <mergeCell ref="C23:F23"/>
    <mergeCell ref="B24:B38"/>
    <mergeCell ref="C37:F37"/>
    <mergeCell ref="C38:F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2DE16-51E9-47D6-8417-8F077C8E6F2B}">
  <dimension ref="B1:K44"/>
  <sheetViews>
    <sheetView showGridLines="0" topLeftCell="A24" workbookViewId="0">
      <selection activeCell="G45" sqref="G45"/>
    </sheetView>
  </sheetViews>
  <sheetFormatPr baseColWidth="10" defaultRowHeight="15" x14ac:dyDescent="0.25"/>
  <cols>
    <col min="2" max="2" width="13.5703125" bestFit="1" customWidth="1"/>
    <col min="3" max="3" width="12" bestFit="1" customWidth="1"/>
    <col min="5" max="5" width="17.140625" customWidth="1"/>
    <col min="7" max="7" width="13" bestFit="1" customWidth="1"/>
    <col min="9" max="9" width="15.42578125" bestFit="1" customWidth="1"/>
    <col min="10" max="10" width="14.5703125" bestFit="1" customWidth="1"/>
    <col min="11" max="11" width="45.140625" bestFit="1" customWidth="1"/>
  </cols>
  <sheetData>
    <row r="1" spans="2:11" ht="15.75" thickBot="1" x14ac:dyDescent="0.3"/>
    <row r="2" spans="2:11" ht="15.75" thickBot="1" x14ac:dyDescent="0.3">
      <c r="I2" s="465" t="s">
        <v>440</v>
      </c>
      <c r="J2" s="466"/>
      <c r="K2" s="467"/>
    </row>
    <row r="3" spans="2:11" ht="15.75" thickBot="1" x14ac:dyDescent="0.3">
      <c r="B3" s="477" t="s">
        <v>112</v>
      </c>
      <c r="C3" s="478"/>
      <c r="D3" s="478"/>
      <c r="E3" s="479"/>
      <c r="I3" s="117" t="s">
        <v>138</v>
      </c>
      <c r="J3" s="117" t="s">
        <v>139</v>
      </c>
      <c r="K3" s="118" t="s">
        <v>70</v>
      </c>
    </row>
    <row r="4" spans="2:11" x14ac:dyDescent="0.25">
      <c r="I4" s="119" t="s">
        <v>136</v>
      </c>
      <c r="J4" s="120">
        <f>D17+D18</f>
        <v>2900000</v>
      </c>
      <c r="K4" s="121" t="s">
        <v>439</v>
      </c>
    </row>
    <row r="5" spans="2:11" ht="15.75" thickBot="1" x14ac:dyDescent="0.3">
      <c r="I5" s="119" t="s">
        <v>35</v>
      </c>
      <c r="J5" s="120">
        <f>D25</f>
        <v>150000</v>
      </c>
      <c r="K5" s="121" t="s">
        <v>143</v>
      </c>
    </row>
    <row r="6" spans="2:11" ht="15.75" thickBot="1" x14ac:dyDescent="0.3">
      <c r="B6" s="480" t="s">
        <v>62</v>
      </c>
      <c r="C6" s="481"/>
      <c r="D6" s="481"/>
      <c r="E6" s="481"/>
      <c r="F6" s="482"/>
      <c r="I6" s="119" t="s">
        <v>36</v>
      </c>
      <c r="J6" s="120">
        <f>E26*122+E24*122+E9+E8+E11</f>
        <v>153493</v>
      </c>
      <c r="K6" s="121" t="s">
        <v>144</v>
      </c>
    </row>
    <row r="7" spans="2:11" ht="25.5" x14ac:dyDescent="0.25">
      <c r="B7" s="87" t="s">
        <v>70</v>
      </c>
      <c r="C7" s="88" t="s">
        <v>73</v>
      </c>
      <c r="D7" s="88" t="s">
        <v>113</v>
      </c>
      <c r="E7" s="88" t="s">
        <v>71</v>
      </c>
      <c r="F7" s="89" t="s">
        <v>74</v>
      </c>
      <c r="I7" s="122" t="s">
        <v>116</v>
      </c>
      <c r="J7" s="120">
        <f>50*122</f>
        <v>6100</v>
      </c>
      <c r="K7" s="121" t="s">
        <v>145</v>
      </c>
    </row>
    <row r="8" spans="2:11" ht="60.75" thickBot="1" x14ac:dyDescent="0.3">
      <c r="B8" s="84" t="s">
        <v>114</v>
      </c>
      <c r="C8" s="64" t="s">
        <v>118</v>
      </c>
      <c r="D8" s="64">
        <f>1/122</f>
        <v>8.1967213114754103E-3</v>
      </c>
      <c r="E8" s="81">
        <v>20000</v>
      </c>
      <c r="F8" s="85">
        <f>E8*D8</f>
        <v>163.9344262295082</v>
      </c>
      <c r="I8" s="123" t="s">
        <v>137</v>
      </c>
      <c r="J8" s="124">
        <f>(Compras!D4/2)+Compras!D5*4+0.5*Compras!D18+Compras!D19*0.33+Compras!D22*0.5+Compras!D16*0.5+Compras!D13/5</f>
        <v>23260</v>
      </c>
      <c r="K8" s="125" t="s">
        <v>146</v>
      </c>
    </row>
    <row r="9" spans="2:11" ht="15.75" thickBot="1" x14ac:dyDescent="0.3">
      <c r="B9" s="84" t="s">
        <v>115</v>
      </c>
      <c r="C9" s="64" t="s">
        <v>118</v>
      </c>
      <c r="D9" s="64">
        <f>D8</f>
        <v>8.1967213114754103E-3</v>
      </c>
      <c r="E9" s="81">
        <v>70000</v>
      </c>
      <c r="F9" s="85">
        <f t="shared" ref="F9:F11" si="0">E9*D9</f>
        <v>573.77049180327867</v>
      </c>
      <c r="I9" s="117" t="str">
        <f>I18</f>
        <v>Total Mes/Año 1</v>
      </c>
      <c r="J9" s="187">
        <f>SUM(J4:J8)</f>
        <v>3232853</v>
      </c>
      <c r="K9" s="2"/>
    </row>
    <row r="10" spans="2:11" ht="15.75" thickBot="1" x14ac:dyDescent="0.3">
      <c r="B10" s="84" t="s">
        <v>116</v>
      </c>
      <c r="C10" s="64" t="s">
        <v>119</v>
      </c>
      <c r="D10" s="64">
        <v>1</v>
      </c>
      <c r="E10" s="81">
        <v>50</v>
      </c>
      <c r="F10" s="85">
        <f t="shared" si="0"/>
        <v>50</v>
      </c>
      <c r="I10" s="117" t="str">
        <f t="shared" ref="I10:I13" si="1">I19</f>
        <v>Total Mes/Año 2</v>
      </c>
      <c r="J10" s="187">
        <f>J9*1.08</f>
        <v>3491481.24</v>
      </c>
      <c r="K10" s="116"/>
    </row>
    <row r="11" spans="2:11" ht="15.75" thickBot="1" x14ac:dyDescent="0.3">
      <c r="B11" s="84" t="s">
        <v>117</v>
      </c>
      <c r="C11" s="64" t="s">
        <v>118</v>
      </c>
      <c r="D11" s="64">
        <f>D9</f>
        <v>8.1967213114754103E-3</v>
      </c>
      <c r="E11" s="81">
        <f>E8</f>
        <v>20000</v>
      </c>
      <c r="F11" s="85">
        <f t="shared" si="0"/>
        <v>163.9344262295082</v>
      </c>
      <c r="I11" s="117" t="str">
        <f t="shared" si="1"/>
        <v>Total Mes/Año 3</v>
      </c>
      <c r="J11" s="187">
        <f t="shared" ref="J11:J13" si="2">J10*1.08</f>
        <v>3770799.7392000007</v>
      </c>
      <c r="K11" s="116"/>
    </row>
    <row r="12" spans="2:11" ht="15.75" thickBot="1" x14ac:dyDescent="0.3">
      <c r="B12" s="463" t="s">
        <v>37</v>
      </c>
      <c r="C12" s="472"/>
      <c r="D12" s="472"/>
      <c r="E12" s="473"/>
      <c r="F12" s="86">
        <f>SUM(F8:F11)</f>
        <v>951.63934426229503</v>
      </c>
      <c r="I12" s="117" t="str">
        <f t="shared" si="1"/>
        <v>Total Mes/Año 4</v>
      </c>
      <c r="J12" s="187">
        <f t="shared" si="2"/>
        <v>4072463.718336001</v>
      </c>
      <c r="K12" s="116"/>
    </row>
    <row r="13" spans="2:11" ht="15.75" thickBot="1" x14ac:dyDescent="0.3">
      <c r="I13" s="188" t="str">
        <f t="shared" si="1"/>
        <v>Total Mes/Año 5</v>
      </c>
      <c r="J13" s="189">
        <f t="shared" si="2"/>
        <v>4398260.8158028815</v>
      </c>
      <c r="K13" s="116"/>
    </row>
    <row r="14" spans="2:11" ht="15.75" thickBot="1" x14ac:dyDescent="0.3">
      <c r="I14" s="468" t="s">
        <v>142</v>
      </c>
      <c r="J14" s="469"/>
      <c r="K14" s="470"/>
    </row>
    <row r="15" spans="2:11" ht="15.75" thickBot="1" x14ac:dyDescent="0.3">
      <c r="B15" s="480" t="s">
        <v>123</v>
      </c>
      <c r="C15" s="481"/>
      <c r="D15" s="481"/>
      <c r="E15" s="482"/>
      <c r="G15" s="115">
        <f>SUM(E8:E11,D17:D18,D24:D26)</f>
        <v>3161400</v>
      </c>
      <c r="I15" s="190" t="s">
        <v>138</v>
      </c>
      <c r="J15" s="191" t="s">
        <v>139</v>
      </c>
      <c r="K15" s="192" t="s">
        <v>70</v>
      </c>
    </row>
    <row r="16" spans="2:11" ht="60" x14ac:dyDescent="0.25">
      <c r="B16" s="91" t="s">
        <v>70</v>
      </c>
      <c r="C16" s="90" t="s">
        <v>122</v>
      </c>
      <c r="D16" s="90" t="s">
        <v>124</v>
      </c>
      <c r="E16" s="92" t="s">
        <v>125</v>
      </c>
      <c r="G16" s="112"/>
      <c r="I16" s="130" t="s">
        <v>140</v>
      </c>
      <c r="J16" s="15">
        <v>350000</v>
      </c>
      <c r="K16" s="128" t="s">
        <v>148</v>
      </c>
    </row>
    <row r="17" spans="2:11" ht="15.75" thickBot="1" x14ac:dyDescent="0.3">
      <c r="B17" s="93" t="s">
        <v>120</v>
      </c>
      <c r="C17" s="82">
        <f>Procesos!M3/60</f>
        <v>0.26666666666666666</v>
      </c>
      <c r="D17" s="83">
        <v>1500000</v>
      </c>
      <c r="E17" s="94">
        <f>D17/(8*26)*C17</f>
        <v>1923.0769230769231</v>
      </c>
      <c r="I17" s="129" t="s">
        <v>141</v>
      </c>
      <c r="J17" s="16">
        <v>1100000</v>
      </c>
      <c r="K17" s="129" t="s">
        <v>147</v>
      </c>
    </row>
    <row r="18" spans="2:11" ht="15.75" thickBot="1" x14ac:dyDescent="0.3">
      <c r="B18" s="95" t="s">
        <v>121</v>
      </c>
      <c r="C18" s="96">
        <f>Procesos!M4/60</f>
        <v>0.55000000000000004</v>
      </c>
      <c r="D18" s="97">
        <v>1400000</v>
      </c>
      <c r="E18" s="98">
        <f>D18/(8*26)*C18</f>
        <v>3701.9230769230771</v>
      </c>
      <c r="I18" s="126" t="s">
        <v>228</v>
      </c>
      <c r="J18" s="127">
        <f>SUM(J16:J17)</f>
        <v>1450000</v>
      </c>
    </row>
    <row r="19" spans="2:11" ht="15.75" thickBot="1" x14ac:dyDescent="0.3">
      <c r="B19" s="450" t="s">
        <v>37</v>
      </c>
      <c r="C19" s="483"/>
      <c r="D19" s="451"/>
      <c r="E19" s="99">
        <f>E17+E18</f>
        <v>5625</v>
      </c>
      <c r="I19" s="126" t="s">
        <v>229</v>
      </c>
      <c r="J19" s="186">
        <f>J18*1.18</f>
        <v>1711000</v>
      </c>
      <c r="K19" s="114"/>
    </row>
    <row r="20" spans="2:11" ht="15.75" thickBot="1" x14ac:dyDescent="0.3">
      <c r="I20" s="126" t="s">
        <v>230</v>
      </c>
      <c r="J20" s="186">
        <f t="shared" ref="J20:J22" si="3">J19*1.18</f>
        <v>2018980</v>
      </c>
    </row>
    <row r="21" spans="2:11" ht="15.75" thickBot="1" x14ac:dyDescent="0.3">
      <c r="I21" s="126" t="s">
        <v>231</v>
      </c>
      <c r="J21" s="186">
        <f t="shared" si="3"/>
        <v>2382396.4</v>
      </c>
    </row>
    <row r="22" spans="2:11" ht="15.75" thickBot="1" x14ac:dyDescent="0.3">
      <c r="B22" s="484" t="s">
        <v>127</v>
      </c>
      <c r="C22" s="485"/>
      <c r="D22" s="485"/>
      <c r="E22" s="486"/>
      <c r="I22" s="126" t="s">
        <v>232</v>
      </c>
      <c r="J22" s="185">
        <f t="shared" si="3"/>
        <v>2811227.7519999999</v>
      </c>
    </row>
    <row r="23" spans="2:11" ht="26.25" thickBot="1" x14ac:dyDescent="0.3">
      <c r="B23" s="105" t="s">
        <v>70</v>
      </c>
      <c r="C23" s="106" t="s">
        <v>113</v>
      </c>
      <c r="D23" s="106" t="s">
        <v>71</v>
      </c>
      <c r="E23" s="107" t="s">
        <v>74</v>
      </c>
    </row>
    <row r="24" spans="2:11" x14ac:dyDescent="0.25">
      <c r="B24" s="101" t="s">
        <v>126</v>
      </c>
      <c r="C24" s="102">
        <v>0.01</v>
      </c>
      <c r="D24" s="103">
        <v>650</v>
      </c>
      <c r="E24" s="104">
        <f>C24*D24</f>
        <v>6.5</v>
      </c>
    </row>
    <row r="25" spans="2:11" x14ac:dyDescent="0.25">
      <c r="B25" s="101" t="s">
        <v>35</v>
      </c>
      <c r="C25" s="111">
        <f>1/122</f>
        <v>8.1967213114754103E-3</v>
      </c>
      <c r="D25" s="103">
        <v>150000</v>
      </c>
      <c r="E25" s="104">
        <f>D25*C25</f>
        <v>1229.5081967213116</v>
      </c>
    </row>
    <row r="26" spans="2:11" x14ac:dyDescent="0.25">
      <c r="B26" s="93" t="s">
        <v>128</v>
      </c>
      <c r="C26" s="82">
        <v>0.5</v>
      </c>
      <c r="D26" s="81">
        <v>700</v>
      </c>
      <c r="E26" s="85">
        <f t="shared" ref="E26" si="4">C26*D26</f>
        <v>350</v>
      </c>
    </row>
    <row r="27" spans="2:11" ht="15.75" thickBot="1" x14ac:dyDescent="0.3">
      <c r="B27" s="471" t="s">
        <v>37</v>
      </c>
      <c r="C27" s="472"/>
      <c r="D27" s="473"/>
      <c r="E27" s="100">
        <f>SUM(E24:E26)</f>
        <v>1586.0081967213116</v>
      </c>
    </row>
    <row r="30" spans="2:11" x14ac:dyDescent="0.25">
      <c r="B30" s="474" t="s">
        <v>134</v>
      </c>
      <c r="C30" s="475"/>
      <c r="D30" s="475"/>
      <c r="E30" s="475"/>
      <c r="F30" s="475"/>
      <c r="G30" s="476"/>
    </row>
    <row r="31" spans="2:11" x14ac:dyDescent="0.25">
      <c r="B31" s="82">
        <v>2022</v>
      </c>
      <c r="C31" s="82">
        <v>2023</v>
      </c>
      <c r="D31" s="82">
        <v>2024</v>
      </c>
      <c r="E31" s="82">
        <v>2025</v>
      </c>
      <c r="F31" s="82">
        <v>2026</v>
      </c>
      <c r="G31" s="82">
        <v>2027</v>
      </c>
    </row>
    <row r="32" spans="2:11" x14ac:dyDescent="0.25">
      <c r="B32" s="82">
        <v>0</v>
      </c>
      <c r="C32" s="81">
        <f>C44</f>
        <v>8162.6475409836066</v>
      </c>
      <c r="D32" s="81">
        <f>C32*1.08</f>
        <v>8815.6593442622961</v>
      </c>
      <c r="E32" s="81">
        <f t="shared" ref="E32:G32" si="5">D32*1.08</f>
        <v>9520.9120918032804</v>
      </c>
      <c r="F32" s="81">
        <f t="shared" si="5"/>
        <v>10282.585059147543</v>
      </c>
      <c r="G32" s="81">
        <f t="shared" si="5"/>
        <v>11105.191863879347</v>
      </c>
    </row>
    <row r="35" spans="2:7" x14ac:dyDescent="0.25">
      <c r="B35" s="474" t="s">
        <v>133</v>
      </c>
      <c r="C35" s="475"/>
      <c r="D35" s="475"/>
      <c r="E35" s="475"/>
      <c r="F35" s="475"/>
      <c r="G35" s="476"/>
    </row>
    <row r="36" spans="2:7" x14ac:dyDescent="0.25">
      <c r="B36" s="82">
        <v>2022</v>
      </c>
      <c r="C36" s="82">
        <v>2023</v>
      </c>
      <c r="D36" s="82">
        <v>2024</v>
      </c>
      <c r="E36" s="82">
        <v>2025</v>
      </c>
      <c r="F36" s="82">
        <v>2026</v>
      </c>
      <c r="G36" s="82">
        <v>2027</v>
      </c>
    </row>
    <row r="37" spans="2:7" x14ac:dyDescent="0.25">
      <c r="B37" s="82">
        <f>'[2]5, PROYECCIÓN DE VENTAS.'!D24*B32</f>
        <v>0</v>
      </c>
      <c r="C37" s="81">
        <f>C32*'Proyección de ventas'!D30</f>
        <v>31083361.836065575</v>
      </c>
      <c r="D37" s="81">
        <f>D32*'Proyección de ventas'!E30</f>
        <v>36927033.861245908</v>
      </c>
      <c r="E37" s="81">
        <f>E32*'Proyección de ventas'!F30</f>
        <v>43869316.227160141</v>
      </c>
      <c r="F37" s="81">
        <f>F32*'Proyección de ventas'!G30</f>
        <v>52116747.67786625</v>
      </c>
      <c r="G37" s="81">
        <f>G32*'Proyección de ventas'!H30</f>
        <v>61914696.241305113</v>
      </c>
    </row>
    <row r="39" spans="2:7" ht="15.75" thickBot="1" x14ac:dyDescent="0.3"/>
    <row r="40" spans="2:7" x14ac:dyDescent="0.25">
      <c r="B40" s="108" t="s">
        <v>206</v>
      </c>
      <c r="C40" s="109">
        <f>F12</f>
        <v>951.63934426229503</v>
      </c>
    </row>
    <row r="41" spans="2:7" x14ac:dyDescent="0.25">
      <c r="B41" s="19" t="s">
        <v>129</v>
      </c>
      <c r="C41" s="25">
        <f>E19</f>
        <v>5625</v>
      </c>
      <c r="E41">
        <f>85000*12.5%</f>
        <v>10625</v>
      </c>
    </row>
    <row r="42" spans="2:7" x14ac:dyDescent="0.25">
      <c r="B42" s="19" t="s">
        <v>130</v>
      </c>
      <c r="C42" s="113">
        <f>E27</f>
        <v>1586.0081967213116</v>
      </c>
      <c r="E42" s="114"/>
      <c r="G42" s="114"/>
    </row>
    <row r="43" spans="2:7" ht="15.75" thickBot="1" x14ac:dyDescent="0.3">
      <c r="B43" s="19" t="s">
        <v>131</v>
      </c>
      <c r="C43" s="25">
        <f>SUM(C40:C42)</f>
        <v>8162.6475409836066</v>
      </c>
    </row>
    <row r="44" spans="2:7" ht="15.75" thickBot="1" x14ac:dyDescent="0.3">
      <c r="B44" s="36" t="s">
        <v>132</v>
      </c>
      <c r="C44" s="110">
        <f>C43</f>
        <v>8162.6475409836066</v>
      </c>
    </row>
  </sheetData>
  <mergeCells count="11">
    <mergeCell ref="I2:K2"/>
    <mergeCell ref="I14:K14"/>
    <mergeCell ref="B27:D27"/>
    <mergeCell ref="B30:G30"/>
    <mergeCell ref="B35:G35"/>
    <mergeCell ref="B3:E3"/>
    <mergeCell ref="B6:F6"/>
    <mergeCell ref="B12:E12"/>
    <mergeCell ref="B15:E15"/>
    <mergeCell ref="B19:D19"/>
    <mergeCell ref="B22:E22"/>
  </mergeCells>
  <phoneticPr fontId="12"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110A-7E14-466C-9BE4-46CD644C8522}">
  <dimension ref="B1:O55"/>
  <sheetViews>
    <sheetView topLeftCell="A6" workbookViewId="0">
      <selection activeCell="D35" sqref="D35"/>
    </sheetView>
  </sheetViews>
  <sheetFormatPr baseColWidth="10" defaultRowHeight="15" x14ac:dyDescent="0.25"/>
  <cols>
    <col min="2" max="2" width="18.85546875" bestFit="1" customWidth="1"/>
    <col min="3" max="3" width="14.7109375" bestFit="1" customWidth="1"/>
    <col min="4" max="4" width="14" bestFit="1" customWidth="1"/>
    <col min="5" max="5" width="13.85546875" bestFit="1" customWidth="1"/>
    <col min="6" max="6" width="18" bestFit="1" customWidth="1"/>
    <col min="7" max="8" width="13.85546875" bestFit="1" customWidth="1"/>
    <col min="12" max="12" width="12" bestFit="1" customWidth="1"/>
  </cols>
  <sheetData>
    <row r="1" spans="2:10" ht="15.75" thickBot="1" x14ac:dyDescent="0.3"/>
    <row r="2" spans="2:10" ht="45.75" thickBot="1" x14ac:dyDescent="0.3">
      <c r="B2" s="490" t="s">
        <v>55</v>
      </c>
      <c r="C2" s="491"/>
      <c r="D2" s="492"/>
      <c r="F2" s="32" t="s">
        <v>60</v>
      </c>
      <c r="G2" s="32" t="s">
        <v>67</v>
      </c>
    </row>
    <row r="3" spans="2:10" ht="39" thickBot="1" x14ac:dyDescent="0.3">
      <c r="B3" s="37" t="s">
        <v>39</v>
      </c>
      <c r="C3" s="37" t="s">
        <v>40</v>
      </c>
      <c r="D3" s="37" t="s">
        <v>41</v>
      </c>
      <c r="F3" s="31">
        <v>0.08</v>
      </c>
      <c r="G3" s="31">
        <v>0.1</v>
      </c>
    </row>
    <row r="4" spans="2:10" x14ac:dyDescent="0.25">
      <c r="B4" s="27" t="s">
        <v>42</v>
      </c>
      <c r="C4" s="28">
        <f>D4*C16</f>
        <v>152.32</v>
      </c>
      <c r="D4" s="29">
        <v>0.04</v>
      </c>
      <c r="F4" s="30"/>
    </row>
    <row r="5" spans="2:10" x14ac:dyDescent="0.25">
      <c r="B5" s="27" t="s">
        <v>43</v>
      </c>
      <c r="C5" s="28">
        <f>D5*C16</f>
        <v>152.32</v>
      </c>
      <c r="D5" s="29">
        <v>0.04</v>
      </c>
    </row>
    <row r="6" spans="2:10" x14ac:dyDescent="0.25">
      <c r="B6" s="27" t="s">
        <v>44</v>
      </c>
      <c r="C6" s="28">
        <f t="shared" ref="C6:C15" si="0">$C$16*D6</f>
        <v>190.4</v>
      </c>
      <c r="D6" s="29">
        <v>0.05</v>
      </c>
    </row>
    <row r="7" spans="2:10" x14ac:dyDescent="0.25">
      <c r="B7" s="27" t="s">
        <v>45</v>
      </c>
      <c r="C7" s="28">
        <f t="shared" si="0"/>
        <v>228.48</v>
      </c>
      <c r="D7" s="29">
        <v>0.06</v>
      </c>
    </row>
    <row r="8" spans="2:10" x14ac:dyDescent="0.25">
      <c r="B8" s="27" t="s">
        <v>46</v>
      </c>
      <c r="C8" s="28">
        <f t="shared" si="0"/>
        <v>304.64</v>
      </c>
      <c r="D8" s="29">
        <v>0.08</v>
      </c>
    </row>
    <row r="9" spans="2:10" x14ac:dyDescent="0.25">
      <c r="B9" s="27" t="s">
        <v>47</v>
      </c>
      <c r="C9" s="28">
        <f t="shared" si="0"/>
        <v>342.71999999999997</v>
      </c>
      <c r="D9" s="29">
        <v>0.09</v>
      </c>
      <c r="J9">
        <f>365*4</f>
        <v>1460</v>
      </c>
    </row>
    <row r="10" spans="2:10" x14ac:dyDescent="0.25">
      <c r="B10" s="27" t="s">
        <v>48</v>
      </c>
      <c r="C10" s="28">
        <f t="shared" si="0"/>
        <v>342.71999999999997</v>
      </c>
      <c r="D10" s="29">
        <v>0.09</v>
      </c>
      <c r="E10" s="30"/>
      <c r="G10">
        <v>1000</v>
      </c>
    </row>
    <row r="11" spans="2:10" x14ac:dyDescent="0.25">
      <c r="B11" s="27" t="s">
        <v>49</v>
      </c>
      <c r="C11" s="28">
        <f t="shared" si="0"/>
        <v>380.8</v>
      </c>
      <c r="D11" s="29">
        <v>0.1</v>
      </c>
      <c r="G11">
        <v>12</v>
      </c>
    </row>
    <row r="12" spans="2:10" x14ac:dyDescent="0.25">
      <c r="B12" s="27" t="s">
        <v>50</v>
      </c>
      <c r="C12" s="28">
        <f t="shared" si="0"/>
        <v>380.8</v>
      </c>
      <c r="D12" s="29">
        <v>0.1</v>
      </c>
    </row>
    <row r="13" spans="2:10" x14ac:dyDescent="0.25">
      <c r="B13" s="27" t="s">
        <v>51</v>
      </c>
      <c r="C13" s="28">
        <f>C16*D13</f>
        <v>380.8</v>
      </c>
      <c r="D13" s="29">
        <v>0.1</v>
      </c>
    </row>
    <row r="14" spans="2:10" x14ac:dyDescent="0.25">
      <c r="B14" s="27" t="s">
        <v>52</v>
      </c>
      <c r="C14" s="28">
        <f t="shared" si="0"/>
        <v>456.96</v>
      </c>
      <c r="D14" s="29">
        <v>0.12</v>
      </c>
    </row>
    <row r="15" spans="2:10" x14ac:dyDescent="0.25">
      <c r="B15" s="27" t="s">
        <v>53</v>
      </c>
      <c r="C15" s="28">
        <f t="shared" si="0"/>
        <v>495.04</v>
      </c>
      <c r="D15" s="29">
        <v>0.13</v>
      </c>
    </row>
    <row r="16" spans="2:10" x14ac:dyDescent="0.25">
      <c r="B16" s="38" t="s">
        <v>54</v>
      </c>
      <c r="C16" s="38">
        <f>1904*2</f>
        <v>3808</v>
      </c>
      <c r="D16" s="39">
        <f>SUM(D4:D15)</f>
        <v>0.99999999999999989</v>
      </c>
    </row>
    <row r="17" spans="2:15" ht="15.75" thickBot="1" x14ac:dyDescent="0.3"/>
    <row r="18" spans="2:15" x14ac:dyDescent="0.25">
      <c r="B18" s="493" t="s">
        <v>56</v>
      </c>
      <c r="C18" s="494"/>
      <c r="D18" s="494"/>
      <c r="E18" s="494"/>
      <c r="F18" s="494"/>
      <c r="G18" s="494"/>
      <c r="H18" s="494"/>
      <c r="I18" s="494"/>
      <c r="J18" s="494"/>
      <c r="K18" s="494"/>
      <c r="L18" s="494"/>
      <c r="M18" s="494"/>
      <c r="N18" s="494"/>
      <c r="O18" s="495"/>
    </row>
    <row r="19" spans="2:15" x14ac:dyDescent="0.25">
      <c r="B19" s="40" t="s">
        <v>59</v>
      </c>
      <c r="C19" s="27" t="s">
        <v>42</v>
      </c>
      <c r="D19" s="27" t="s">
        <v>58</v>
      </c>
      <c r="E19" s="27" t="s">
        <v>44</v>
      </c>
      <c r="F19" s="27" t="s">
        <v>45</v>
      </c>
      <c r="G19" s="27" t="s">
        <v>46</v>
      </c>
      <c r="H19" s="27" t="s">
        <v>47</v>
      </c>
      <c r="I19" s="27" t="s">
        <v>48</v>
      </c>
      <c r="J19" s="27" t="s">
        <v>49</v>
      </c>
      <c r="K19" s="27" t="s">
        <v>50</v>
      </c>
      <c r="L19" s="27" t="s">
        <v>51</v>
      </c>
      <c r="M19" s="27" t="s">
        <v>52</v>
      </c>
      <c r="N19" s="27" t="s">
        <v>53</v>
      </c>
      <c r="O19" s="41" t="s">
        <v>54</v>
      </c>
    </row>
    <row r="20" spans="2:15" ht="15.75" thickBot="1" x14ac:dyDescent="0.3">
      <c r="B20" s="42" t="s">
        <v>55</v>
      </c>
      <c r="C20" s="43">
        <f>C4</f>
        <v>152.32</v>
      </c>
      <c r="D20" s="43">
        <f>C5</f>
        <v>152.32</v>
      </c>
      <c r="E20" s="43">
        <f>C6</f>
        <v>190.4</v>
      </c>
      <c r="F20" s="43">
        <f>C7</f>
        <v>228.48</v>
      </c>
      <c r="G20" s="43">
        <f>C8</f>
        <v>304.64</v>
      </c>
      <c r="H20" s="43">
        <f>C9</f>
        <v>342.71999999999997</v>
      </c>
      <c r="I20" s="43">
        <f>C10</f>
        <v>342.71999999999997</v>
      </c>
      <c r="J20" s="43">
        <f>C11</f>
        <v>380.8</v>
      </c>
      <c r="K20" s="43">
        <f>C12</f>
        <v>380.8</v>
      </c>
      <c r="L20" s="43">
        <f>C13</f>
        <v>380.8</v>
      </c>
      <c r="M20" s="43">
        <f>C14</f>
        <v>456.96</v>
      </c>
      <c r="N20" s="43">
        <f>C15</f>
        <v>495.04</v>
      </c>
      <c r="O20" s="44">
        <f t="shared" ref="O20" si="1">SUM(C20:N20)</f>
        <v>3808.0000000000005</v>
      </c>
    </row>
    <row r="22" spans="2:15" ht="15.75" thickBot="1" x14ac:dyDescent="0.3"/>
    <row r="23" spans="2:15" x14ac:dyDescent="0.25">
      <c r="B23" s="493" t="s">
        <v>65</v>
      </c>
      <c r="C23" s="494"/>
      <c r="D23" s="494"/>
      <c r="E23" s="494"/>
      <c r="F23" s="494"/>
      <c r="G23" s="494"/>
      <c r="H23" s="495"/>
    </row>
    <row r="24" spans="2:15" x14ac:dyDescent="0.25">
      <c r="B24" s="40" t="s">
        <v>61</v>
      </c>
      <c r="C24" s="27">
        <v>2022</v>
      </c>
      <c r="D24" s="27">
        <v>2023</v>
      </c>
      <c r="E24" s="27">
        <v>2024</v>
      </c>
      <c r="F24" s="27">
        <v>2025</v>
      </c>
      <c r="G24" s="27">
        <v>2026</v>
      </c>
      <c r="H24" s="41">
        <v>2027</v>
      </c>
    </row>
    <row r="25" spans="2:15" ht="15.75" customHeight="1" thickBot="1" x14ac:dyDescent="0.3">
      <c r="B25" s="42" t="s">
        <v>62</v>
      </c>
      <c r="C25" s="45">
        <v>0</v>
      </c>
      <c r="D25" s="45">
        <v>85000</v>
      </c>
      <c r="E25" s="45">
        <f>D25*$F$3+D25</f>
        <v>91800</v>
      </c>
      <c r="F25" s="45">
        <f t="shared" ref="F25:H25" si="2">E25*$F$3+E25</f>
        <v>99144</v>
      </c>
      <c r="G25" s="45">
        <f t="shared" si="2"/>
        <v>107075.52</v>
      </c>
      <c r="H25" s="46">
        <f t="shared" si="2"/>
        <v>115641.5616</v>
      </c>
      <c r="I25" s="33"/>
    </row>
    <row r="27" spans="2:15" ht="15.75" thickBot="1" x14ac:dyDescent="0.3"/>
    <row r="28" spans="2:15" x14ac:dyDescent="0.25">
      <c r="B28" s="496" t="s">
        <v>63</v>
      </c>
      <c r="C28" s="494"/>
      <c r="D28" s="494"/>
      <c r="E28" s="494"/>
      <c r="F28" s="494"/>
      <c r="G28" s="494"/>
      <c r="H28" s="495"/>
    </row>
    <row r="29" spans="2:15" x14ac:dyDescent="0.25">
      <c r="B29" s="40" t="s">
        <v>57</v>
      </c>
      <c r="C29" s="27">
        <v>2022</v>
      </c>
      <c r="D29" s="27">
        <v>2023</v>
      </c>
      <c r="E29" s="27">
        <v>2024</v>
      </c>
      <c r="F29" s="27">
        <v>2025</v>
      </c>
      <c r="G29" s="27">
        <v>2026</v>
      </c>
      <c r="H29" s="41">
        <v>2027</v>
      </c>
    </row>
    <row r="30" spans="2:15" ht="15.75" thickBot="1" x14ac:dyDescent="0.3">
      <c r="B30" s="42" t="s">
        <v>62</v>
      </c>
      <c r="C30" s="47">
        <v>0</v>
      </c>
      <c r="D30" s="48">
        <f>C16</f>
        <v>3808</v>
      </c>
      <c r="E30" s="49">
        <f>D30*1.1</f>
        <v>4188.8</v>
      </c>
      <c r="F30" s="49">
        <f>E30*1.1</f>
        <v>4607.68</v>
      </c>
      <c r="G30" s="49">
        <f>F30*1.1</f>
        <v>5068.4480000000003</v>
      </c>
      <c r="H30" s="50">
        <f>G30*1.1</f>
        <v>5575.2928000000011</v>
      </c>
      <c r="L30" s="33"/>
    </row>
    <row r="32" spans="2:15" ht="15.75" thickBot="1" x14ac:dyDescent="0.3"/>
    <row r="33" spans="2:8" x14ac:dyDescent="0.25">
      <c r="B33" s="496" t="s">
        <v>64</v>
      </c>
      <c r="C33" s="494"/>
      <c r="D33" s="494"/>
      <c r="E33" s="494"/>
      <c r="F33" s="494"/>
      <c r="G33" s="494"/>
      <c r="H33" s="495"/>
    </row>
    <row r="34" spans="2:8" x14ac:dyDescent="0.25">
      <c r="B34" s="40" t="s">
        <v>57</v>
      </c>
      <c r="C34" s="27">
        <v>2022</v>
      </c>
      <c r="D34" s="27">
        <v>2023</v>
      </c>
      <c r="E34" s="27">
        <v>2024</v>
      </c>
      <c r="F34" s="27">
        <v>2025</v>
      </c>
      <c r="G34" s="27">
        <v>2026</v>
      </c>
      <c r="H34" s="41">
        <v>2027</v>
      </c>
    </row>
    <row r="35" spans="2:8" ht="15.75" thickBot="1" x14ac:dyDescent="0.3">
      <c r="B35" s="42" t="s">
        <v>37</v>
      </c>
      <c r="C35" s="53">
        <v>0</v>
      </c>
      <c r="D35" s="45">
        <f>D30*D25</f>
        <v>323680000</v>
      </c>
      <c r="E35" s="45">
        <f t="shared" ref="E35:H35" si="3">E30*E25</f>
        <v>384531840</v>
      </c>
      <c r="F35" s="45">
        <f t="shared" si="3"/>
        <v>456823825.92000002</v>
      </c>
      <c r="G35" s="45">
        <f t="shared" si="3"/>
        <v>542706705.19296002</v>
      </c>
      <c r="H35" s="46">
        <f t="shared" si="3"/>
        <v>644735565.76923656</v>
      </c>
    </row>
    <row r="36" spans="2:8" ht="15" customHeight="1" thickBot="1" x14ac:dyDescent="0.3">
      <c r="B36" s="51" t="s">
        <v>66</v>
      </c>
      <c r="C36" s="488" t="s">
        <v>135</v>
      </c>
      <c r="D36" s="52"/>
    </row>
    <row r="37" spans="2:8" ht="15.75" thickBot="1" x14ac:dyDescent="0.3">
      <c r="C37" s="489"/>
      <c r="D37" s="35"/>
    </row>
    <row r="38" spans="2:8" x14ac:dyDescent="0.25">
      <c r="C38" s="34"/>
    </row>
    <row r="39" spans="2:8" x14ac:dyDescent="0.25">
      <c r="D39" s="33"/>
      <c r="E39" s="33"/>
      <c r="F39" s="33"/>
      <c r="G39" s="33"/>
      <c r="H39" s="33"/>
    </row>
    <row r="52" spans="2:3" x14ac:dyDescent="0.25">
      <c r="B52" s="487" t="s">
        <v>370</v>
      </c>
      <c r="C52" s="487"/>
    </row>
    <row r="53" spans="2:3" ht="45" x14ac:dyDescent="0.25">
      <c r="B53" s="2" t="s">
        <v>371</v>
      </c>
      <c r="C53" s="349" t="s">
        <v>372</v>
      </c>
    </row>
    <row r="54" spans="2:3" x14ac:dyDescent="0.25">
      <c r="B54" s="2" t="s">
        <v>70</v>
      </c>
      <c r="C54" s="2"/>
    </row>
    <row r="55" spans="2:3" x14ac:dyDescent="0.25">
      <c r="B55" t="s">
        <v>373</v>
      </c>
    </row>
  </sheetData>
  <mergeCells count="7">
    <mergeCell ref="B52:C52"/>
    <mergeCell ref="C36:C37"/>
    <mergeCell ref="B2:D2"/>
    <mergeCell ref="B18:O18"/>
    <mergeCell ref="B23:H23"/>
    <mergeCell ref="B28:H28"/>
    <mergeCell ref="B33:H3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5AE9-C597-40B3-B02C-57661FC190D7}">
  <dimension ref="A1:M21"/>
  <sheetViews>
    <sheetView workbookViewId="0">
      <selection activeCell="G13" sqref="G13:H19"/>
    </sheetView>
  </sheetViews>
  <sheetFormatPr baseColWidth="10" defaultRowHeight="15" x14ac:dyDescent="0.25"/>
  <cols>
    <col min="2" max="2" width="22.140625" bestFit="1" customWidth="1"/>
    <col min="3" max="3" width="15.5703125" bestFit="1" customWidth="1"/>
    <col min="4" max="4" width="21.5703125" bestFit="1" customWidth="1"/>
    <col min="5" max="5" width="16.7109375" bestFit="1" customWidth="1"/>
    <col min="6" max="6" width="22.140625" bestFit="1" customWidth="1"/>
    <col min="7" max="7" width="36" bestFit="1" customWidth="1"/>
    <col min="8" max="8" width="22.140625" bestFit="1" customWidth="1"/>
    <col min="9" max="9" width="15.5703125" bestFit="1" customWidth="1"/>
    <col min="10" max="10" width="22.140625" bestFit="1" customWidth="1"/>
    <col min="11" max="11" width="15.5703125" bestFit="1" customWidth="1"/>
    <col min="12" max="12" width="22.140625" bestFit="1" customWidth="1"/>
    <col min="13" max="13" width="15.5703125" bestFit="1" customWidth="1"/>
  </cols>
  <sheetData>
    <row r="1" spans="1:13" ht="15.75" thickBot="1" x14ac:dyDescent="0.3"/>
    <row r="2" spans="1:13" ht="15.75" thickBot="1" x14ac:dyDescent="0.3">
      <c r="B2" s="499" t="s">
        <v>305</v>
      </c>
      <c r="C2" s="500"/>
      <c r="D2" s="499" t="s">
        <v>205</v>
      </c>
      <c r="E2" s="500"/>
      <c r="F2" s="499" t="s">
        <v>254</v>
      </c>
      <c r="G2" s="500"/>
      <c r="H2" s="499" t="s">
        <v>255</v>
      </c>
      <c r="I2" s="500"/>
      <c r="J2" s="499" t="s">
        <v>256</v>
      </c>
      <c r="K2" s="500"/>
      <c r="L2" s="499" t="s">
        <v>257</v>
      </c>
      <c r="M2" s="500"/>
    </row>
    <row r="3" spans="1:13" x14ac:dyDescent="0.25">
      <c r="B3" s="156" t="s">
        <v>202</v>
      </c>
      <c r="C3" s="152">
        <f>-E9</f>
        <v>41773000</v>
      </c>
      <c r="D3" s="156" t="s">
        <v>202</v>
      </c>
      <c r="E3" s="152">
        <f>(Gastos!C7+Gastos!G3+Gastos!G4*2+Gastos!G5*2+Gastos!G6*2+Costeo!J6*12+Costeo!J7*6+Costeo!J18*12)-C3</f>
        <v>35578516</v>
      </c>
      <c r="F3" s="156" t="s">
        <v>202</v>
      </c>
      <c r="G3" s="152">
        <f>(E3)*1.08</f>
        <v>38424797.280000001</v>
      </c>
      <c r="H3" s="156" t="s">
        <v>202</v>
      </c>
      <c r="I3" s="152">
        <f>G3*1.08</f>
        <v>41498781.062400006</v>
      </c>
      <c r="J3" s="156" t="s">
        <v>202</v>
      </c>
      <c r="K3" s="152">
        <f>I3*1.08</f>
        <v>44818683.547392011</v>
      </c>
      <c r="L3" s="156" t="s">
        <v>202</v>
      </c>
      <c r="M3" s="152">
        <f>K3*1.08</f>
        <v>48404178.231183372</v>
      </c>
    </row>
    <row r="4" spans="1:13" x14ac:dyDescent="0.25">
      <c r="B4" s="157" t="s">
        <v>203</v>
      </c>
      <c r="C4" s="25">
        <v>0</v>
      </c>
      <c r="D4" s="157" t="s">
        <v>203</v>
      </c>
      <c r="E4" s="25">
        <f>'Proyección de ventas'!D35*0.2</f>
        <v>64736000</v>
      </c>
      <c r="F4" s="157" t="s">
        <v>203</v>
      </c>
      <c r="G4" s="25">
        <f>E4*1.1</f>
        <v>71209600</v>
      </c>
      <c r="H4" s="157" t="s">
        <v>203</v>
      </c>
      <c r="I4" s="25">
        <f>G4*1.1</f>
        <v>78330560</v>
      </c>
      <c r="J4" s="157" t="s">
        <v>203</v>
      </c>
      <c r="K4" s="25">
        <f>I4*1.1</f>
        <v>86163616</v>
      </c>
      <c r="L4" s="157" t="s">
        <v>203</v>
      </c>
      <c r="M4" s="25">
        <f>K4*1.1</f>
        <v>94779977.600000009</v>
      </c>
    </row>
    <row r="5" spans="1:13" ht="15.75" thickBot="1" x14ac:dyDescent="0.3">
      <c r="B5" s="158" t="s">
        <v>204</v>
      </c>
      <c r="C5" s="151">
        <f>C4-C3</f>
        <v>-41773000</v>
      </c>
      <c r="D5" s="158" t="s">
        <v>204</v>
      </c>
      <c r="E5" s="151">
        <f>E4-E3</f>
        <v>29157484</v>
      </c>
      <c r="F5" s="158" t="s">
        <v>204</v>
      </c>
      <c r="G5" s="151">
        <f>G4-G3</f>
        <v>32784802.719999999</v>
      </c>
      <c r="H5" s="158" t="s">
        <v>204</v>
      </c>
      <c r="I5" s="151">
        <f>I4-I3</f>
        <v>36831778.937599994</v>
      </c>
      <c r="J5" s="158" t="s">
        <v>204</v>
      </c>
      <c r="K5" s="151">
        <f>K4-K3</f>
        <v>41344932.452607989</v>
      </c>
      <c r="L5" s="158" t="s">
        <v>204</v>
      </c>
      <c r="M5" s="151">
        <f>M4-M3</f>
        <v>46375799.368816637</v>
      </c>
    </row>
    <row r="6" spans="1:13" x14ac:dyDescent="0.25">
      <c r="E6" s="114"/>
    </row>
    <row r="8" spans="1:13" x14ac:dyDescent="0.25">
      <c r="C8" s="133"/>
      <c r="D8" s="227" t="s">
        <v>258</v>
      </c>
      <c r="E8" t="s">
        <v>237</v>
      </c>
      <c r="G8" s="357" t="s">
        <v>487</v>
      </c>
      <c r="H8" s="439">
        <f>'Cálculo WACC 5'!B16</f>
        <v>6.294409890904859E-2</v>
      </c>
    </row>
    <row r="9" spans="1:13" x14ac:dyDescent="0.25">
      <c r="C9" s="1"/>
      <c r="D9">
        <v>0</v>
      </c>
      <c r="E9" s="114">
        <f>-Gastos!E10</f>
        <v>-41773000</v>
      </c>
      <c r="G9" s="357" t="s">
        <v>485</v>
      </c>
      <c r="H9" s="440">
        <v>0.109</v>
      </c>
    </row>
    <row r="10" spans="1:13" x14ac:dyDescent="0.25">
      <c r="A10" s="358"/>
      <c r="B10" s="358"/>
      <c r="D10">
        <v>1</v>
      </c>
      <c r="E10" s="114">
        <f>E5</f>
        <v>29157484</v>
      </c>
      <c r="G10" s="357" t="s">
        <v>484</v>
      </c>
      <c r="H10" s="134" t="s">
        <v>486</v>
      </c>
    </row>
    <row r="11" spans="1:13" x14ac:dyDescent="0.25">
      <c r="A11" s="358"/>
      <c r="B11" s="358"/>
      <c r="C11" s="1"/>
      <c r="D11">
        <v>2</v>
      </c>
      <c r="E11" s="114">
        <f>G5</f>
        <v>32784802.719999999</v>
      </c>
      <c r="F11" s="358"/>
    </row>
    <row r="12" spans="1:13" ht="15.75" thickBot="1" x14ac:dyDescent="0.3">
      <c r="A12" s="358"/>
      <c r="B12" s="358"/>
      <c r="D12">
        <v>3</v>
      </c>
      <c r="E12" s="114">
        <f>I5</f>
        <v>36831778.937599994</v>
      </c>
      <c r="F12" s="358"/>
    </row>
    <row r="13" spans="1:13" ht="15.75" thickBot="1" x14ac:dyDescent="0.3">
      <c r="D13">
        <v>4</v>
      </c>
      <c r="E13" s="114">
        <f>K5</f>
        <v>41344932.452607989</v>
      </c>
      <c r="F13" s="358"/>
      <c r="G13" s="497" t="s">
        <v>489</v>
      </c>
      <c r="H13" s="498"/>
    </row>
    <row r="14" spans="1:13" ht="15.75" thickBot="1" x14ac:dyDescent="0.3">
      <c r="D14">
        <v>5</v>
      </c>
      <c r="E14" s="114">
        <f>M5</f>
        <v>46375799.368816637</v>
      </c>
      <c r="F14" s="358"/>
      <c r="G14" s="442" t="s">
        <v>488</v>
      </c>
      <c r="H14" s="443" t="s">
        <v>234</v>
      </c>
    </row>
    <row r="15" spans="1:13" x14ac:dyDescent="0.25">
      <c r="D15" t="s">
        <v>302</v>
      </c>
      <c r="E15" s="114">
        <f>NPV(H8,E10:E14)+E9</f>
        <v>111908397.39554194</v>
      </c>
      <c r="F15" s="358"/>
      <c r="G15" s="3">
        <v>1.19</v>
      </c>
      <c r="H15" s="121">
        <v>1</v>
      </c>
    </row>
    <row r="16" spans="1:13" x14ac:dyDescent="0.25">
      <c r="D16" t="s">
        <v>301</v>
      </c>
      <c r="E16" s="1">
        <f>IRR(E9:E14)</f>
        <v>0.74423089313511226</v>
      </c>
      <c r="G16" s="3">
        <f>G15*1.1</f>
        <v>1.3089999999999999</v>
      </c>
      <c r="H16" s="121">
        <v>2</v>
      </c>
    </row>
    <row r="17" spans="4:8" x14ac:dyDescent="0.25">
      <c r="D17" t="s">
        <v>260</v>
      </c>
      <c r="G17" s="3">
        <f t="shared" ref="G17:G19" si="0">G16*1.1</f>
        <v>1.4399</v>
      </c>
      <c r="H17" s="121">
        <v>3</v>
      </c>
    </row>
    <row r="18" spans="4:8" x14ac:dyDescent="0.25">
      <c r="G18" s="3">
        <f t="shared" si="0"/>
        <v>1.58389</v>
      </c>
      <c r="H18" s="121">
        <v>4</v>
      </c>
    </row>
    <row r="19" spans="4:8" ht="15.75" thickBot="1" x14ac:dyDescent="0.3">
      <c r="G19" s="4">
        <f t="shared" si="0"/>
        <v>1.7422790000000001</v>
      </c>
      <c r="H19" s="441">
        <v>5</v>
      </c>
    </row>
    <row r="20" spans="4:8" x14ac:dyDescent="0.25">
      <c r="E20" s="114">
        <f>E4-E3</f>
        <v>29157484</v>
      </c>
    </row>
    <row r="21" spans="4:8" x14ac:dyDescent="0.25">
      <c r="E21">
        <f>E20/E4</f>
        <v>0.45040601828966881</v>
      </c>
    </row>
  </sheetData>
  <mergeCells count="7">
    <mergeCell ref="G13:H13"/>
    <mergeCell ref="L2:M2"/>
    <mergeCell ref="B2:C2"/>
    <mergeCell ref="D2:E2"/>
    <mergeCell ref="F2:G2"/>
    <mergeCell ref="H2:I2"/>
    <mergeCell ref="J2:K2"/>
  </mergeCells>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EAB59-977A-42E2-ADB6-FC55DF396EEC}">
  <dimension ref="B3:N7"/>
  <sheetViews>
    <sheetView workbookViewId="0">
      <selection activeCell="E11" sqref="E11"/>
    </sheetView>
  </sheetViews>
  <sheetFormatPr baseColWidth="10" defaultRowHeight="15" x14ac:dyDescent="0.25"/>
  <cols>
    <col min="2" max="2" width="19" bestFit="1" customWidth="1"/>
    <col min="3" max="3" width="5.85546875" bestFit="1" customWidth="1"/>
    <col min="4" max="4" width="7.28515625" bestFit="1" customWidth="1"/>
    <col min="5" max="5" width="6.140625" bestFit="1" customWidth="1"/>
    <col min="6" max="6" width="5" bestFit="1" customWidth="1"/>
    <col min="7" max="7" width="5.5703125" bestFit="1" customWidth="1"/>
    <col min="8" max="9" width="5" bestFit="1" customWidth="1"/>
    <col min="10" max="10" width="6.5703125" bestFit="1" customWidth="1"/>
    <col min="11" max="11" width="10.140625" bestFit="1" customWidth="1"/>
    <col min="13" max="13" width="14.5703125" bestFit="1" customWidth="1"/>
    <col min="14" max="14" width="9" bestFit="1" customWidth="1"/>
  </cols>
  <sheetData>
    <row r="3" spans="2:14" x14ac:dyDescent="0.25">
      <c r="B3" s="501" t="s">
        <v>200</v>
      </c>
      <c r="C3" s="502"/>
      <c r="D3" s="502"/>
      <c r="E3" s="502"/>
      <c r="F3" s="502"/>
      <c r="G3" s="502"/>
      <c r="H3" s="502"/>
      <c r="I3" s="503"/>
      <c r="J3" s="504" t="s">
        <v>199</v>
      </c>
      <c r="K3" s="503"/>
      <c r="L3" s="143">
        <f>Procesos!Q3</f>
        <v>0.40833333333333333</v>
      </c>
      <c r="M3" s="148" t="s">
        <v>178</v>
      </c>
      <c r="N3" s="144">
        <v>2</v>
      </c>
    </row>
    <row r="4" spans="2:14" x14ac:dyDescent="0.25">
      <c r="B4" s="145" t="s">
        <v>179</v>
      </c>
      <c r="C4" s="145" t="s">
        <v>42</v>
      </c>
      <c r="D4" s="145" t="s">
        <v>58</v>
      </c>
      <c r="E4" s="145" t="s">
        <v>180</v>
      </c>
      <c r="F4" s="145" t="s">
        <v>181</v>
      </c>
      <c r="G4" s="145" t="s">
        <v>182</v>
      </c>
      <c r="H4" s="145" t="s">
        <v>183</v>
      </c>
      <c r="I4" s="145" t="s">
        <v>184</v>
      </c>
      <c r="J4" s="145" t="s">
        <v>185</v>
      </c>
      <c r="K4" s="145" t="s">
        <v>186</v>
      </c>
      <c r="L4" s="145" t="s">
        <v>187</v>
      </c>
      <c r="M4" s="145" t="s">
        <v>188</v>
      </c>
      <c r="N4" s="145" t="s">
        <v>189</v>
      </c>
    </row>
    <row r="5" spans="2:14" x14ac:dyDescent="0.25">
      <c r="B5" s="27" t="s">
        <v>190</v>
      </c>
      <c r="C5" s="28">
        <f>'Proyección de ventas'!C4</f>
        <v>152.32</v>
      </c>
      <c r="D5" s="28">
        <f>'Proyección de ventas'!C5</f>
        <v>152.32</v>
      </c>
      <c r="E5" s="28">
        <f>'Proyección de ventas'!C6</f>
        <v>190.4</v>
      </c>
      <c r="F5" s="28">
        <f>'Proyección de ventas'!C7</f>
        <v>228.48</v>
      </c>
      <c r="G5" s="28">
        <f>'Proyección de ventas'!C8</f>
        <v>304.64</v>
      </c>
      <c r="H5" s="28">
        <f>'Proyección de ventas'!C9</f>
        <v>342.71999999999997</v>
      </c>
      <c r="I5" s="28">
        <f>'Proyección de ventas'!C10</f>
        <v>342.71999999999997</v>
      </c>
      <c r="J5" s="28">
        <f>'Proyección de ventas'!C11</f>
        <v>380.8</v>
      </c>
      <c r="K5" s="28">
        <f>'Proyección de ventas'!C12</f>
        <v>380.8</v>
      </c>
      <c r="L5" s="28">
        <f>'Proyección de ventas'!C13</f>
        <v>380.8</v>
      </c>
      <c r="M5" s="28">
        <f>'Proyección de ventas'!C14</f>
        <v>456.96</v>
      </c>
      <c r="N5" s="28">
        <f>'Proyección de ventas'!C15</f>
        <v>495.04</v>
      </c>
    </row>
    <row r="6" spans="2:14" x14ac:dyDescent="0.25">
      <c r="B6" s="27" t="s">
        <v>191</v>
      </c>
      <c r="C6" s="28">
        <f>((8*$N$3)/$L$3)*26</f>
        <v>1018.7755102040817</v>
      </c>
      <c r="D6" s="28">
        <f t="shared" ref="D6:N6" si="0">((8*$N$3)/$L$3)*26</f>
        <v>1018.7755102040817</v>
      </c>
      <c r="E6" s="28">
        <f t="shared" si="0"/>
        <v>1018.7755102040817</v>
      </c>
      <c r="F6" s="28">
        <f t="shared" si="0"/>
        <v>1018.7755102040817</v>
      </c>
      <c r="G6" s="28">
        <f t="shared" si="0"/>
        <v>1018.7755102040817</v>
      </c>
      <c r="H6" s="28">
        <f t="shared" si="0"/>
        <v>1018.7755102040817</v>
      </c>
      <c r="I6" s="28">
        <f t="shared" si="0"/>
        <v>1018.7755102040817</v>
      </c>
      <c r="J6" s="28">
        <f t="shared" si="0"/>
        <v>1018.7755102040817</v>
      </c>
      <c r="K6" s="28">
        <f t="shared" si="0"/>
        <v>1018.7755102040817</v>
      </c>
      <c r="L6" s="28">
        <f t="shared" si="0"/>
        <v>1018.7755102040817</v>
      </c>
      <c r="M6" s="28">
        <f t="shared" si="0"/>
        <v>1018.7755102040817</v>
      </c>
      <c r="N6" s="28">
        <f t="shared" si="0"/>
        <v>1018.7755102040817</v>
      </c>
    </row>
    <row r="7" spans="2:14" ht="39" x14ac:dyDescent="0.25">
      <c r="B7" s="147" t="s">
        <v>201</v>
      </c>
      <c r="C7" s="28">
        <f>C5-C6</f>
        <v>-866.45551020408175</v>
      </c>
      <c r="D7" s="28">
        <f t="shared" ref="D7:N7" si="1">D5-D6</f>
        <v>-866.45551020408175</v>
      </c>
      <c r="E7" s="28">
        <f t="shared" si="1"/>
        <v>-828.37551020408171</v>
      </c>
      <c r="F7" s="28">
        <f t="shared" si="1"/>
        <v>-790.29551020408167</v>
      </c>
      <c r="G7" s="28">
        <f t="shared" si="1"/>
        <v>-714.1355102040817</v>
      </c>
      <c r="H7" s="28">
        <f t="shared" si="1"/>
        <v>-676.05551020408166</v>
      </c>
      <c r="I7" s="28">
        <f t="shared" si="1"/>
        <v>-676.05551020408166</v>
      </c>
      <c r="J7" s="28">
        <f t="shared" si="1"/>
        <v>-637.97551020408173</v>
      </c>
      <c r="K7" s="28">
        <f t="shared" si="1"/>
        <v>-637.97551020408173</v>
      </c>
      <c r="L7" s="28">
        <f t="shared" si="1"/>
        <v>-637.97551020408173</v>
      </c>
      <c r="M7" s="28">
        <f t="shared" si="1"/>
        <v>-561.81551020408165</v>
      </c>
      <c r="N7" s="28">
        <f t="shared" si="1"/>
        <v>-523.73551020408172</v>
      </c>
    </row>
  </sheetData>
  <mergeCells count="2">
    <mergeCell ref="B3:I3"/>
    <mergeCell ref="J3: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7886-AFC6-4F31-B369-7692B533C84A}">
  <dimension ref="B1:Q15"/>
  <sheetViews>
    <sheetView zoomScale="75" zoomScaleNormal="75" workbookViewId="0">
      <selection activeCell="J11" sqref="J11"/>
    </sheetView>
  </sheetViews>
  <sheetFormatPr baseColWidth="10" defaultRowHeight="15" x14ac:dyDescent="0.25"/>
  <cols>
    <col min="2" max="2" width="14.5703125" bestFit="1" customWidth="1"/>
    <col min="3" max="3" width="14" bestFit="1" customWidth="1"/>
    <col min="4" max="4" width="11.140625" bestFit="1" customWidth="1"/>
    <col min="5" max="5" width="11.7109375" bestFit="1" customWidth="1"/>
    <col min="6" max="6" width="11.28515625" bestFit="1" customWidth="1"/>
    <col min="9" max="10" width="23.5703125" bestFit="1" customWidth="1"/>
    <col min="12" max="12" width="13.140625" bestFit="1" customWidth="1"/>
    <col min="13" max="13" width="22" bestFit="1" customWidth="1"/>
    <col min="14" max="14" width="19.5703125" bestFit="1" customWidth="1"/>
    <col min="15" max="15" width="16.85546875" bestFit="1" customWidth="1"/>
    <col min="16" max="16" width="43.140625" bestFit="1" customWidth="1"/>
    <col min="17" max="17" width="18.7109375" bestFit="1" customWidth="1"/>
  </cols>
  <sheetData>
    <row r="1" spans="2:17" ht="16.5" thickBot="1" x14ac:dyDescent="0.3">
      <c r="B1" s="505" t="s">
        <v>156</v>
      </c>
      <c r="C1" s="506"/>
      <c r="D1" s="506"/>
      <c r="E1" s="506"/>
      <c r="F1" s="506"/>
      <c r="G1" s="506"/>
      <c r="H1" s="506"/>
      <c r="I1" s="506"/>
      <c r="J1" s="507"/>
    </row>
    <row r="2" spans="2:17" ht="16.5" thickBot="1" x14ac:dyDescent="0.3">
      <c r="B2" s="9" t="s">
        <v>0</v>
      </c>
      <c r="C2" s="10" t="s">
        <v>1</v>
      </c>
      <c r="D2" s="10" t="s">
        <v>2</v>
      </c>
      <c r="E2" s="10" t="s">
        <v>3</v>
      </c>
      <c r="F2" s="10" t="s">
        <v>4</v>
      </c>
      <c r="G2" s="10" t="s">
        <v>5</v>
      </c>
      <c r="H2" s="10" t="s">
        <v>6</v>
      </c>
      <c r="I2" s="11" t="s">
        <v>7</v>
      </c>
      <c r="J2" s="11" t="s">
        <v>158</v>
      </c>
      <c r="L2" s="146" t="s">
        <v>192</v>
      </c>
      <c r="M2" s="146" t="s">
        <v>197</v>
      </c>
      <c r="N2" s="146" t="s">
        <v>193</v>
      </c>
      <c r="O2" s="146" t="s">
        <v>194</v>
      </c>
      <c r="P2" s="146" t="s">
        <v>195</v>
      </c>
      <c r="Q2" s="146" t="s">
        <v>198</v>
      </c>
    </row>
    <row r="3" spans="2:17" ht="45" x14ac:dyDescent="0.25">
      <c r="B3" s="6" t="s">
        <v>157</v>
      </c>
      <c r="C3" s="7">
        <v>5</v>
      </c>
      <c r="D3" s="7"/>
      <c r="E3" s="7"/>
      <c r="F3" s="7"/>
      <c r="G3" s="7"/>
      <c r="H3" s="7"/>
      <c r="I3" s="12" t="s">
        <v>11</v>
      </c>
      <c r="J3" s="12" t="s">
        <v>159</v>
      </c>
      <c r="L3" t="s">
        <v>120</v>
      </c>
      <c r="M3">
        <f>C3+C4+C15</f>
        <v>16</v>
      </c>
      <c r="N3">
        <f>60*8</f>
        <v>480</v>
      </c>
      <c r="O3">
        <f>N3/M3</f>
        <v>30</v>
      </c>
      <c r="P3">
        <f>AVERAGE(O3:O4)</f>
        <v>22.272727272727273</v>
      </c>
      <c r="Q3">
        <f>M5/60</f>
        <v>0.40833333333333333</v>
      </c>
    </row>
    <row r="4" spans="2:17" ht="60" x14ac:dyDescent="0.25">
      <c r="B4" s="6" t="s">
        <v>157</v>
      </c>
      <c r="C4" s="7">
        <v>1</v>
      </c>
      <c r="D4" s="7"/>
      <c r="E4" s="7"/>
      <c r="F4" s="7"/>
      <c r="G4" s="7"/>
      <c r="H4" s="7"/>
      <c r="I4" s="12" t="s">
        <v>12</v>
      </c>
      <c r="J4" s="12" t="s">
        <v>160</v>
      </c>
      <c r="L4" t="s">
        <v>121</v>
      </c>
      <c r="M4">
        <f>C7+C8+C9+C14+C15</f>
        <v>33</v>
      </c>
      <c r="N4">
        <f>60*8</f>
        <v>480</v>
      </c>
      <c r="O4">
        <f>N4/M4</f>
        <v>14.545454545454545</v>
      </c>
    </row>
    <row r="5" spans="2:17" ht="45" x14ac:dyDescent="0.25">
      <c r="B5" s="6" t="s">
        <v>157</v>
      </c>
      <c r="C5" s="7">
        <v>20</v>
      </c>
      <c r="D5" s="7"/>
      <c r="E5" s="7"/>
      <c r="F5" s="7"/>
      <c r="G5" s="7"/>
      <c r="H5" s="7"/>
      <c r="I5" s="12" t="s">
        <v>13</v>
      </c>
      <c r="J5" s="12" t="s">
        <v>161</v>
      </c>
      <c r="L5" t="s">
        <v>196</v>
      </c>
      <c r="M5">
        <f>AVERAGE(M3:M4)</f>
        <v>24.5</v>
      </c>
    </row>
    <row r="6" spans="2:17" ht="60" x14ac:dyDescent="0.25">
      <c r="B6" s="6" t="s">
        <v>157</v>
      </c>
      <c r="C6" s="7">
        <v>10</v>
      </c>
      <c r="D6" s="7"/>
      <c r="E6" s="7"/>
      <c r="F6" s="7"/>
      <c r="G6" s="7"/>
      <c r="H6" s="7"/>
      <c r="I6" s="12" t="s">
        <v>8</v>
      </c>
      <c r="J6" s="12" t="s">
        <v>162</v>
      </c>
    </row>
    <row r="7" spans="2:17" ht="45" x14ac:dyDescent="0.25">
      <c r="B7" s="6" t="s">
        <v>157</v>
      </c>
      <c r="C7" s="7">
        <v>6</v>
      </c>
      <c r="D7" s="7"/>
      <c r="E7" s="7"/>
      <c r="F7" s="7"/>
      <c r="G7" s="7"/>
      <c r="H7" s="7"/>
      <c r="I7" s="13" t="s">
        <v>9</v>
      </c>
      <c r="J7" s="13" t="s">
        <v>163</v>
      </c>
    </row>
    <row r="8" spans="2:17" ht="60" x14ac:dyDescent="0.25">
      <c r="B8" s="6" t="s">
        <v>157</v>
      </c>
      <c r="C8" s="7">
        <v>5</v>
      </c>
      <c r="D8" s="7"/>
      <c r="E8" s="7"/>
      <c r="F8" s="7"/>
      <c r="G8" s="7"/>
      <c r="H8" s="7"/>
      <c r="I8" s="13" t="s">
        <v>10</v>
      </c>
      <c r="J8" s="13" t="s">
        <v>164</v>
      </c>
    </row>
    <row r="9" spans="2:17" ht="47.25" customHeight="1" x14ac:dyDescent="0.25">
      <c r="B9" s="6" t="s">
        <v>157</v>
      </c>
      <c r="C9" s="7">
        <v>2</v>
      </c>
      <c r="D9" s="7"/>
      <c r="E9" s="7"/>
      <c r="F9" s="7"/>
      <c r="G9" s="7"/>
      <c r="H9" s="7"/>
      <c r="I9" s="13" t="s">
        <v>14</v>
      </c>
      <c r="J9" s="13" t="s">
        <v>165</v>
      </c>
    </row>
    <row r="10" spans="2:17" ht="43.5" customHeight="1" x14ac:dyDescent="0.25">
      <c r="B10" s="6" t="s">
        <v>157</v>
      </c>
      <c r="C10" s="7">
        <v>30</v>
      </c>
      <c r="D10" s="7"/>
      <c r="E10" s="7"/>
      <c r="F10" s="7"/>
      <c r="G10" s="7"/>
      <c r="H10" s="7"/>
      <c r="I10" s="13" t="s">
        <v>15</v>
      </c>
      <c r="J10" s="13" t="s">
        <v>166</v>
      </c>
    </row>
    <row r="11" spans="2:17" ht="41.25" customHeight="1" x14ac:dyDescent="0.25">
      <c r="B11" s="6" t="s">
        <v>157</v>
      </c>
      <c r="C11" s="7">
        <v>1</v>
      </c>
      <c r="D11" s="7"/>
      <c r="E11" s="7"/>
      <c r="F11" s="7"/>
      <c r="G11" s="7"/>
      <c r="H11" s="7"/>
      <c r="I11" s="13" t="s">
        <v>16</v>
      </c>
      <c r="J11" s="13" t="s">
        <v>167</v>
      </c>
    </row>
    <row r="12" spans="2:17" ht="51" customHeight="1" x14ac:dyDescent="0.25">
      <c r="B12" s="6" t="s">
        <v>157</v>
      </c>
      <c r="C12" s="7" t="s">
        <v>21</v>
      </c>
      <c r="D12" s="7"/>
      <c r="E12" s="7"/>
      <c r="F12" s="7"/>
      <c r="G12" s="7"/>
      <c r="H12" s="7"/>
      <c r="I12" s="5" t="s">
        <v>17</v>
      </c>
      <c r="J12" s="5" t="s">
        <v>171</v>
      </c>
    </row>
    <row r="13" spans="2:17" ht="56.25" customHeight="1" x14ac:dyDescent="0.25">
      <c r="B13" s="6" t="s">
        <v>157</v>
      </c>
      <c r="C13" s="7">
        <v>10</v>
      </c>
      <c r="D13" s="7"/>
      <c r="E13" s="7"/>
      <c r="F13" s="7"/>
      <c r="G13" s="7"/>
      <c r="H13" s="7"/>
      <c r="I13" s="5" t="s">
        <v>18</v>
      </c>
      <c r="J13" s="13" t="s">
        <v>168</v>
      </c>
    </row>
    <row r="14" spans="2:17" ht="60" x14ac:dyDescent="0.25">
      <c r="B14" s="6" t="s">
        <v>157</v>
      </c>
      <c r="C14" s="7">
        <v>10</v>
      </c>
      <c r="D14" s="7"/>
      <c r="E14" s="7"/>
      <c r="F14" s="7"/>
      <c r="G14" s="7"/>
      <c r="H14" s="7"/>
      <c r="I14" s="5" t="s">
        <v>19</v>
      </c>
      <c r="J14" s="13" t="s">
        <v>169</v>
      </c>
    </row>
    <row r="15" spans="2:17" ht="51" customHeight="1" thickBot="1" x14ac:dyDescent="0.3">
      <c r="B15" s="6" t="s">
        <v>157</v>
      </c>
      <c r="C15" s="8">
        <v>10</v>
      </c>
      <c r="D15" s="8"/>
      <c r="E15" s="8"/>
      <c r="F15" s="8"/>
      <c r="G15" s="8"/>
      <c r="H15" s="8"/>
      <c r="I15" s="14" t="s">
        <v>20</v>
      </c>
      <c r="J15" s="14" t="s">
        <v>170</v>
      </c>
    </row>
  </sheetData>
  <mergeCells count="1">
    <mergeCell ref="B1:J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7C4D-EEF9-4CBE-8641-C7AAB5EA375D}">
  <dimension ref="B1:H3"/>
  <sheetViews>
    <sheetView topLeftCell="B1" workbookViewId="0">
      <selection activeCell="D5" sqref="D5"/>
    </sheetView>
  </sheetViews>
  <sheetFormatPr baseColWidth="10" defaultRowHeight="15" x14ac:dyDescent="0.25"/>
  <cols>
    <col min="2" max="2" width="16.85546875" customWidth="1"/>
    <col min="4" max="4" width="11.42578125" style="356"/>
    <col min="6" max="6" width="10.140625" customWidth="1"/>
  </cols>
  <sheetData>
    <row r="1" spans="2:8" ht="15.75" thickBot="1" x14ac:dyDescent="0.3"/>
    <row r="2" spans="2:8" ht="60.75" thickBot="1" x14ac:dyDescent="0.3">
      <c r="B2" s="135" t="s">
        <v>57</v>
      </c>
      <c r="C2" s="137" t="s">
        <v>173</v>
      </c>
      <c r="D2" s="137" t="s">
        <v>483</v>
      </c>
      <c r="E2" s="136" t="s">
        <v>150</v>
      </c>
      <c r="F2" s="137" t="s">
        <v>175</v>
      </c>
      <c r="G2" s="137" t="s">
        <v>172</v>
      </c>
      <c r="H2" s="138" t="s">
        <v>153</v>
      </c>
    </row>
    <row r="3" spans="2:8" ht="30.75" thickBot="1" x14ac:dyDescent="0.3">
      <c r="B3" s="139" t="s">
        <v>174</v>
      </c>
      <c r="C3" s="140">
        <v>25097</v>
      </c>
      <c r="D3" s="141">
        <v>0.3</v>
      </c>
      <c r="E3" s="141">
        <v>0.5</v>
      </c>
      <c r="F3" s="140">
        <f>C3*E3*D3</f>
        <v>3764.5499999999997</v>
      </c>
      <c r="G3" s="140">
        <f>F3*H3</f>
        <v>376.45499999999998</v>
      </c>
      <c r="H3" s="142">
        <v>0.1</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Plan de Inversión</vt:lpstr>
      <vt:lpstr>Gastos</vt:lpstr>
      <vt:lpstr>Compras</vt:lpstr>
      <vt:lpstr>Costeo</vt:lpstr>
      <vt:lpstr>Proyección de ventas</vt:lpstr>
      <vt:lpstr>Margen bruto</vt:lpstr>
      <vt:lpstr>Plan de Producción</vt:lpstr>
      <vt:lpstr>Procesos</vt:lpstr>
      <vt:lpstr>Market Share Proveedor</vt:lpstr>
      <vt:lpstr>MS Clientes</vt:lpstr>
      <vt:lpstr>Punto de Equilibrio</vt:lpstr>
      <vt:lpstr>Financiero</vt:lpstr>
      <vt:lpstr>Flujo de Caja</vt:lpstr>
      <vt:lpstr>Hoja1</vt:lpstr>
      <vt:lpstr>Presupuesto</vt:lpstr>
      <vt:lpstr>Estados Finacieros</vt:lpstr>
      <vt:lpstr>HV SERV</vt:lpstr>
      <vt:lpstr>HV E1</vt:lpstr>
      <vt:lpstr>HV E2</vt:lpstr>
      <vt:lpstr>HV E3</vt:lpstr>
      <vt:lpstr>calculo WACC</vt:lpstr>
      <vt:lpstr>Calculo WACC 2</vt:lpstr>
      <vt:lpstr>Cálculo WACC 3</vt:lpstr>
      <vt:lpstr>Cálculo WACC 4</vt:lpstr>
      <vt:lpstr>Cálculo WACC 5</vt:lpstr>
      <vt:lpstr>Check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dc:creator>
  <cp:lastModifiedBy>Santiago</cp:lastModifiedBy>
  <dcterms:created xsi:type="dcterms:W3CDTF">2022-05-22T19:34:54Z</dcterms:created>
  <dcterms:modified xsi:type="dcterms:W3CDTF">2022-12-14T14:45:52Z</dcterms:modified>
</cp:coreProperties>
</file>