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za\Downloads\Universidad\X Sem\Revisados\"/>
    </mc:Choice>
  </mc:AlternateContent>
  <bookViews>
    <workbookView xWindow="5580" yWindow="0" windowWidth="9780" windowHeight="7950" tabRatio="761" firstSheet="5" activeTab="8"/>
  </bookViews>
  <sheets>
    <sheet name="2020" sheetId="2" r:id="rId1"/>
    <sheet name="2025" sheetId="3" r:id="rId2"/>
    <sheet name="2030" sheetId="4" r:id="rId3"/>
    <sheet name="2035" sheetId="5" r:id="rId4"/>
    <sheet name="2040" sheetId="6" r:id="rId5"/>
    <sheet name="2045" sheetId="7" r:id="rId6"/>
    <sheet name="2050" sheetId="1" r:id="rId7"/>
    <sheet name="EÓLICA" sheetId="8" r:id="rId8"/>
    <sheet name="SOLAR" sheetId="9" r:id="rId9"/>
    <sheet name="GLP" sheetId="10" r:id="rId10"/>
    <sheet name="DIÉSEL" sheetId="11" r:id="rId11"/>
    <sheet name="Poder calorífico " sheetId="12" r:id="rId12"/>
    <sheet name="Factor de Consumo" sheetId="13" r:id="rId13"/>
    <sheet name="Factor de Emisiones" sheetId="14" r:id="rId14"/>
    <sheet name="EMISIONES" sheetId="15" r:id="rId15"/>
    <sheet name="RESULTADOS" sheetId="17" r:id="rId16"/>
  </sheets>
  <externalReferences>
    <externalReference r:id="rId17"/>
  </externalReferences>
  <definedNames>
    <definedName name="Unit.kWh">[1]Conversions!$F$10</definedName>
  </definedNames>
  <calcPr calcId="152511" calcMode="manual"/>
</workbook>
</file>

<file path=xl/calcChain.xml><?xml version="1.0" encoding="utf-8"?>
<calcChain xmlns="http://schemas.openxmlformats.org/spreadsheetml/2006/main">
  <c r="C10" i="1" l="1"/>
  <c r="P45" i="17" l="1"/>
  <c r="P44" i="17"/>
  <c r="P43" i="17"/>
  <c r="H24" i="17"/>
  <c r="J24" i="17" s="1"/>
  <c r="P46" i="17" s="1"/>
  <c r="R24" i="17"/>
  <c r="R21" i="17"/>
  <c r="K27" i="1" l="1"/>
  <c r="K19" i="1"/>
  <c r="F3" i="10"/>
  <c r="I13" i="15" l="1"/>
  <c r="R27" i="15" l="1"/>
  <c r="R26" i="15"/>
  <c r="R25" i="15"/>
  <c r="Q27" i="15"/>
  <c r="Q26" i="15"/>
  <c r="Q25" i="15"/>
  <c r="P27" i="15"/>
  <c r="P26" i="15"/>
  <c r="P25" i="15"/>
  <c r="O27" i="15"/>
  <c r="O26" i="15"/>
  <c r="O25" i="15"/>
  <c r="N27" i="15"/>
  <c r="N26" i="15"/>
  <c r="N25" i="15"/>
  <c r="M27" i="15"/>
  <c r="M26" i="15"/>
  <c r="M25" i="15"/>
  <c r="L25" i="15"/>
  <c r="L26" i="15"/>
  <c r="L27" i="15"/>
  <c r="R20" i="15"/>
  <c r="R19" i="15"/>
  <c r="Q20" i="15"/>
  <c r="Q19" i="15"/>
  <c r="P20" i="15"/>
  <c r="P19" i="15"/>
  <c r="O20" i="15"/>
  <c r="O19" i="15"/>
  <c r="N20" i="15"/>
  <c r="N19" i="15"/>
  <c r="M20" i="15"/>
  <c r="M19" i="15"/>
  <c r="L20" i="15"/>
  <c r="L19" i="15"/>
  <c r="R13" i="15"/>
  <c r="R12" i="15"/>
  <c r="R11" i="15"/>
  <c r="Q13" i="15"/>
  <c r="Q12" i="15"/>
  <c r="Q11" i="15"/>
  <c r="P13" i="15"/>
  <c r="P12" i="15"/>
  <c r="P11" i="15"/>
  <c r="O13" i="15"/>
  <c r="O12" i="15"/>
  <c r="O11" i="15"/>
  <c r="O10" i="15"/>
  <c r="N13" i="15"/>
  <c r="N12" i="15"/>
  <c r="M13" i="15"/>
  <c r="M12" i="15"/>
  <c r="N11" i="15"/>
  <c r="M11" i="15"/>
  <c r="L11" i="15"/>
  <c r="L13" i="15"/>
  <c r="L12" i="15"/>
  <c r="R10" i="15"/>
  <c r="Q10" i="15"/>
  <c r="P10" i="15"/>
  <c r="N10" i="15"/>
  <c r="M10" i="15"/>
  <c r="L10" i="15"/>
  <c r="R5" i="15"/>
  <c r="R4" i="15"/>
  <c r="R3" i="15"/>
  <c r="R6" i="15"/>
  <c r="Q6" i="15"/>
  <c r="Q5" i="15"/>
  <c r="Q4" i="15"/>
  <c r="Q3" i="15"/>
  <c r="I4" i="15"/>
  <c r="H4" i="15"/>
  <c r="P4" i="15"/>
  <c r="P6" i="15"/>
  <c r="P5" i="15"/>
  <c r="P3" i="15"/>
  <c r="O6" i="15"/>
  <c r="O5" i="15"/>
  <c r="O4" i="15"/>
  <c r="O3" i="15"/>
  <c r="N6" i="15"/>
  <c r="N5" i="15"/>
  <c r="N4" i="15"/>
  <c r="N3" i="15"/>
  <c r="M6" i="15"/>
  <c r="M5" i="15"/>
  <c r="M4" i="15"/>
  <c r="M3" i="15"/>
  <c r="L4" i="15"/>
  <c r="L3" i="15"/>
  <c r="L5" i="15"/>
  <c r="L6" i="15"/>
  <c r="G17" i="11"/>
  <c r="G7" i="11"/>
  <c r="B10" i="9" l="1"/>
  <c r="J7" i="14" l="1"/>
  <c r="I7" i="14"/>
  <c r="H7" i="14"/>
  <c r="C9" i="15"/>
  <c r="C4" i="12" l="1"/>
  <c r="C12" i="13"/>
  <c r="D4" i="9" l="1"/>
  <c r="D3" i="15" l="1"/>
  <c r="B8" i="12"/>
  <c r="C3" i="12" s="1"/>
  <c r="C5" i="12"/>
  <c r="G12" i="11"/>
  <c r="F12" i="11"/>
  <c r="G11" i="11"/>
  <c r="F11" i="11"/>
  <c r="G10" i="11"/>
  <c r="F10" i="11"/>
  <c r="G9" i="11"/>
  <c r="F9" i="11"/>
  <c r="G8" i="11"/>
  <c r="F8" i="11"/>
  <c r="F7" i="11"/>
  <c r="G6" i="11"/>
  <c r="F6" i="11"/>
  <c r="G5" i="11"/>
  <c r="F5" i="11"/>
  <c r="G4" i="11"/>
  <c r="F4" i="11"/>
  <c r="G3" i="11"/>
  <c r="G15" i="11" s="1"/>
  <c r="F3" i="11"/>
  <c r="F15" i="11" s="1"/>
  <c r="H3" i="10"/>
  <c r="B17" i="6" s="1"/>
  <c r="C12" i="9"/>
  <c r="F4" i="9"/>
  <c r="H21" i="8"/>
  <c r="G13" i="8"/>
  <c r="E13" i="8"/>
  <c r="G12" i="8"/>
  <c r="E12" i="8"/>
  <c r="G11" i="8"/>
  <c r="E11" i="8"/>
  <c r="G10" i="8"/>
  <c r="E10" i="8"/>
  <c r="G9" i="8"/>
  <c r="E9" i="8"/>
  <c r="G8" i="8"/>
  <c r="E8" i="8"/>
  <c r="G7" i="8"/>
  <c r="E7" i="8"/>
  <c r="G6" i="8"/>
  <c r="E6" i="8"/>
  <c r="E5" i="8"/>
  <c r="G5" i="8" s="1"/>
  <c r="G4" i="8"/>
  <c r="E4" i="8"/>
  <c r="G3" i="8"/>
  <c r="E3" i="8"/>
  <c r="G2" i="8"/>
  <c r="E2" i="8"/>
  <c r="B24" i="7"/>
  <c r="J16" i="7"/>
  <c r="K16" i="7" s="1"/>
  <c r="K11" i="7"/>
  <c r="K3" i="7"/>
  <c r="J3" i="7"/>
  <c r="J24" i="6"/>
  <c r="K24" i="6" s="1"/>
  <c r="B16" i="6"/>
  <c r="K11" i="6"/>
  <c r="K3" i="6"/>
  <c r="J3" i="6"/>
  <c r="B24" i="5"/>
  <c r="K11" i="5"/>
  <c r="J10" i="5"/>
  <c r="B9" i="5"/>
  <c r="J8" i="5"/>
  <c r="K8" i="5" s="1"/>
  <c r="K3" i="5"/>
  <c r="J3" i="5"/>
  <c r="J24" i="5" s="1"/>
  <c r="K24" i="5" s="1"/>
  <c r="J2" i="5"/>
  <c r="B27" i="4"/>
  <c r="K11" i="4"/>
  <c r="J10" i="4"/>
  <c r="K10" i="4" s="1"/>
  <c r="B9" i="4"/>
  <c r="J8" i="4"/>
  <c r="K8" i="4" s="1"/>
  <c r="K3" i="4"/>
  <c r="J3" i="4"/>
  <c r="J24" i="4" s="1"/>
  <c r="K24" i="4" s="1"/>
  <c r="J2" i="4"/>
  <c r="B27" i="3"/>
  <c r="K11" i="3"/>
  <c r="J10" i="3"/>
  <c r="B9" i="3"/>
  <c r="J8" i="3"/>
  <c r="K8" i="3" s="1"/>
  <c r="K3" i="3"/>
  <c r="J3" i="3"/>
  <c r="J24" i="3" s="1"/>
  <c r="K24" i="3" s="1"/>
  <c r="J2" i="3"/>
  <c r="J26" i="2"/>
  <c r="K26" i="2" s="1"/>
  <c r="B24" i="2"/>
  <c r="J18" i="2"/>
  <c r="C19" i="15" s="1"/>
  <c r="B16" i="2"/>
  <c r="K11" i="2"/>
  <c r="B9" i="2"/>
  <c r="J8" i="2"/>
  <c r="K8" i="2" s="1"/>
  <c r="K3" i="2"/>
  <c r="J3" i="2"/>
  <c r="J24" i="2" s="1"/>
  <c r="K24" i="2" s="1"/>
  <c r="J2" i="2"/>
  <c r="J23" i="2" s="1"/>
  <c r="B27" i="1"/>
  <c r="J26" i="1"/>
  <c r="I20" i="15" s="1"/>
  <c r="B24" i="1"/>
  <c r="J23" i="1"/>
  <c r="B19" i="1"/>
  <c r="J18" i="1"/>
  <c r="I19" i="15" s="1"/>
  <c r="B16" i="1"/>
  <c r="J15" i="1"/>
  <c r="B12" i="1"/>
  <c r="B9" i="1"/>
  <c r="J7" i="1"/>
  <c r="K3" i="1"/>
  <c r="J3" i="1"/>
  <c r="J24" i="1" s="1"/>
  <c r="G17" i="8" l="1"/>
  <c r="G19" i="8" s="1"/>
  <c r="B10" i="5"/>
  <c r="B25" i="7"/>
  <c r="B8" i="1"/>
  <c r="J9" i="1" s="1"/>
  <c r="B15" i="1"/>
  <c r="B15" i="2"/>
  <c r="B23" i="3"/>
  <c r="B23" i="4"/>
  <c r="B15" i="5"/>
  <c r="D31" i="15"/>
  <c r="D32" i="15"/>
  <c r="D30" i="15"/>
  <c r="B10" i="3"/>
  <c r="B17" i="1"/>
  <c r="J19" i="1" s="1"/>
  <c r="B25" i="1"/>
  <c r="J27" i="1" s="1"/>
  <c r="B10" i="2"/>
  <c r="B17" i="2"/>
  <c r="J19" i="2" s="1"/>
  <c r="B25" i="2"/>
  <c r="J27" i="2" s="1"/>
  <c r="B10" i="4"/>
  <c r="B25" i="5"/>
  <c r="J27" i="5" s="1"/>
  <c r="C6" i="15"/>
  <c r="K23" i="2"/>
  <c r="J4" i="1"/>
  <c r="J8" i="1"/>
  <c r="K8" i="1" s="1"/>
  <c r="J10" i="1"/>
  <c r="J10" i="2"/>
  <c r="B12" i="2"/>
  <c r="B19" i="2"/>
  <c r="B27" i="2"/>
  <c r="D18" i="15"/>
  <c r="K10" i="3"/>
  <c r="J25" i="3"/>
  <c r="J25" i="4"/>
  <c r="F18" i="15"/>
  <c r="K10" i="5"/>
  <c r="J19" i="6"/>
  <c r="J27" i="7"/>
  <c r="C20" i="15"/>
  <c r="J16" i="1"/>
  <c r="J17" i="1"/>
  <c r="K18" i="1"/>
  <c r="I6" i="15"/>
  <c r="K26" i="1"/>
  <c r="J7" i="2"/>
  <c r="J15" i="2"/>
  <c r="J16" i="2"/>
  <c r="K16" i="2" s="1"/>
  <c r="J17" i="2"/>
  <c r="K18" i="2"/>
  <c r="J23" i="3"/>
  <c r="J15" i="3"/>
  <c r="J7" i="3"/>
  <c r="B12" i="3"/>
  <c r="B19" i="3"/>
  <c r="J23" i="4"/>
  <c r="J15" i="4"/>
  <c r="J7" i="4"/>
  <c r="B12" i="4"/>
  <c r="B19" i="4"/>
  <c r="B27" i="5"/>
  <c r="J23" i="5"/>
  <c r="J15" i="5"/>
  <c r="J7" i="5"/>
  <c r="B12" i="5"/>
  <c r="J17" i="5"/>
  <c r="B19" i="5"/>
  <c r="J26" i="5"/>
  <c r="J18" i="6"/>
  <c r="J8" i="7"/>
  <c r="K8" i="7" s="1"/>
  <c r="J2" i="7"/>
  <c r="J24" i="7"/>
  <c r="K24" i="7" s="1"/>
  <c r="J26" i="7"/>
  <c r="B23" i="7"/>
  <c r="B15" i="7"/>
  <c r="B23" i="6"/>
  <c r="B15" i="6"/>
  <c r="B23" i="5"/>
  <c r="B8" i="7"/>
  <c r="B8" i="5"/>
  <c r="B8" i="4"/>
  <c r="B8" i="3"/>
  <c r="B9" i="7"/>
  <c r="B9" i="6"/>
  <c r="B16" i="7"/>
  <c r="B24" i="6"/>
  <c r="B16" i="5"/>
  <c r="B24" i="4"/>
  <c r="B16" i="4"/>
  <c r="B24" i="3"/>
  <c r="B16" i="3"/>
  <c r="B10" i="7"/>
  <c r="B10" i="6"/>
  <c r="B17" i="7"/>
  <c r="B25" i="6"/>
  <c r="B17" i="5"/>
  <c r="B25" i="4"/>
  <c r="B17" i="4"/>
  <c r="B25" i="3"/>
  <c r="B17" i="3"/>
  <c r="E18" i="15"/>
  <c r="J16" i="3"/>
  <c r="K16" i="3" s="1"/>
  <c r="J16" i="4"/>
  <c r="K16" i="4" s="1"/>
  <c r="J16" i="5"/>
  <c r="K16" i="5" s="1"/>
  <c r="J8" i="6"/>
  <c r="K8" i="6" s="1"/>
  <c r="J2" i="6"/>
  <c r="J16" i="6"/>
  <c r="K16" i="6" s="1"/>
  <c r="I5" i="15"/>
  <c r="E5" i="15"/>
  <c r="C5" i="15"/>
  <c r="I3" i="15"/>
  <c r="G3" i="15"/>
  <c r="E3" i="15"/>
  <c r="C3" i="15"/>
  <c r="F3" i="15"/>
  <c r="J20" i="5" l="1"/>
  <c r="O33" i="15"/>
  <c r="J20" i="2"/>
  <c r="L33" i="15"/>
  <c r="J28" i="4"/>
  <c r="N34" i="15"/>
  <c r="I24" i="15"/>
  <c r="R32" i="15"/>
  <c r="J20" i="1"/>
  <c r="R33" i="15"/>
  <c r="K9" i="1"/>
  <c r="J28" i="3"/>
  <c r="M34" i="15"/>
  <c r="B11" i="1"/>
  <c r="C8" i="1" s="1"/>
  <c r="B8" i="6"/>
  <c r="B15" i="3"/>
  <c r="J17" i="3" s="1"/>
  <c r="B23" i="2"/>
  <c r="J25" i="2" s="1"/>
  <c r="B8" i="2"/>
  <c r="B23" i="1"/>
  <c r="J25" i="1" s="1"/>
  <c r="B15" i="4"/>
  <c r="J17" i="4" s="1"/>
  <c r="C30" i="15"/>
  <c r="C32" i="15"/>
  <c r="C5" i="17" s="1"/>
  <c r="M15" i="17" s="1"/>
  <c r="C31" i="15"/>
  <c r="C4" i="17" s="1"/>
  <c r="G32" i="15"/>
  <c r="G5" i="17" s="1"/>
  <c r="Q15" i="17" s="1"/>
  <c r="G30" i="15"/>
  <c r="G31" i="15"/>
  <c r="G4" i="17" s="1"/>
  <c r="Q9" i="17" s="1"/>
  <c r="I42" i="15"/>
  <c r="I15" i="17" s="1"/>
  <c r="S5" i="17" s="1"/>
  <c r="I43" i="15"/>
  <c r="I44" i="15"/>
  <c r="F31" i="15"/>
  <c r="F4" i="17" s="1"/>
  <c r="P9" i="17" s="1"/>
  <c r="F32" i="15"/>
  <c r="F5" i="17" s="1"/>
  <c r="P15" i="17" s="1"/>
  <c r="F30" i="15"/>
  <c r="E32" i="15"/>
  <c r="E5" i="17" s="1"/>
  <c r="O15" i="17" s="1"/>
  <c r="E30" i="15"/>
  <c r="E31" i="15"/>
  <c r="E4" i="17" s="1"/>
  <c r="O9" i="17" s="1"/>
  <c r="I32" i="15"/>
  <c r="I5" i="17" s="1"/>
  <c r="S15" i="17" s="1"/>
  <c r="I30" i="15"/>
  <c r="I31" i="15"/>
  <c r="K19" i="2"/>
  <c r="K27" i="2"/>
  <c r="C14" i="15"/>
  <c r="C50" i="15" s="1"/>
  <c r="C13" i="15"/>
  <c r="B26" i="2"/>
  <c r="C25" i="2" s="1"/>
  <c r="B18" i="2"/>
  <c r="C17" i="2" s="1"/>
  <c r="I14" i="15"/>
  <c r="B18" i="1"/>
  <c r="D4" i="17"/>
  <c r="N9" i="17" s="1"/>
  <c r="D3" i="17"/>
  <c r="N3" i="17" s="1"/>
  <c r="D5" i="17"/>
  <c r="N15" i="17" s="1"/>
  <c r="F3" i="17"/>
  <c r="I4" i="17"/>
  <c r="S9" i="17" s="1"/>
  <c r="I17" i="17"/>
  <c r="S17" i="17" s="1"/>
  <c r="I16" i="17"/>
  <c r="S11" i="17" s="1"/>
  <c r="J27" i="3"/>
  <c r="J27" i="4"/>
  <c r="J27" i="6"/>
  <c r="J18" i="3"/>
  <c r="J18" i="4"/>
  <c r="J18" i="5"/>
  <c r="J18" i="7"/>
  <c r="J10" i="7"/>
  <c r="B11" i="4"/>
  <c r="C8" i="4" s="1"/>
  <c r="J9" i="4"/>
  <c r="N32" i="15" s="1"/>
  <c r="B11" i="7"/>
  <c r="C9" i="7" s="1"/>
  <c r="J9" i="7"/>
  <c r="Q32" i="15" s="1"/>
  <c r="C8" i="7"/>
  <c r="J17" i="6"/>
  <c r="B18" i="6"/>
  <c r="B18" i="7"/>
  <c r="C15" i="7" s="1"/>
  <c r="J17" i="7"/>
  <c r="G19" i="15"/>
  <c r="K18" i="6"/>
  <c r="F20" i="15"/>
  <c r="K26" i="5"/>
  <c r="B18" i="5"/>
  <c r="C15" i="5" s="1"/>
  <c r="F4" i="15"/>
  <c r="K7" i="5"/>
  <c r="F6" i="15"/>
  <c r="K23" i="5"/>
  <c r="K17" i="4"/>
  <c r="E25" i="15"/>
  <c r="B13" i="4"/>
  <c r="D8" i="4" s="1"/>
  <c r="K15" i="4"/>
  <c r="D25" i="15"/>
  <c r="K17" i="3"/>
  <c r="K15" i="3"/>
  <c r="K25" i="2"/>
  <c r="C4" i="15"/>
  <c r="K7" i="2"/>
  <c r="I26" i="15"/>
  <c r="K16" i="1"/>
  <c r="K27" i="7"/>
  <c r="H14" i="15"/>
  <c r="K19" i="6"/>
  <c r="G13" i="15"/>
  <c r="B26" i="4"/>
  <c r="C24" i="4" s="1"/>
  <c r="B26" i="3"/>
  <c r="C25" i="3" s="1"/>
  <c r="C18" i="15"/>
  <c r="K10" i="2"/>
  <c r="J12" i="1"/>
  <c r="D5" i="15"/>
  <c r="C3" i="17"/>
  <c r="B27" i="6"/>
  <c r="B19" i="6"/>
  <c r="B12" i="6"/>
  <c r="J15" i="6"/>
  <c r="J7" i="6"/>
  <c r="J23" i="6"/>
  <c r="J19" i="3"/>
  <c r="J19" i="4"/>
  <c r="J19" i="5"/>
  <c r="J19" i="7"/>
  <c r="J26" i="3"/>
  <c r="J26" i="4"/>
  <c r="J26" i="6"/>
  <c r="J10" i="6"/>
  <c r="B11" i="3"/>
  <c r="C8" i="3"/>
  <c r="J9" i="3"/>
  <c r="M32" i="15" s="1"/>
  <c r="B11" i="5"/>
  <c r="B13" i="5" s="1"/>
  <c r="D8" i="5" s="1"/>
  <c r="J9" i="5"/>
  <c r="O32" i="15" s="1"/>
  <c r="J25" i="5"/>
  <c r="B26" i="5"/>
  <c r="B28" i="5" s="1"/>
  <c r="D23" i="5" s="1"/>
  <c r="B26" i="6"/>
  <c r="C25" i="6" s="1"/>
  <c r="J25" i="6"/>
  <c r="J25" i="7"/>
  <c r="B26" i="7"/>
  <c r="H20" i="15"/>
  <c r="K26" i="7"/>
  <c r="B27" i="7"/>
  <c r="B19" i="7"/>
  <c r="B12" i="7"/>
  <c r="B13" i="7" s="1"/>
  <c r="D8" i="7" s="1"/>
  <c r="J23" i="7"/>
  <c r="H3" i="15"/>
  <c r="J15" i="7"/>
  <c r="J7" i="7"/>
  <c r="F25" i="15"/>
  <c r="K17" i="5"/>
  <c r="K15" i="5"/>
  <c r="F5" i="15"/>
  <c r="B18" i="4"/>
  <c r="C15" i="4" s="1"/>
  <c r="J12" i="4"/>
  <c r="E4" i="15"/>
  <c r="K7" i="4"/>
  <c r="E6" i="15"/>
  <c r="K23" i="4"/>
  <c r="B18" i="3"/>
  <c r="C15" i="3" s="1"/>
  <c r="D4" i="15"/>
  <c r="J12" i="3"/>
  <c r="K7" i="3"/>
  <c r="D6" i="15"/>
  <c r="K23" i="3"/>
  <c r="C25" i="15"/>
  <c r="K17" i="2"/>
  <c r="K15" i="2"/>
  <c r="I25" i="15"/>
  <c r="K17" i="1"/>
  <c r="K20" i="1" s="1"/>
  <c r="K27" i="5"/>
  <c r="F14" i="15"/>
  <c r="F50" i="15" s="1"/>
  <c r="E26" i="15"/>
  <c r="K25" i="4"/>
  <c r="D26" i="15"/>
  <c r="K25" i="3"/>
  <c r="K10" i="1"/>
  <c r="I18" i="15"/>
  <c r="K11" i="1"/>
  <c r="K23" i="1"/>
  <c r="K15" i="1"/>
  <c r="K7" i="1"/>
  <c r="K12" i="1" s="1"/>
  <c r="C9" i="1"/>
  <c r="K24" i="1"/>
  <c r="B13" i="1"/>
  <c r="D8" i="1" s="1"/>
  <c r="J28" i="7" l="1"/>
  <c r="Q34" i="15"/>
  <c r="J28" i="5"/>
  <c r="O34" i="15"/>
  <c r="J20" i="7"/>
  <c r="Q33" i="15"/>
  <c r="J28" i="1"/>
  <c r="R34" i="15"/>
  <c r="J28" i="2"/>
  <c r="L34" i="15"/>
  <c r="B11" i="6"/>
  <c r="C8" i="6"/>
  <c r="J9" i="6"/>
  <c r="J28" i="6"/>
  <c r="P34" i="15"/>
  <c r="C10" i="7"/>
  <c r="B13" i="6"/>
  <c r="D8" i="6" s="1"/>
  <c r="K25" i="1"/>
  <c r="K28" i="1" s="1"/>
  <c r="C26" i="15"/>
  <c r="K17" i="6"/>
  <c r="J20" i="6"/>
  <c r="P33" i="15"/>
  <c r="B26" i="1"/>
  <c r="C23" i="1" s="1"/>
  <c r="J20" i="4"/>
  <c r="N33" i="15"/>
  <c r="J9" i="2"/>
  <c r="B11" i="2"/>
  <c r="J20" i="3"/>
  <c r="M33" i="15"/>
  <c r="K28" i="2"/>
  <c r="C48" i="15"/>
  <c r="D36" i="15"/>
  <c r="D9" i="17" s="1"/>
  <c r="N4" i="17" s="1"/>
  <c r="D37" i="15"/>
  <c r="D38" i="15"/>
  <c r="E38" i="15"/>
  <c r="E11" i="17" s="1"/>
  <c r="O16" i="17" s="1"/>
  <c r="E36" i="15"/>
  <c r="E9" i="17" s="1"/>
  <c r="O4" i="17" s="1"/>
  <c r="E37" i="15"/>
  <c r="E10" i="17" s="1"/>
  <c r="O10" i="17" s="1"/>
  <c r="M3" i="17"/>
  <c r="C37" i="15"/>
  <c r="C10" i="17" s="1"/>
  <c r="M10" i="17" s="1"/>
  <c r="C36" i="15"/>
  <c r="C38" i="15"/>
  <c r="F48" i="15"/>
  <c r="F49" i="15"/>
  <c r="F22" i="17" s="1"/>
  <c r="P12" i="17" s="1"/>
  <c r="F36" i="15"/>
  <c r="F37" i="15"/>
  <c r="F10" i="17" s="1"/>
  <c r="P10" i="17" s="1"/>
  <c r="F38" i="15"/>
  <c r="F11" i="17" s="1"/>
  <c r="P16" i="17" s="1"/>
  <c r="I49" i="15"/>
  <c r="I22" i="17" s="1"/>
  <c r="S12" i="17" s="1"/>
  <c r="C43" i="15"/>
  <c r="C16" i="17" s="1"/>
  <c r="M11" i="17" s="1"/>
  <c r="I45" i="15"/>
  <c r="I18" i="17" s="1"/>
  <c r="S23" i="17" s="1"/>
  <c r="H31" i="15"/>
  <c r="H4" i="17" s="1"/>
  <c r="R9" i="17" s="1"/>
  <c r="H32" i="15"/>
  <c r="H5" i="17" s="1"/>
  <c r="R15" i="17" s="1"/>
  <c r="H30" i="15"/>
  <c r="H3" i="17" s="1"/>
  <c r="R3" i="17" s="1"/>
  <c r="C49" i="15"/>
  <c r="C22" i="17" s="1"/>
  <c r="M12" i="17" s="1"/>
  <c r="I50" i="15"/>
  <c r="I23" i="17" s="1"/>
  <c r="S18" i="17" s="1"/>
  <c r="I48" i="15"/>
  <c r="I21" i="17" s="1"/>
  <c r="S6" i="17" s="1"/>
  <c r="C44" i="15"/>
  <c r="C17" i="17" s="1"/>
  <c r="M17" i="17" s="1"/>
  <c r="C42" i="15"/>
  <c r="C15" i="17" s="1"/>
  <c r="M5" i="17" s="1"/>
  <c r="K20" i="2"/>
  <c r="C23" i="17"/>
  <c r="M18" i="17" s="1"/>
  <c r="B20" i="2"/>
  <c r="D15" i="2" s="1"/>
  <c r="C17" i="5"/>
  <c r="C16" i="2"/>
  <c r="C15" i="2"/>
  <c r="B28" i="2"/>
  <c r="D23" i="2" s="1"/>
  <c r="C23" i="2"/>
  <c r="C24" i="2"/>
  <c r="C24" i="3"/>
  <c r="B20" i="5"/>
  <c r="D15" i="5" s="1"/>
  <c r="C25" i="1"/>
  <c r="C24" i="1"/>
  <c r="B28" i="1"/>
  <c r="D23" i="1" s="1"/>
  <c r="B28" i="7"/>
  <c r="D23" i="7" s="1"/>
  <c r="C17" i="7"/>
  <c r="C16" i="5"/>
  <c r="C16" i="4"/>
  <c r="C17" i="1"/>
  <c r="C15" i="1"/>
  <c r="B20" i="1"/>
  <c r="D15" i="1" s="1"/>
  <c r="C16" i="1"/>
  <c r="B20" i="4"/>
  <c r="D15" i="4" s="1"/>
  <c r="G33" i="15"/>
  <c r="G3" i="17"/>
  <c r="Q3" i="17" s="1"/>
  <c r="M9" i="17"/>
  <c r="I33" i="15"/>
  <c r="I3" i="17"/>
  <c r="S3" i="17" s="1"/>
  <c r="E33" i="15"/>
  <c r="E3" i="17"/>
  <c r="O3" i="17" s="1"/>
  <c r="D33" i="15"/>
  <c r="C6" i="17"/>
  <c r="P3" i="17"/>
  <c r="F6" i="17"/>
  <c r="K7" i="7"/>
  <c r="J12" i="7"/>
  <c r="C25" i="7"/>
  <c r="C24" i="7"/>
  <c r="G26" i="15"/>
  <c r="K25" i="6"/>
  <c r="C24" i="5"/>
  <c r="C25" i="5"/>
  <c r="F24" i="15"/>
  <c r="K9" i="5"/>
  <c r="K12" i="5" s="1"/>
  <c r="C9" i="5"/>
  <c r="C10" i="5"/>
  <c r="C24" i="6"/>
  <c r="K19" i="5"/>
  <c r="F13" i="15"/>
  <c r="E13" i="15"/>
  <c r="K19" i="4"/>
  <c r="K19" i="3"/>
  <c r="D13" i="15"/>
  <c r="K7" i="6"/>
  <c r="G4" i="15"/>
  <c r="J12" i="6"/>
  <c r="B28" i="6"/>
  <c r="D23" i="6" s="1"/>
  <c r="B28" i="4"/>
  <c r="D23" i="4" s="1"/>
  <c r="C23" i="4"/>
  <c r="C11" i="17"/>
  <c r="M16" i="17" s="1"/>
  <c r="B20" i="3"/>
  <c r="D15" i="3" s="1"/>
  <c r="F9" i="17"/>
  <c r="P4" i="17" s="1"/>
  <c r="H25" i="15"/>
  <c r="K17" i="7"/>
  <c r="K20" i="7" s="1"/>
  <c r="C17" i="6"/>
  <c r="C16" i="6"/>
  <c r="C16" i="7"/>
  <c r="C16" i="3"/>
  <c r="K27" i="6"/>
  <c r="G14" i="15"/>
  <c r="C25" i="4"/>
  <c r="D10" i="17"/>
  <c r="N10" i="17" s="1"/>
  <c r="D11" i="17"/>
  <c r="N16" i="17" s="1"/>
  <c r="K15" i="7"/>
  <c r="H5" i="15"/>
  <c r="H6" i="15"/>
  <c r="K23" i="7"/>
  <c r="B20" i="7"/>
  <c r="D15" i="7" s="1"/>
  <c r="C23" i="7"/>
  <c r="K25" i="7"/>
  <c r="H26" i="15"/>
  <c r="C23" i="6"/>
  <c r="C23" i="5"/>
  <c r="K25" i="5"/>
  <c r="F26" i="15"/>
  <c r="C8" i="5"/>
  <c r="K9" i="3"/>
  <c r="K12" i="3" s="1"/>
  <c r="D24" i="15"/>
  <c r="C10" i="3"/>
  <c r="C9" i="3"/>
  <c r="G18" i="15"/>
  <c r="K10" i="6"/>
  <c r="G20" i="15"/>
  <c r="K26" i="6"/>
  <c r="E20" i="15"/>
  <c r="K26" i="4"/>
  <c r="D20" i="15"/>
  <c r="K26" i="3"/>
  <c r="K19" i="7"/>
  <c r="H13" i="15"/>
  <c r="C17" i="4"/>
  <c r="C17" i="3"/>
  <c r="K23" i="6"/>
  <c r="K28" i="6" s="1"/>
  <c r="G6" i="15"/>
  <c r="K15" i="6"/>
  <c r="G5" i="15"/>
  <c r="B20" i="6"/>
  <c r="D15" i="6" s="1"/>
  <c r="C33" i="15"/>
  <c r="B28" i="3"/>
  <c r="D23" i="3" s="1"/>
  <c r="C23" i="3"/>
  <c r="B13" i="3"/>
  <c r="D8" i="3" s="1"/>
  <c r="K28" i="5"/>
  <c r="J12" i="5"/>
  <c r="C15" i="6"/>
  <c r="G25" i="15"/>
  <c r="K9" i="7"/>
  <c r="H24" i="15"/>
  <c r="E24" i="15"/>
  <c r="K9" i="4"/>
  <c r="K12" i="4" s="1"/>
  <c r="C10" i="4"/>
  <c r="C9" i="4"/>
  <c r="H18" i="15"/>
  <c r="K10" i="7"/>
  <c r="H19" i="15"/>
  <c r="K18" i="7"/>
  <c r="K18" i="5"/>
  <c r="F19" i="15"/>
  <c r="E19" i="15"/>
  <c r="K18" i="4"/>
  <c r="K20" i="4" s="1"/>
  <c r="D19" i="15"/>
  <c r="K18" i="3"/>
  <c r="K27" i="4"/>
  <c r="E14" i="15"/>
  <c r="D14" i="15"/>
  <c r="D48" i="15" s="1"/>
  <c r="K27" i="3"/>
  <c r="F33" i="15"/>
  <c r="C24" i="15" l="1"/>
  <c r="L32" i="15"/>
  <c r="K9" i="2"/>
  <c r="K12" i="2" s="1"/>
  <c r="J12" i="2"/>
  <c r="C8" i="2"/>
  <c r="C9" i="2"/>
  <c r="C10" i="2"/>
  <c r="B13" i="2"/>
  <c r="D8" i="2" s="1"/>
  <c r="K9" i="6"/>
  <c r="P32" i="15"/>
  <c r="G24" i="15"/>
  <c r="C10" i="6"/>
  <c r="C9" i="6"/>
  <c r="C21" i="17"/>
  <c r="M6" i="17" s="1"/>
  <c r="C51" i="15"/>
  <c r="C24" i="17" s="1"/>
  <c r="M24" i="17" s="1"/>
  <c r="F21" i="17"/>
  <c r="P6" i="17" s="1"/>
  <c r="F51" i="15"/>
  <c r="D50" i="15"/>
  <c r="D23" i="17" s="1"/>
  <c r="N18" i="17" s="1"/>
  <c r="I51" i="15"/>
  <c r="I24" i="17" s="1"/>
  <c r="S24" i="17" s="1"/>
  <c r="G48" i="15"/>
  <c r="G49" i="15"/>
  <c r="G22" i="17" s="1"/>
  <c r="Q12" i="17" s="1"/>
  <c r="G50" i="15"/>
  <c r="G23" i="17" s="1"/>
  <c r="Q18" i="17" s="1"/>
  <c r="H48" i="15"/>
  <c r="H49" i="15"/>
  <c r="H22" i="17" s="1"/>
  <c r="R12" i="17" s="1"/>
  <c r="H50" i="15"/>
  <c r="H23" i="17" s="1"/>
  <c r="R18" i="17" s="1"/>
  <c r="I36" i="15"/>
  <c r="I9" i="17" s="1"/>
  <c r="S4" i="17" s="1"/>
  <c r="I37" i="15"/>
  <c r="I10" i="17" s="1"/>
  <c r="S10" i="17" s="1"/>
  <c r="I38" i="15"/>
  <c r="I11" i="17" s="1"/>
  <c r="S16" i="17" s="1"/>
  <c r="D43" i="15"/>
  <c r="D16" i="17" s="1"/>
  <c r="N11" i="17" s="1"/>
  <c r="F43" i="15"/>
  <c r="F16" i="17" s="1"/>
  <c r="P11" i="17" s="1"/>
  <c r="J3" i="17"/>
  <c r="M43" i="17" s="1"/>
  <c r="E50" i="15"/>
  <c r="E23" i="17" s="1"/>
  <c r="O18" i="17" s="1"/>
  <c r="E48" i="15"/>
  <c r="E39" i="15"/>
  <c r="E12" i="17" s="1"/>
  <c r="O22" i="17" s="1"/>
  <c r="G42" i="15"/>
  <c r="G15" i="17" s="1"/>
  <c r="Q5" i="17" s="1"/>
  <c r="G43" i="15"/>
  <c r="G16" i="17" s="1"/>
  <c r="Q11" i="17" s="1"/>
  <c r="G44" i="15"/>
  <c r="H42" i="15"/>
  <c r="H43" i="15"/>
  <c r="H16" i="17" s="1"/>
  <c r="R11" i="17" s="1"/>
  <c r="H44" i="15"/>
  <c r="H17" i="17" s="1"/>
  <c r="R17" i="17" s="1"/>
  <c r="G36" i="15"/>
  <c r="G37" i="15"/>
  <c r="G10" i="17" s="1"/>
  <c r="Q10" i="17" s="1"/>
  <c r="G38" i="15"/>
  <c r="G11" i="17" s="1"/>
  <c r="Q16" i="17" s="1"/>
  <c r="H36" i="15"/>
  <c r="H37" i="15"/>
  <c r="H10" i="17" s="1"/>
  <c r="R10" i="17" s="1"/>
  <c r="H38" i="15"/>
  <c r="H11" i="17" s="1"/>
  <c r="R16" i="17" s="1"/>
  <c r="E43" i="15"/>
  <c r="E42" i="15"/>
  <c r="E44" i="15"/>
  <c r="E17" i="17" s="1"/>
  <c r="O17" i="17" s="1"/>
  <c r="D44" i="15"/>
  <c r="D17" i="17" s="1"/>
  <c r="N17" i="17" s="1"/>
  <c r="D42" i="15"/>
  <c r="D15" i="17" s="1"/>
  <c r="N5" i="17" s="1"/>
  <c r="F44" i="15"/>
  <c r="F17" i="17" s="1"/>
  <c r="P17" i="17" s="1"/>
  <c r="F42" i="15"/>
  <c r="D49" i="15"/>
  <c r="D22" i="17" s="1"/>
  <c r="N12" i="17" s="1"/>
  <c r="E49" i="15"/>
  <c r="D39" i="15"/>
  <c r="D12" i="17" s="1"/>
  <c r="K20" i="3"/>
  <c r="K28" i="4"/>
  <c r="C45" i="15"/>
  <c r="C18" i="17" s="1"/>
  <c r="C29" i="17" s="1"/>
  <c r="K28" i="3"/>
  <c r="K20" i="5"/>
  <c r="N22" i="17"/>
  <c r="M23" i="17"/>
  <c r="P21" i="17"/>
  <c r="J5" i="17"/>
  <c r="O43" i="17" s="1"/>
  <c r="F24" i="17"/>
  <c r="F23" i="17"/>
  <c r="P18" i="17" s="1"/>
  <c r="E21" i="17"/>
  <c r="O6" i="17" s="1"/>
  <c r="C39" i="15"/>
  <c r="C12" i="17" s="1"/>
  <c r="C28" i="17" s="1"/>
  <c r="C9" i="17"/>
  <c r="M4" i="17" s="1"/>
  <c r="C30" i="17"/>
  <c r="M21" i="17"/>
  <c r="J4" i="17"/>
  <c r="N43" i="17" s="1"/>
  <c r="G17" i="17"/>
  <c r="Q17" i="17" s="1"/>
  <c r="K12" i="6"/>
  <c r="F39" i="15"/>
  <c r="F12" i="17" s="1"/>
  <c r="K12" i="7"/>
  <c r="K20" i="6"/>
  <c r="K28" i="7"/>
  <c r="E16" i="17"/>
  <c r="O11" i="17" s="1"/>
  <c r="H33" i="15"/>
  <c r="G21" i="17" l="1"/>
  <c r="Q6" i="17" s="1"/>
  <c r="G51" i="15"/>
  <c r="D51" i="15"/>
  <c r="D24" i="17"/>
  <c r="D21" i="17"/>
  <c r="N6" i="17" s="1"/>
  <c r="E45" i="15"/>
  <c r="E18" i="17" s="1"/>
  <c r="E15" i="17"/>
  <c r="O5" i="17" s="1"/>
  <c r="E51" i="15"/>
  <c r="E24" i="17" s="1"/>
  <c r="E22" i="17"/>
  <c r="O12" i="17" s="1"/>
  <c r="P22" i="17"/>
  <c r="H45" i="15"/>
  <c r="H18" i="17" s="1"/>
  <c r="H15" i="17"/>
  <c r="R5" i="17" s="1"/>
  <c r="M22" i="17"/>
  <c r="H39" i="15"/>
  <c r="H12" i="17" s="1"/>
  <c r="H9" i="17"/>
  <c r="R4" i="17" s="1"/>
  <c r="G39" i="15"/>
  <c r="G12" i="17" s="1"/>
  <c r="G9" i="17"/>
  <c r="Q4" i="17" s="1"/>
  <c r="F45" i="15"/>
  <c r="F18" i="17" s="1"/>
  <c r="F15" i="17"/>
  <c r="P5" i="17" s="1"/>
  <c r="H51" i="15"/>
  <c r="H21" i="17"/>
  <c r="R6" i="17" s="1"/>
  <c r="G24" i="17"/>
  <c r="D45" i="15"/>
  <c r="D18" i="17" s="1"/>
  <c r="P24" i="17"/>
  <c r="F28" i="17"/>
  <c r="F30" i="17"/>
  <c r="I39" i="15"/>
  <c r="I12" i="17" s="1"/>
  <c r="G45" i="15"/>
  <c r="G18" i="17" s="1"/>
  <c r="E6" i="17"/>
  <c r="I6" i="17"/>
  <c r="D6" i="17"/>
  <c r="H6" i="17"/>
  <c r="G6" i="17"/>
  <c r="J6" i="17" l="1"/>
  <c r="J32" i="17" s="1"/>
  <c r="H30" i="17"/>
  <c r="H29" i="17"/>
  <c r="H28" i="17"/>
  <c r="I30" i="17"/>
  <c r="I29" i="17"/>
  <c r="I28" i="17"/>
  <c r="S21" i="17"/>
  <c r="G30" i="17"/>
  <c r="G29" i="17"/>
  <c r="G28" i="17"/>
  <c r="Q21" i="17"/>
  <c r="D30" i="17"/>
  <c r="D29" i="17"/>
  <c r="D28" i="17"/>
  <c r="N21" i="17"/>
  <c r="E30" i="17"/>
  <c r="E29" i="17"/>
  <c r="E28" i="17"/>
  <c r="O21" i="17"/>
  <c r="S22" i="17"/>
  <c r="N23" i="17"/>
  <c r="J18" i="17"/>
  <c r="Q23" i="17"/>
  <c r="Q24" i="17"/>
  <c r="P23" i="17"/>
  <c r="F29" i="17"/>
  <c r="Q22" i="17"/>
  <c r="R22" i="17"/>
  <c r="R23" i="17"/>
  <c r="O24" i="17"/>
  <c r="O23" i="17"/>
  <c r="N24" i="17"/>
  <c r="J9" i="17"/>
  <c r="M44" i="17" s="1"/>
  <c r="J23" i="17"/>
  <c r="O46" i="17" s="1"/>
  <c r="J15" i="17"/>
  <c r="M45" i="17" s="1"/>
  <c r="J16" i="17"/>
  <c r="N45" i="17" s="1"/>
  <c r="J21" i="17"/>
  <c r="M46" i="17" s="1"/>
  <c r="J11" i="17"/>
  <c r="O44" i="17" s="1"/>
  <c r="J10" i="17"/>
  <c r="N44" i="17" s="1"/>
  <c r="J12" i="17"/>
  <c r="J28" i="17" s="1"/>
  <c r="J33" i="17" s="1"/>
  <c r="J22" i="17"/>
  <c r="N46" i="17" s="1"/>
  <c r="J17" i="17"/>
  <c r="O45" i="17" s="1"/>
  <c r="J30" i="17" l="1"/>
  <c r="J35" i="17" s="1"/>
  <c r="J29" i="17"/>
  <c r="J34" i="17" s="1"/>
</calcChain>
</file>

<file path=xl/sharedStrings.xml><?xml version="1.0" encoding="utf-8"?>
<sst xmlns="http://schemas.openxmlformats.org/spreadsheetml/2006/main" count="588" uniqueCount="161">
  <si>
    <t>% reemplazo</t>
  </si>
  <si>
    <t>% persistente</t>
  </si>
  <si>
    <t>Generación</t>
  </si>
  <si>
    <t>MWh/año</t>
  </si>
  <si>
    <t>%</t>
  </si>
  <si>
    <t>Nivel 1</t>
  </si>
  <si>
    <t>Diesel</t>
  </si>
  <si>
    <t>RSU</t>
  </si>
  <si>
    <t>Demanda</t>
  </si>
  <si>
    <t>POTENCIA (MWh/año)</t>
  </si>
  <si>
    <t>PORCENTAJE DE PARTICIPACIÓN</t>
  </si>
  <si>
    <t>% excedente</t>
  </si>
  <si>
    <t>Nivel 2</t>
  </si>
  <si>
    <t>Potencial Eólico Escenario A+B 2020</t>
  </si>
  <si>
    <t>Potencial Solar Escenario A+B 2020</t>
  </si>
  <si>
    <t>Eólico</t>
  </si>
  <si>
    <t>GLP Escenario A+B 2020</t>
  </si>
  <si>
    <t>Solar</t>
  </si>
  <si>
    <t>Total</t>
  </si>
  <si>
    <t>GLP</t>
  </si>
  <si>
    <t>Diesel 25%</t>
  </si>
  <si>
    <t>Excedente para no trabajar al 100%</t>
  </si>
  <si>
    <t>Nivel 3</t>
  </si>
  <si>
    <t>Diesel 30%</t>
  </si>
  <si>
    <t>Nivel 4</t>
  </si>
  <si>
    <t>GLP Escenario A+B 2020 *</t>
  </si>
  <si>
    <t xml:space="preserve">GLP Escenario A+B 2020 </t>
  </si>
  <si>
    <t>Diesel 50%</t>
  </si>
  <si>
    <t>*DOS TURBINAS SGT-500</t>
  </si>
  <si>
    <t>MES</t>
  </si>
  <si>
    <t>VELOCIDAD 80m (m/s)</t>
  </si>
  <si>
    <t>DÍA/MES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</si>
  <si>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</si>
  <si>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</si>
  <si>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</si>
  <si>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</si>
  <si>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</si>
  <si>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</si>
  <si>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</si>
  <si>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</si>
  <si>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</si>
  <si>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</si>
  <si>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</si>
  <si>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</si>
  <si>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POTENCIA POR TURBINA (MWh/año)</t>
  </si>
  <si>
    <t>POTENCIA TOTAL 8 TURBINAS (MWh/año)</t>
  </si>
  <si>
    <t>EMISIONES (Kg CO2eq/MWh)*</t>
  </si>
  <si>
    <t>POTENCIA (KW) ***</t>
  </si>
  <si>
    <t>DISPONIBILIDAD (h/año)</t>
  </si>
  <si>
    <t xml:space="preserve">RENDIMIENTO A CONDICIONES ESTANDAR </t>
  </si>
  <si>
    <t>* INTEGRACIÓN DE LAS ENERGÍAS RENOVABLES NO CONVENCIONALES EN COLOMBIA - ANEXO 5 (UMPE)</t>
  </si>
  <si>
    <t>POTENCIA DE RADIACIÓN INCIDENTE (KW/m2) **</t>
  </si>
  <si>
    <t>HORAS PICO SOLAR</t>
  </si>
  <si>
    <t>EMISIONES DE PLANTAS MENORES A 10KW (Kg CO2eq/MWh) ***</t>
  </si>
  <si>
    <t>* http://atlas.ideam.gov.co/visorAtlasRadiacion.html</t>
  </si>
  <si>
    <t xml:space="preserve">** Radiación incidente diaria en el panel 1000 (W/m2) </t>
  </si>
  <si>
    <t>*** INTEGRACIÓN DE LAS ENERGÍAS RENOVABLES NO CONVENCIONALES EN COLOMBIA - ANEXO 5 (UMPE)</t>
  </si>
  <si>
    <t>EQUIPO</t>
  </si>
  <si>
    <t>POTENCIA (MW)**</t>
  </si>
  <si>
    <t>TIEMPO DE USO (h/día) *</t>
  </si>
  <si>
    <t>TIEMPO DE USO (Horas/año)</t>
  </si>
  <si>
    <t>RENDIMIENTO (%)**</t>
  </si>
  <si>
    <t>Turbina Siemens SGT-500</t>
  </si>
  <si>
    <t>CAPACIDAD NOMINAL (MW)</t>
  </si>
  <si>
    <t>DISPONIBILIDAD (%)</t>
  </si>
  <si>
    <t>FACTOR DE CARGA (%)</t>
  </si>
  <si>
    <t>DISPONIBILIDAD (MW)</t>
  </si>
  <si>
    <t>FACTOR DE CARGA (MW)</t>
  </si>
  <si>
    <t>FACTOR DE CONSUMO (Gal/KWh)*</t>
  </si>
  <si>
    <t>Mirrlees Blackstone MB430</t>
  </si>
  <si>
    <t>Mirrlees Blackstone MB431</t>
  </si>
  <si>
    <t>*http://www.mdpi.com/1996-1073/9/6/393/htm</t>
  </si>
  <si>
    <t>**https://www.energy.siemens.com/br/pool/hq/power-generation/gas-turbines/SGT-500/downloads/SGT-500_for_PG_EN.pdf</t>
  </si>
  <si>
    <t>GM-EMD L16-710G4b</t>
  </si>
  <si>
    <t>TIPO DE PLANTA</t>
  </si>
  <si>
    <t xml:space="preserve">PODER CALORÍFICO </t>
  </si>
  <si>
    <t>UNIDADES</t>
  </si>
  <si>
    <t>MWh/Gal</t>
  </si>
  <si>
    <t>MAN</t>
  </si>
  <si>
    <t>MWh/kg</t>
  </si>
  <si>
    <t>TOTAL (MW)</t>
  </si>
  <si>
    <t>DIESEL (BTU/GAL) *</t>
  </si>
  <si>
    <t>RSU (MWh/kg) **</t>
  </si>
  <si>
    <t>OFERTA DIESEL 2050 (MWh/año)</t>
  </si>
  <si>
    <t>GLP (BTU/GAL) *</t>
  </si>
  <si>
    <t>* PROYECCIÓN DE DEMANDA DE COMBUSTIBLES LÍQUIDOS Y GNV EN COLOMBIA, UPME - PODER CALORÍFICO DE LOS ENERGÉTICOS</t>
  </si>
  <si>
    <t>** PLANTA DE GENERACIÓN DE ENERGÍA DE BIOMASA, ADQUISICIÓN DE EQUIPOS, ACCESORIOS Y ADECUACIONES PARA EL CORREGIMIENTO DE GUAYABAL EN SAN VICENTE DE CAGUÁN - LHV</t>
  </si>
  <si>
    <t>* https://edoc.site/avaluo-de-maquinaria-4-pdf-free.html</t>
  </si>
  <si>
    <t>DEMANDA DIESEL 2050 (MWh/año)</t>
  </si>
  <si>
    <t>FACTOR DE CONSUMO DIESEL (Gal/MWh)</t>
  </si>
  <si>
    <t>NIVEL/AÑO</t>
  </si>
  <si>
    <t>FACTOR DE CONSUMO RSU (Kg/MWh)</t>
  </si>
  <si>
    <t>FACTOR DE CONSUMO GLP (Gal/MWh)</t>
  </si>
  <si>
    <t>Tomado de la calculadora de Carbono 2050</t>
  </si>
  <si>
    <t>Factores de emisión FECOC</t>
  </si>
  <si>
    <t>Tipo</t>
  </si>
  <si>
    <t>Solidos</t>
  </si>
  <si>
    <t>Leña</t>
  </si>
  <si>
    <t>CONSUMO DIÉSEL (MWh/año)</t>
  </si>
  <si>
    <t>Gas</t>
  </si>
  <si>
    <t>GWP</t>
  </si>
  <si>
    <t>Bagazo</t>
  </si>
  <si>
    <t>Carbon dioxide</t>
  </si>
  <si>
    <t>Carbón generico</t>
  </si>
  <si>
    <t>Methane</t>
  </si>
  <si>
    <t>Diesel generico</t>
  </si>
  <si>
    <t>Nitrous oxide</t>
  </si>
  <si>
    <t>Gasolina generico</t>
  </si>
  <si>
    <t>HFCs</t>
  </si>
  <si>
    <t>140 to 11.700</t>
  </si>
  <si>
    <t>Kerosene Col</t>
  </si>
  <si>
    <t>PFCs</t>
  </si>
  <si>
    <t>6.500 to 9.200</t>
  </si>
  <si>
    <t>ACPM</t>
  </si>
  <si>
    <t>SF6</t>
  </si>
  <si>
    <t>Crudo</t>
  </si>
  <si>
    <t>Combustoleo</t>
  </si>
  <si>
    <t>GN Generico</t>
  </si>
  <si>
    <t>Biogas central</t>
  </si>
  <si>
    <t>EMISIONES (Mt CO2 eq/año) NIVEL 1</t>
  </si>
  <si>
    <t>GNL</t>
  </si>
  <si>
    <t>CO2</t>
  </si>
  <si>
    <t>GLP propano</t>
  </si>
  <si>
    <t>Gases de efecto invernadero</t>
  </si>
  <si>
    <t>CO2 (Kg/TJ)</t>
  </si>
  <si>
    <t>CH4 (Kg/TJ)</t>
  </si>
  <si>
    <t>N2O (Kg/TJ)</t>
  </si>
  <si>
    <t>CH4</t>
  </si>
  <si>
    <t>N2O</t>
  </si>
  <si>
    <t>EMISIONES (Mt CO2 eq/año) NIVEL 2</t>
  </si>
  <si>
    <t>CONSUMO RSU (MWh/año)</t>
  </si>
  <si>
    <t>TODOS LOS NIVELES</t>
  </si>
  <si>
    <t>CONSUMO GLP (MWh/año)</t>
  </si>
  <si>
    <t>EMISIONES (Mt CO2 eq/año) NIVEL 3</t>
  </si>
  <si>
    <t>EMISIONES (Mt CO2 eq/año) NIVEL 4</t>
  </si>
  <si>
    <t>EMISIONES SOLAR (Mt CO2eq/año)</t>
  </si>
  <si>
    <t>EMISIONES EÓLICO (Mt CO2eq/año)</t>
  </si>
  <si>
    <t xml:space="preserve"> </t>
  </si>
  <si>
    <t>Total emisiones</t>
  </si>
  <si>
    <t>IRRADIACIÓN MEDIA DIARIA (KWh/m2*día) *</t>
  </si>
  <si>
    <t>Reducción de emisiones (Ton CO2e/año)</t>
  </si>
  <si>
    <t>% Sustitución de Diesel</t>
  </si>
  <si>
    <t>DIESEL*</t>
  </si>
  <si>
    <t>RSU**</t>
  </si>
  <si>
    <t>GLP*</t>
  </si>
  <si>
    <t>HORAS/MES</t>
  </si>
  <si>
    <t>POTENCIA  (KWh/MES) Nordex N80 2500</t>
  </si>
  <si>
    <t>CH4(Mt CO2e/MWh)</t>
  </si>
  <si>
    <t>N2O (Mt CO2e/MWh)</t>
  </si>
  <si>
    <t>CO2(Mt/MWh)</t>
  </si>
  <si>
    <t>CURVA DE POTENCIA (KW) POTENCIA/VELOCIDAD **</t>
  </si>
  <si>
    <t>Demanda energética Diésel</t>
  </si>
  <si>
    <t>Demanda energética RSU</t>
  </si>
  <si>
    <t>Demanda energética GLP</t>
  </si>
  <si>
    <t>Demanda energética Solar</t>
  </si>
  <si>
    <t>Demanda energética Eólica</t>
  </si>
  <si>
    <t>Liquidos *</t>
  </si>
  <si>
    <t>Gaseosos*</t>
  </si>
  <si>
    <t>Global warming potentials*</t>
  </si>
  <si>
    <t>*Calculadora de carbono 2050</t>
  </si>
  <si>
    <t>**https://www.ipcc-nggip.iges.or.jp/public/2006gl/spanish/pdf/2_Volume2/V2_2_Ch2_Stationary_Combustion.pdf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</si>
</sst>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0.0%"/>
    <numFmt numFmtId="165" formatCode="#,##0.0000"/>
    <numFmt numFmtId="166" formatCode="0.0000000"/>
    <numFmt numFmtId="167" formatCode="0.00000E+00"/>
    <numFmt numFmtId="168" formatCode="0.0000000E+00"/>
    <numFmt numFmtId="169" formatCode="0.000000E+00"/>
    <numFmt numFmtId="170" formatCode="0.00000"/>
    <numFmt numFmtId="171" formatCode="0.0000%"/>
    <numFmt numFmtId="172" formatCode="0.000000%"/>
    <numFmt numFmtId="173" formatCode="#,##0.00_);\(#,##0.00\);&quot;-&quot;_);@"/>
    <numFmt numFmtId="174" formatCode="#,##0.00000"/>
    <numFmt numFmtId="175" formatCode="0.00000000"/>
  </numFmts>
  <fonts count="1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FFFF"/>
      <name val="Calibri"/>
      <family val="2"/>
    </font>
    <font>
      <b/>
      <sz val="11"/>
      <name val="Calibri"/>
      <family val="2"/>
    </font>
    <font>
      <sz val="11"/>
      <color rgb="FF000000"/>
      <name val="Cambria"/>
      <family val="1"/>
    </font>
    <font>
      <sz val="36"/>
      <name val="Calibri"/>
      <family val="2"/>
    </font>
    <font>
      <sz val="32"/>
      <name val="Calibri"/>
      <family val="2"/>
    </font>
    <font>
      <b/>
      <sz val="36"/>
      <color rgb="FF0000FF"/>
      <name val="Calibri"/>
      <family val="2"/>
    </font>
    <font>
      <b/>
      <sz val="11"/>
      <color rgb="FF000000"/>
      <name val="Cambria"/>
      <family val="1"/>
    </font>
    <font>
      <sz val="11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mbria"/>
      <family val="1"/>
    </font>
    <font>
      <sz val="10"/>
      <color rgb="FF000000"/>
      <name val="Calibri"/>
      <family val="2"/>
    </font>
    <font>
      <b/>
      <sz val="10"/>
      <color rgb="FF000000"/>
      <name val="Cambria"/>
      <family val="1"/>
    </font>
    <font>
      <sz val="11"/>
      <color rgb="FF000000"/>
      <name val="Calibri"/>
    </font>
    <font>
      <sz val="10"/>
      <name val="Calibri"/>
      <family val="1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CC0000"/>
        <bgColor rgb="FFCC0000"/>
      </patternFill>
    </fill>
    <fill>
      <patternFill patternType="solid">
        <fgColor rgb="FFA4C2F4"/>
        <bgColor rgb="FFA4C2F4"/>
      </patternFill>
    </fill>
    <fill>
      <patternFill patternType="solid">
        <fgColor rgb="FF9CC2E5"/>
        <bgColor rgb="FF9CC2E5"/>
      </patternFill>
    </fill>
    <fill>
      <patternFill patternType="solid">
        <fgColor rgb="FFFFD965"/>
        <bgColor rgb="FFFFD965"/>
      </patternFill>
    </fill>
    <fill>
      <patternFill patternType="solid">
        <fgColor rgb="FF9FC5E8"/>
        <bgColor rgb="FF9FC5E8"/>
      </patternFill>
    </fill>
    <fill>
      <patternFill patternType="solid">
        <fgColor rgb="FFCCCCCC"/>
        <bgColor rgb="FFCCCCCC"/>
      </patternFill>
    </fill>
    <fill>
      <patternFill patternType="solid">
        <fgColor rgb="FFC8C8C8"/>
        <bgColor rgb="FFC8C8C8"/>
      </patternFill>
    </fill>
    <fill>
      <patternFill patternType="solid">
        <fgColor rgb="FFFFD966"/>
        <bgColor rgb="FFFFD966"/>
      </patternFill>
    </fill>
    <fill>
      <patternFill patternType="solid">
        <fgColor rgb="FFD9D9D9"/>
        <bgColor rgb="FFD9D9D9"/>
      </patternFill>
    </fill>
    <fill>
      <patternFill patternType="solid">
        <fgColor rgb="FFF9CB9C"/>
        <bgColor rgb="FFF9CB9C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FDE9D9"/>
        <bgColor rgb="FFFDE9D9"/>
      </patternFill>
    </fill>
    <fill>
      <patternFill patternType="solid">
        <fgColor rgb="FFEA9999"/>
        <bgColor rgb="FFEA9999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6B26B"/>
      </patternFill>
    </fill>
    <fill>
      <patternFill patternType="solid">
        <fgColor theme="5" tint="0.39997558519241921"/>
        <bgColor rgb="FFF9CB9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A6A6A6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02">
    <xf numFmtId="0" fontId="0" fillId="0" borderId="0" xfId="0" applyFont="1" applyAlignment="1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0" fontId="0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9" fontId="4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9" fontId="0" fillId="5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9" fontId="0" fillId="6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10" fontId="0" fillId="7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9" fontId="0" fillId="9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10" fontId="0" fillId="1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9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10" fontId="0" fillId="8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9" fontId="0" fillId="6" borderId="1" xfId="0" applyNumberFormat="1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9" fontId="0" fillId="5" borderId="5" xfId="0" applyNumberFormat="1" applyFont="1" applyFill="1" applyBorder="1" applyAlignment="1">
      <alignment horizontal="center" vertical="center"/>
    </xf>
    <xf numFmtId="10" fontId="0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0" fontId="0" fillId="6" borderId="1" xfId="0" applyNumberFormat="1" applyFont="1" applyFill="1" applyBorder="1" applyAlignment="1">
      <alignment horizontal="center"/>
    </xf>
    <xf numFmtId="10" fontId="0" fillId="11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1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12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1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1" xfId="0" applyNumberFormat="1" applyFont="1" applyBorder="1" applyAlignment="1"/>
    <xf numFmtId="10" fontId="3" fillId="0" borderId="1" xfId="0" applyNumberFormat="1" applyFont="1" applyBorder="1" applyAlignment="1">
      <alignment vertical="center"/>
    </xf>
    <xf numFmtId="0" fontId="3" fillId="1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14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15" borderId="1" xfId="0" applyFont="1" applyFill="1" applyBorder="1" applyAlignment="1"/>
    <xf numFmtId="0" fontId="2" fillId="15" borderId="1" xfId="0" applyFont="1" applyFill="1" applyBorder="1" applyAlignment="1"/>
    <xf numFmtId="0" fontId="6" fillId="0" borderId="1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16" borderId="1" xfId="0" applyFont="1" applyFill="1" applyBorder="1" applyAlignment="1">
      <alignment horizontal="right"/>
    </xf>
    <xf numFmtId="0" fontId="2" fillId="12" borderId="1" xfId="0" applyFont="1" applyFill="1" applyBorder="1" applyAlignment="1">
      <alignment wrapText="1"/>
    </xf>
    <xf numFmtId="166" fontId="3" fillId="0" borderId="1" xfId="0" applyNumberFormat="1" applyFont="1" applyBorder="1" applyAlignment="1"/>
    <xf numFmtId="0" fontId="6" fillId="0" borderId="0" xfId="0" applyFont="1" applyAlignment="1"/>
    <xf numFmtId="0" fontId="6" fillId="0" borderId="1" xfId="0" applyFont="1" applyBorder="1" applyAlignment="1"/>
    <xf numFmtId="0" fontId="6" fillId="0" borderId="1" xfId="0" applyFont="1" applyBorder="1" applyAlignment="1"/>
    <xf numFmtId="0" fontId="6" fillId="0" borderId="0" xfId="0" applyFont="1" applyAlignment="1"/>
    <xf numFmtId="11" fontId="6" fillId="0" borderId="1" xfId="0" applyNumberFormat="1" applyFont="1" applyBorder="1" applyAlignment="1">
      <alignment horizontal="right"/>
    </xf>
    <xf numFmtId="0" fontId="2" fillId="15" borderId="1" xfId="0" applyFont="1" applyFill="1" applyBorder="1" applyAlignment="1">
      <alignment horizontal="center"/>
    </xf>
    <xf numFmtId="0" fontId="6" fillId="11" borderId="1" xfId="0" applyFont="1" applyFill="1" applyBorder="1" applyAlignment="1"/>
    <xf numFmtId="0" fontId="6" fillId="11" borderId="1" xfId="0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15" borderId="1" xfId="0" applyFont="1" applyFill="1" applyBorder="1" applyAlignment="1">
      <alignment wrapText="1"/>
    </xf>
    <xf numFmtId="0" fontId="10" fillId="15" borderId="1" xfId="0" applyFont="1" applyFill="1" applyBorder="1" applyAlignment="1">
      <alignment horizontal="center"/>
    </xf>
    <xf numFmtId="167" fontId="6" fillId="0" borderId="1" xfId="0" applyNumberFormat="1" applyFont="1" applyBorder="1" applyAlignment="1"/>
    <xf numFmtId="11" fontId="6" fillId="0" borderId="1" xfId="0" applyNumberFormat="1" applyFont="1" applyBorder="1" applyAlignment="1"/>
    <xf numFmtId="168" fontId="3" fillId="0" borderId="0" xfId="0" applyNumberFormat="1" applyFont="1"/>
    <xf numFmtId="169" fontId="6" fillId="11" borderId="1" xfId="0" applyNumberFormat="1" applyFont="1" applyFill="1" applyBorder="1" applyAlignment="1"/>
    <xf numFmtId="11" fontId="6" fillId="11" borderId="1" xfId="0" applyNumberFormat="1" applyFont="1" applyFill="1" applyBorder="1" applyAlignment="1"/>
    <xf numFmtId="11" fontId="10" fillId="17" borderId="1" xfId="0" applyNumberFormat="1" applyFont="1" applyFill="1" applyBorder="1" applyAlignment="1"/>
    <xf numFmtId="169" fontId="3" fillId="0" borderId="0" xfId="0" applyNumberFormat="1" applyFont="1"/>
    <xf numFmtId="11" fontId="10" fillId="12" borderId="1" xfId="0" applyNumberFormat="1" applyFont="1" applyFill="1" applyBorder="1" applyAlignment="1"/>
    <xf numFmtId="11" fontId="2" fillId="18" borderId="1" xfId="0" applyNumberFormat="1" applyFont="1" applyFill="1" applyBorder="1"/>
    <xf numFmtId="11" fontId="2" fillId="19" borderId="1" xfId="0" applyNumberFormat="1" applyFont="1" applyFill="1" applyBorder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15" borderId="1" xfId="0" applyFont="1" applyFill="1" applyBorder="1" applyAlignment="1">
      <alignment vertical="center" wrapText="1"/>
    </xf>
    <xf numFmtId="0" fontId="16" fillId="1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67" fontId="14" fillId="0" borderId="1" xfId="0" applyNumberFormat="1" applyFont="1" applyBorder="1" applyAlignment="1">
      <alignment vertical="center"/>
    </xf>
    <xf numFmtId="0" fontId="14" fillId="11" borderId="1" xfId="0" applyFont="1" applyFill="1" applyBorder="1" applyAlignment="1">
      <alignment vertical="center"/>
    </xf>
    <xf numFmtId="169" fontId="14" fillId="11" borderId="1" xfId="0" applyNumberFormat="1" applyFont="1" applyFill="1" applyBorder="1" applyAlignment="1">
      <alignment vertical="center"/>
    </xf>
    <xf numFmtId="0" fontId="11" fillId="0" borderId="0" xfId="0" applyFont="1" applyAlignment="1"/>
    <xf numFmtId="0" fontId="16" fillId="15" borderId="6" xfId="0" applyFont="1" applyFill="1" applyBorder="1" applyAlignment="1">
      <alignment horizontal="center" vertical="center"/>
    </xf>
    <xf numFmtId="167" fontId="14" fillId="0" borderId="6" xfId="0" applyNumberFormat="1" applyFont="1" applyBorder="1" applyAlignment="1">
      <alignment vertical="center"/>
    </xf>
    <xf numFmtId="169" fontId="14" fillId="11" borderId="6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167" fontId="14" fillId="0" borderId="0" xfId="0" applyNumberFormat="1" applyFont="1" applyFill="1" applyBorder="1" applyAlignment="1">
      <alignment vertical="center"/>
    </xf>
    <xf numFmtId="169" fontId="14" fillId="0" borderId="0" xfId="0" applyNumberFormat="1" applyFont="1" applyFill="1" applyBorder="1" applyAlignment="1">
      <alignment vertical="center"/>
    </xf>
    <xf numFmtId="0" fontId="14" fillId="20" borderId="1" xfId="0" applyFont="1" applyFill="1" applyBorder="1" applyAlignment="1">
      <alignment vertical="center"/>
    </xf>
    <xf numFmtId="167" fontId="14" fillId="20" borderId="1" xfId="0" applyNumberFormat="1" applyFont="1" applyFill="1" applyBorder="1" applyAlignment="1">
      <alignment vertical="center"/>
    </xf>
    <xf numFmtId="167" fontId="14" fillId="20" borderId="6" xfId="0" applyNumberFormat="1" applyFont="1" applyFill="1" applyBorder="1" applyAlignment="1">
      <alignment vertical="center"/>
    </xf>
    <xf numFmtId="170" fontId="14" fillId="0" borderId="1" xfId="0" applyNumberFormat="1" applyFont="1" applyBorder="1" applyAlignment="1">
      <alignment vertical="center"/>
    </xf>
    <xf numFmtId="170" fontId="0" fillId="0" borderId="0" xfId="0" applyNumberFormat="1" applyFont="1" applyAlignment="1"/>
    <xf numFmtId="170" fontId="11" fillId="0" borderId="0" xfId="0" applyNumberFormat="1" applyFont="1" applyAlignment="1"/>
    <xf numFmtId="170" fontId="14" fillId="11" borderId="1" xfId="0" applyNumberFormat="1" applyFont="1" applyFill="1" applyBorder="1" applyAlignment="1">
      <alignment vertical="center"/>
    </xf>
    <xf numFmtId="170" fontId="16" fillId="17" borderId="1" xfId="0" applyNumberFormat="1" applyFont="1" applyFill="1" applyBorder="1" applyAlignment="1">
      <alignment vertical="center"/>
    </xf>
    <xf numFmtId="170" fontId="14" fillId="20" borderId="1" xfId="0" applyNumberFormat="1" applyFont="1" applyFill="1" applyBorder="1" applyAlignment="1">
      <alignment vertical="center"/>
    </xf>
    <xf numFmtId="170" fontId="13" fillId="0" borderId="0" xfId="0" applyNumberFormat="1" applyFont="1" applyAlignment="1">
      <alignment horizontal="center" vertical="center"/>
    </xf>
    <xf numFmtId="170" fontId="14" fillId="0" borderId="0" xfId="0" applyNumberFormat="1" applyFont="1" applyAlignment="1">
      <alignment vertical="center"/>
    </xf>
    <xf numFmtId="170" fontId="16" fillId="15" borderId="1" xfId="0" applyNumberFormat="1" applyFont="1" applyFill="1" applyBorder="1" applyAlignment="1">
      <alignment vertical="center" wrapText="1"/>
    </xf>
    <xf numFmtId="170" fontId="16" fillId="12" borderId="1" xfId="0" applyNumberFormat="1" applyFont="1" applyFill="1" applyBorder="1" applyAlignment="1">
      <alignment vertical="center"/>
    </xf>
    <xf numFmtId="170" fontId="12" fillId="18" borderId="1" xfId="0" applyNumberFormat="1" applyFont="1" applyFill="1" applyBorder="1" applyAlignment="1">
      <alignment vertical="center"/>
    </xf>
    <xf numFmtId="170" fontId="12" fillId="19" borderId="1" xfId="0" applyNumberFormat="1" applyFont="1" applyFill="1" applyBorder="1" applyAlignment="1">
      <alignment vertical="center"/>
    </xf>
    <xf numFmtId="0" fontId="16" fillId="15" borderId="1" xfId="0" applyNumberFormat="1" applyFont="1" applyFill="1" applyBorder="1" applyAlignment="1">
      <alignment horizontal="center" vertical="center"/>
    </xf>
    <xf numFmtId="171" fontId="0" fillId="0" borderId="0" xfId="1" applyNumberFormat="1" applyFont="1" applyAlignment="1"/>
    <xf numFmtId="172" fontId="0" fillId="0" borderId="0" xfId="1" applyNumberFormat="1" applyFont="1" applyAlignment="1"/>
    <xf numFmtId="0" fontId="1" fillId="0" borderId="11" xfId="0" applyFont="1" applyBorder="1" applyAlignment="1">
      <alignment vertical="center" wrapText="1"/>
    </xf>
    <xf numFmtId="0" fontId="16" fillId="15" borderId="11" xfId="0" applyNumberFormat="1" applyFont="1" applyFill="1" applyBorder="1" applyAlignment="1">
      <alignment horizontal="center" vertical="center"/>
    </xf>
    <xf numFmtId="0" fontId="0" fillId="0" borderId="11" xfId="0" applyFont="1" applyBorder="1" applyAlignment="1"/>
    <xf numFmtId="170" fontId="0" fillId="0" borderId="11" xfId="0" applyNumberFormat="1" applyFont="1" applyBorder="1" applyAlignment="1"/>
    <xf numFmtId="0" fontId="2" fillId="15" borderId="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0" fillId="0" borderId="0" xfId="0" applyFont="1" applyAlignment="1"/>
    <xf numFmtId="9" fontId="0" fillId="0" borderId="0" xfId="0" applyNumberFormat="1" applyFont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12" borderId="1" xfId="0" applyFont="1" applyFill="1" applyBorder="1" applyAlignment="1">
      <alignment vertical="center" wrapText="1"/>
    </xf>
    <xf numFmtId="173" fontId="18" fillId="0" borderId="12" xfId="2" applyNumberFormat="1" applyFont="1" applyFill="1" applyBorder="1" applyAlignment="1">
      <alignment vertical="center"/>
    </xf>
    <xf numFmtId="165" fontId="3" fillId="0" borderId="1" xfId="0" applyNumberFormat="1" applyFont="1" applyBorder="1" applyAlignment="1">
      <alignment horizontal="center"/>
    </xf>
    <xf numFmtId="174" fontId="3" fillId="0" borderId="1" xfId="0" applyNumberFormat="1" applyFont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175" fontId="0" fillId="0" borderId="0" xfId="0" applyNumberFormat="1" applyFont="1" applyAlignment="1"/>
    <xf numFmtId="9" fontId="0" fillId="0" borderId="0" xfId="1" applyFont="1" applyAlignment="1"/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1" fontId="3" fillId="22" borderId="1" xfId="0" applyNumberFormat="1" applyFont="1" applyFill="1" applyBorder="1" applyAlignment="1"/>
    <xf numFmtId="0" fontId="6" fillId="23" borderId="1" xfId="0" applyFont="1" applyFill="1" applyBorder="1" applyAlignment="1"/>
    <xf numFmtId="11" fontId="6" fillId="23" borderId="1" xfId="0" applyNumberFormat="1" applyFont="1" applyFill="1" applyBorder="1" applyAlignment="1">
      <alignment horizontal="right"/>
    </xf>
    <xf numFmtId="0" fontId="6" fillId="22" borderId="1" xfId="0" applyFont="1" applyFill="1" applyBorder="1" applyAlignment="1"/>
    <xf numFmtId="11" fontId="6" fillId="22" borderId="1" xfId="0" applyNumberFormat="1" applyFont="1" applyFill="1" applyBorder="1" applyAlignment="1">
      <alignment horizontal="right"/>
    </xf>
    <xf numFmtId="0" fontId="6" fillId="0" borderId="2" xfId="0" applyFont="1" applyBorder="1" applyAlignment="1"/>
    <xf numFmtId="0" fontId="3" fillId="0" borderId="0" xfId="0" applyFont="1" applyFill="1" applyBorder="1" applyAlignment="1"/>
    <xf numFmtId="0" fontId="3" fillId="0" borderId="13" xfId="0" applyFont="1" applyFill="1" applyBorder="1" applyAlignment="1"/>
    <xf numFmtId="0" fontId="2" fillId="15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170" fontId="1" fillId="0" borderId="0" xfId="0" applyNumberFormat="1" applyFont="1" applyAlignment="1"/>
    <xf numFmtId="170" fontId="1" fillId="0" borderId="0" xfId="0" applyNumberFormat="1" applyFont="1" applyAlignment="1">
      <alignment vertical="center" wrapText="1"/>
    </xf>
    <xf numFmtId="0" fontId="11" fillId="21" borderId="11" xfId="0" applyFont="1" applyFill="1" applyBorder="1" applyAlignment="1"/>
    <xf numFmtId="0" fontId="3" fillId="21" borderId="1" xfId="0" applyFont="1" applyFill="1" applyBorder="1" applyAlignment="1">
      <alignment horizontal="left" vertical="center" wrapText="1"/>
    </xf>
    <xf numFmtId="11" fontId="0" fillId="0" borderId="0" xfId="0" applyNumberFormat="1" applyFont="1" applyAlignment="1"/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170" fontId="14" fillId="0" borderId="10" xfId="0" applyNumberFormat="1" applyFont="1" applyFill="1" applyBorder="1" applyAlignment="1">
      <alignment vertical="center"/>
    </xf>
    <xf numFmtId="9" fontId="0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2" borderId="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/>
    <xf numFmtId="0" fontId="1" fillId="0" borderId="6" xfId="0" applyFont="1" applyBorder="1" applyAlignment="1">
      <alignment horizontal="center" vertical="center"/>
    </xf>
    <xf numFmtId="10" fontId="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EMISIONES!$K$3</c:f>
              <c:strCache>
                <c:ptCount val="1"/>
                <c:pt idx="0">
                  <c:v>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EMISIONES!$L$2:$R$2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EMISIONES!$L$3:$R$3</c:f>
              <c:numCache>
                <c:formatCode>General</c:formatCode>
                <c:ptCount val="7"/>
                <c:pt idx="0">
                  <c:v>227377.00399999999</c:v>
                </c:pt>
                <c:pt idx="1">
                  <c:v>236339.95499999999</c:v>
                </c:pt>
                <c:pt idx="2">
                  <c:v>246374.03099999999</c:v>
                </c:pt>
                <c:pt idx="3">
                  <c:v>256408.10700000002</c:v>
                </c:pt>
                <c:pt idx="4">
                  <c:v>266442.18400000001</c:v>
                </c:pt>
                <c:pt idx="5">
                  <c:v>276401.63900000002</c:v>
                </c:pt>
                <c:pt idx="6">
                  <c:v>286266.49099999998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EMISIONES!$K$4</c:f>
              <c:strCache>
                <c:ptCount val="1"/>
                <c:pt idx="0">
                  <c:v>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EMISIONES!$L$2:$R$2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EMISIONES!$L$4:$R$4</c:f>
              <c:numCache>
                <c:formatCode>General</c:formatCode>
                <c:ptCount val="7"/>
                <c:pt idx="0">
                  <c:v>170532.753</c:v>
                </c:pt>
                <c:pt idx="1">
                  <c:v>177254.96625</c:v>
                </c:pt>
                <c:pt idx="2">
                  <c:v>184780.52325</c:v>
                </c:pt>
                <c:pt idx="3">
                  <c:v>192306.08025</c:v>
                </c:pt>
                <c:pt idx="4">
                  <c:v>199831.63800000001</c:v>
                </c:pt>
                <c:pt idx="5">
                  <c:v>207301.22925000003</c:v>
                </c:pt>
                <c:pt idx="6">
                  <c:v>214699.86825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EMISIONES!$K$5</c:f>
              <c:strCache>
                <c:ptCount val="1"/>
                <c:pt idx="0">
                  <c:v>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EMISIONES!$L$2:$R$2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EMISIONES!$L$5:$R$5</c:f>
              <c:numCache>
                <c:formatCode>General</c:formatCode>
                <c:ptCount val="7"/>
                <c:pt idx="0">
                  <c:v>159163.90279999998</c:v>
                </c:pt>
                <c:pt idx="1">
                  <c:v>165437.96849999999</c:v>
                </c:pt>
                <c:pt idx="2">
                  <c:v>172461.82169999997</c:v>
                </c:pt>
                <c:pt idx="3">
                  <c:v>179485.67490000001</c:v>
                </c:pt>
                <c:pt idx="4">
                  <c:v>186509.5288</c:v>
                </c:pt>
                <c:pt idx="5">
                  <c:v>193481.14730000001</c:v>
                </c:pt>
                <c:pt idx="6">
                  <c:v>200386.54369999998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EMISIONES!$K$6</c:f>
              <c:strCache>
                <c:ptCount val="1"/>
                <c:pt idx="0">
                  <c:v>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EMISIONES!$L$2:$R$2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EMISIONES!$L$6:$R$6</c:f>
              <c:numCache>
                <c:formatCode>General</c:formatCode>
                <c:ptCount val="7"/>
                <c:pt idx="0">
                  <c:v>113688.50199999999</c:v>
                </c:pt>
                <c:pt idx="1">
                  <c:v>118169.97749999999</c:v>
                </c:pt>
                <c:pt idx="2">
                  <c:v>123187.01549999999</c:v>
                </c:pt>
                <c:pt idx="3">
                  <c:v>128204.05350000001</c:v>
                </c:pt>
                <c:pt idx="4">
                  <c:v>133221.092</c:v>
                </c:pt>
                <c:pt idx="5">
                  <c:v>138200.81950000001</c:v>
                </c:pt>
                <c:pt idx="6">
                  <c:v>143133.24549999999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82984"/>
        <c:axId val="209381416"/>
      </c:scatterChart>
      <c:valAx>
        <c:axId val="209382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381416"/>
        <c:crosses val="autoZero"/>
        <c:crossBetween val="midCat"/>
      </c:valAx>
      <c:valAx>
        <c:axId val="209381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382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EMISIONES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RESULTADOS!$P$42</c:f>
              <c:strCache>
                <c:ptCount val="1"/>
                <c:pt idx="0">
                  <c:v>Total emisiones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RESULTADOS!$P$43:$P$46</c:f>
              <c:numCache>
                <c:formatCode>0.00000</c:formatCode>
                <c:ptCount val="4"/>
                <c:pt idx="0">
                  <c:v>1.5068113597803761</c:v>
                </c:pt>
                <c:pt idx="1">
                  <c:v>1.1278642126346403</c:v>
                </c:pt>
                <c:pt idx="2">
                  <c:v>1.0091313201992036</c:v>
                </c:pt>
                <c:pt idx="3">
                  <c:v>0.72509479229380824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2044296"/>
        <c:axId val="412045472"/>
      </c:barChart>
      <c:catAx>
        <c:axId val="412044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AMBICIÓN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2045472"/>
        <c:crosses val="autoZero"/>
        <c:auto val="1"/>
        <c:lblAlgn val="ctr"/>
        <c:lblOffset val="100"/>
        <c:noMultiLvlLbl val="0"/>
      </c:catAx>
      <c:valAx>
        <c:axId val="41204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2044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RESULTADOS!$B$28</c:f>
              <c:strCache>
                <c:ptCount val="1"/>
                <c:pt idx="0">
                  <c:v>Nivel 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RESULTADOS!$C$27:$I$27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RESULTADOS!$C$28:$I$28</c:f>
              <c:numCache>
                <c:formatCode>0.00000</c:formatCode>
                <c:ptCount val="7"/>
                <c:pt idx="0">
                  <c:v>47160.689424265547</c:v>
                </c:pt>
                <c:pt idx="1">
                  <c:v>47200.420531413933</c:v>
                </c:pt>
                <c:pt idx="2">
                  <c:v>56370.847505020058</c:v>
                </c:pt>
                <c:pt idx="3">
                  <c:v>56868.006575719082</c:v>
                </c:pt>
                <c:pt idx="4">
                  <c:v>57137.073479186787</c:v>
                </c:pt>
                <c:pt idx="5">
                  <c:v>57195.604613772128</c:v>
                </c:pt>
                <c:pt idx="6">
                  <c:v>57014.505016358133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RESULTADOS!$B$29</c:f>
              <c:strCache>
                <c:ptCount val="1"/>
                <c:pt idx="0">
                  <c:v>Nivel 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RESULTADOS!$C$27:$I$27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RESULTADOS!$C$29:$I$29</c:f>
              <c:numCache>
                <c:formatCode>0.00000</c:formatCode>
                <c:ptCount val="7"/>
                <c:pt idx="0">
                  <c:v>55349.542685472901</c:v>
                </c:pt>
                <c:pt idx="1">
                  <c:v>54831.928811851809</c:v>
                </c:pt>
                <c:pt idx="2">
                  <c:v>78243.828921433305</c:v>
                </c:pt>
                <c:pt idx="3">
                  <c:v>78387.697008962394</c:v>
                </c:pt>
                <c:pt idx="4">
                  <c:v>78057.881544133314</c:v>
                </c:pt>
                <c:pt idx="5">
                  <c:v>77167.204581276994</c:v>
                </c:pt>
                <c:pt idx="6">
                  <c:v>75641.956028041663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RESULTADOS!$B$30</c:f>
              <c:strCache>
                <c:ptCount val="1"/>
                <c:pt idx="0">
                  <c:v>Nivel 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RESULTADOS!$C$27:$I$27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RESULTADOS!$C$30:$I$30</c:f>
              <c:numCache>
                <c:formatCode>0.00000</c:formatCode>
                <c:ptCount val="7"/>
                <c:pt idx="0">
                  <c:v>88105.085917281103</c:v>
                </c:pt>
                <c:pt idx="1">
                  <c:v>88535.369178265042</c:v>
                </c:pt>
                <c:pt idx="2">
                  <c:v>118299.4919059238</c:v>
                </c:pt>
                <c:pt idx="3">
                  <c:v>120315.07905410018</c:v>
                </c:pt>
                <c:pt idx="4">
                  <c:v>121749.53501936428</c:v>
                </c:pt>
                <c:pt idx="5">
                  <c:v>122457.85969352919</c:v>
                </c:pt>
                <c:pt idx="6">
                  <c:v>122254.14671810424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043512"/>
        <c:axId val="412049392"/>
      </c:scatterChart>
      <c:valAx>
        <c:axId val="412043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2049392"/>
        <c:crosses val="autoZero"/>
        <c:crossBetween val="midCat"/>
      </c:valAx>
      <c:valAx>
        <c:axId val="41204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2043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DE CH4 Y N2O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RESULTADOS!$N$42</c:f>
              <c:strCache>
                <c:ptCount val="1"/>
                <c:pt idx="0">
                  <c:v>CH4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RESULTADOS!$N$43:$N$46</c:f>
              <c:numCache>
                <c:formatCode>0.000000E+00</c:formatCode>
                <c:ptCount val="4"/>
                <c:pt idx="0" formatCode="0.00000E+00">
                  <c:v>2.1758982369008573E-3</c:v>
                </c:pt>
                <c:pt idx="1">
                  <c:v>1.8443076481016877E-3</c:v>
                </c:pt>
                <c:pt idx="2" formatCode="0.00000E+00">
                  <c:v>1.7433233373464936E-3</c:v>
                </c:pt>
                <c:pt idx="3" formatCode="0.00000E+00">
                  <c:v>1.5017457443450371E-3</c:v>
                </c:pt>
              </c:numCache>
            </c:numRef>
          </c:val>
        </c:ser>
        <c:ser>
          <c:idx val="1"/>
          <c:order val="1"/>
          <c:tx>
            <c:strRef>
              <c:f>RESULTADOS!$O$42</c:f>
              <c:strCache>
                <c:ptCount val="1"/>
                <c:pt idx="0">
                  <c:v>N2O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RESULTADOS!$O$43:$O$46</c:f>
              <c:numCache>
                <c:formatCode>0.000000E+00</c:formatCode>
                <c:ptCount val="4"/>
                <c:pt idx="0" formatCode="0.00000E+00">
                  <c:v>5.4157218453203572E-3</c:v>
                </c:pt>
                <c:pt idx="1">
                  <c:v>4.4370183453404299E-3</c:v>
                </c:pt>
                <c:pt idx="2" formatCode="0.00000E+00">
                  <c:v>4.1389587829939768E-3</c:v>
                </c:pt>
                <c:pt idx="3" formatCode="0.00000E+00">
                  <c:v>3.4259322642378508E-3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2043904"/>
        <c:axId val="412046648"/>
      </c:barChart>
      <c:catAx>
        <c:axId val="412043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2046648"/>
        <c:crosses val="autoZero"/>
        <c:auto val="1"/>
        <c:lblAlgn val="ctr"/>
        <c:lblOffset val="100"/>
        <c:noMultiLvlLbl val="0"/>
      </c:catAx>
      <c:valAx>
        <c:axId val="412046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204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EMISIONES!$C$2:$I$2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EMISIONES!$C$3:$I$3</c:f>
              <c:numCache>
                <c:formatCode>General</c:formatCode>
                <c:ptCount val="7"/>
                <c:pt idx="0">
                  <c:v>642774.45654042438</c:v>
                </c:pt>
                <c:pt idx="1">
                  <c:v>668111.917482708</c:v>
                </c:pt>
                <c:pt idx="2">
                  <c:v>696477.35301191092</c:v>
                </c:pt>
                <c:pt idx="3">
                  <c:v>724842.78854111396</c:v>
                </c:pt>
                <c:pt idx="4">
                  <c:v>753208.22689722746</c:v>
                </c:pt>
                <c:pt idx="5">
                  <c:v>781362.71553260332</c:v>
                </c:pt>
                <c:pt idx="6">
                  <c:v>809249.76994709321</c:v>
                </c:pt>
              </c:numCache>
            </c:numRef>
          </c:yVal>
          <c:smooth val="1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EMISIONES!$C$2:$I$2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EMISIONES!$C$4:$I$4</c:f>
              <c:numCache>
                <c:formatCode>General</c:formatCode>
                <c:ptCount val="7"/>
                <c:pt idx="0">
                  <c:v>460227.91508710897</c:v>
                </c:pt>
                <c:pt idx="1">
                  <c:v>485416.51295806392</c:v>
                </c:pt>
                <c:pt idx="2">
                  <c:v>479422.52528803237</c:v>
                </c:pt>
                <c:pt idx="3">
                  <c:v>505925.22324169497</c:v>
                </c:pt>
                <c:pt idx="4">
                  <c:v>533282.53148219176</c:v>
                </c:pt>
                <c:pt idx="5">
                  <c:v>561217.71778526215</c:v>
                </c:pt>
                <c:pt idx="6">
                  <c:v>589783.30960337212</c:v>
                </c:pt>
              </c:numCache>
            </c:numRef>
          </c:yVal>
          <c:smooth val="1"/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EMISIONES!$C$2:$I$2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EMISIONES!$C$5:$I$5</c:f>
              <c:numCache>
                <c:formatCode>General</c:formatCode>
                <c:ptCount val="7"/>
                <c:pt idx="0">
                  <c:v>429546.05408130167</c:v>
                </c:pt>
                <c:pt idx="1">
                  <c:v>456822.89191287622</c:v>
                </c:pt>
                <c:pt idx="2">
                  <c:v>397469.46919495962</c:v>
                </c:pt>
                <c:pt idx="3">
                  <c:v>425295.86499149771</c:v>
                </c:pt>
                <c:pt idx="4">
                  <c:v>454897.0439697578</c:v>
                </c:pt>
                <c:pt idx="5">
                  <c:v>486388.68874722719</c:v>
                </c:pt>
                <c:pt idx="6">
                  <c:v>519990.48912452423</c:v>
                </c:pt>
              </c:numCache>
            </c:numRef>
          </c:yVal>
          <c:smooth val="1"/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EMISIONES!$C$2:$I$2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EMISIONES!$C$6:$I$6</c:f>
              <c:numCache>
                <c:formatCode>General</c:formatCode>
                <c:ptCount val="7"/>
                <c:pt idx="0">
                  <c:v>306818.61005807261</c:v>
                </c:pt>
                <c:pt idx="1">
                  <c:v>330543.9012832595</c:v>
                </c:pt>
                <c:pt idx="2">
                  <c:v>247390.20123709537</c:v>
                </c:pt>
                <c:pt idx="3">
                  <c:v>268203.70793916151</c:v>
                </c:pt>
                <c:pt idx="4">
                  <c:v>291194.57870828779</c:v>
                </c:pt>
                <c:pt idx="5">
                  <c:v>316695.14214343706</c:v>
                </c:pt>
                <c:pt idx="6">
                  <c:v>345345.46094615513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83376"/>
        <c:axId val="209383768"/>
      </c:scatterChart>
      <c:valAx>
        <c:axId val="20938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383768"/>
        <c:crosses val="autoZero"/>
        <c:crossBetween val="midCat"/>
      </c:valAx>
      <c:valAx>
        <c:axId val="209383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38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DE CO2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RESULTADOS!$L$3</c:f>
              <c:strCache>
                <c:ptCount val="1"/>
                <c:pt idx="0">
                  <c:v>Nivel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RESULTADOS!$M$2:$S$2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RESULTADOS!$M$3:$S$3</c:f>
              <c:numCache>
                <c:formatCode>0.00000</c:formatCode>
                <c:ptCount val="7"/>
                <c:pt idx="0">
                  <c:v>0.19226321930584361</c:v>
                </c:pt>
                <c:pt idx="1">
                  <c:v>0.19900298391649107</c:v>
                </c:pt>
                <c:pt idx="2">
                  <c:v>0.20654818976725905</c:v>
                </c:pt>
                <c:pt idx="3">
                  <c:v>0.21409339561802707</c:v>
                </c:pt>
                <c:pt idx="4">
                  <c:v>0.22163860222075324</c:v>
                </c:pt>
                <c:pt idx="5">
                  <c:v>0.22912769619776324</c:v>
                </c:pt>
                <c:pt idx="6">
                  <c:v>0.23654565267201755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RESULTADOS!$L$4</c:f>
              <c:strCache>
                <c:ptCount val="1"/>
                <c:pt idx="0">
                  <c:v>Nivel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RESULTADOS!$M$2:$S$2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RESULTADOS!$M$4:$S$4</c:f>
              <c:numCache>
                <c:formatCode>0.00000</c:formatCode>
                <c:ptCount val="7"/>
                <c:pt idx="0">
                  <c:v>0.14370583927926173</c:v>
                </c:pt>
                <c:pt idx="1">
                  <c:v>0.15040600631293574</c:v>
                </c:pt>
                <c:pt idx="2">
                  <c:v>0.14881160559270734</c:v>
                </c:pt>
                <c:pt idx="3">
                  <c:v>0.15586132324838159</c:v>
                </c:pt>
                <c:pt idx="4">
                  <c:v>0.16313836724035374</c:v>
                </c:pt>
                <c:pt idx="5">
                  <c:v>0.17056912679697048</c:v>
                </c:pt>
                <c:pt idx="6">
                  <c:v>0.17816757422058774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RESULTADOS!$L$5</c:f>
              <c:strCache>
                <c:ptCount val="1"/>
                <c:pt idx="0">
                  <c:v>Nivel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RESULTADOS!$M$2:$S$2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RESULTADOS!$M$5:$S$5</c:f>
              <c:numCache>
                <c:formatCode>0.00000</c:formatCode>
                <c:ptCount val="7"/>
                <c:pt idx="0">
                  <c:v>0.13554450761290809</c:v>
                </c:pt>
                <c:pt idx="1">
                  <c:v>0.14280014647610692</c:v>
                </c:pt>
                <c:pt idx="2">
                  <c:v>0.1270121360331411</c:v>
                </c:pt>
                <c:pt idx="3">
                  <c:v>0.13441395731502023</c:v>
                </c:pt>
                <c:pt idx="4">
                  <c:v>0.14228787092323741</c:v>
                </c:pt>
                <c:pt idx="5">
                  <c:v>0.15066464843404428</c:v>
                </c:pt>
                <c:pt idx="6">
                  <c:v>0.15960272733440528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RESULTADOS!$L$6</c:f>
              <c:strCache>
                <c:ptCount val="1"/>
                <c:pt idx="0">
                  <c:v>Nivel 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RESULTADOS!$M$2:$S$2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RESULTADOS!$M$6:$S$6</c:f>
              <c:numCache>
                <c:formatCode>0.00000</c:formatCode>
                <c:ptCount val="7"/>
                <c:pt idx="0">
                  <c:v>0.10289905086392026</c:v>
                </c:pt>
                <c:pt idx="1">
                  <c:v>0.10920997832981996</c:v>
                </c:pt>
                <c:pt idx="2">
                  <c:v>8.7091094117540319E-2</c:v>
                </c:pt>
                <c:pt idx="3">
                  <c:v>9.2627486900289907E-2</c:v>
                </c:pt>
                <c:pt idx="4">
                  <c:v>9.8743058524877497E-2</c:v>
                </c:pt>
                <c:pt idx="5">
                  <c:v>0.1055262083986272</c:v>
                </c:pt>
                <c:pt idx="6">
                  <c:v>0.11314719320015021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84552"/>
        <c:axId val="411574368"/>
      </c:scatterChart>
      <c:valAx>
        <c:axId val="209384552"/>
        <c:scaling>
          <c:orientation val="minMax"/>
          <c:max val="2050"/>
          <c:min val="20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4368"/>
        <c:crosses val="autoZero"/>
        <c:crossBetween val="midCat"/>
      </c:valAx>
      <c:valAx>
        <c:axId val="41157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38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DE CH4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RESULTADOS!$L$9</c:f>
              <c:strCache>
                <c:ptCount val="1"/>
                <c:pt idx="0">
                  <c:v>Nivel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RESULTADOS!$M$8:$S$8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RESULTADOS!$M$9:$S$9</c:f>
              <c:numCache>
                <c:formatCode>0.00000</c:formatCode>
                <c:ptCount val="7"/>
                <c:pt idx="0">
                  <c:v>2.9214409537117747E-4</c:v>
                </c:pt>
                <c:pt idx="1">
                  <c:v>2.9789569900507578E-4</c:v>
                </c:pt>
                <c:pt idx="2">
                  <c:v>3.0433465287020491E-4</c:v>
                </c:pt>
                <c:pt idx="3">
                  <c:v>3.1077360673533393E-4</c:v>
                </c:pt>
                <c:pt idx="4">
                  <c:v>3.1721256124217175E-4</c:v>
                </c:pt>
                <c:pt idx="5">
                  <c:v>3.2360363016240208E-4</c:v>
                </c:pt>
                <c:pt idx="6">
                  <c:v>3.2993399151449125E-4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RESULTADOS!$L$10</c:f>
              <c:strCache>
                <c:ptCount val="1"/>
                <c:pt idx="0">
                  <c:v>Nivel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RESULTADOS!$M$8:$S$8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RESULTADOS!$M$10:$S$10</c:f>
              <c:numCache>
                <c:formatCode>0.00000</c:formatCode>
                <c:ptCount val="7"/>
                <c:pt idx="0">
                  <c:v>2.5070603046127484E-4</c:v>
                </c:pt>
                <c:pt idx="1">
                  <c:v>2.5642384217798163E-4</c:v>
                </c:pt>
                <c:pt idx="2">
                  <c:v>2.5506320697688445E-4</c:v>
                </c:pt>
                <c:pt idx="3">
                  <c:v>2.6107931941236586E-4</c:v>
                </c:pt>
                <c:pt idx="4">
                  <c:v>2.6728942838295864E-4</c:v>
                </c:pt>
                <c:pt idx="5">
                  <c:v>2.7363071567375558E-4</c:v>
                </c:pt>
                <c:pt idx="6">
                  <c:v>2.801151050164666E-4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RESULTADOS!$L$11</c:f>
              <c:strCache>
                <c:ptCount val="1"/>
                <c:pt idx="0">
                  <c:v>Nivel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RESULTADOS!$M$8:$S$8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RESULTADOS!$M$11:$S$11</c:f>
              <c:numCache>
                <c:formatCode>0.00000</c:formatCode>
                <c:ptCount val="7"/>
                <c:pt idx="0">
                  <c:v>2.4374126190323644E-4</c:v>
                </c:pt>
                <c:pt idx="1">
                  <c:v>2.4993310409100386E-4</c:v>
                </c:pt>
                <c:pt idx="2">
                  <c:v>2.364598771340368E-4</c:v>
                </c:pt>
                <c:pt idx="3">
                  <c:v>2.4277646897985093E-4</c:v>
                </c:pt>
                <c:pt idx="4">
                  <c:v>2.4949593660791598E-4</c:v>
                </c:pt>
                <c:pt idx="5">
                  <c:v>2.5664453997240153E-4</c:v>
                </c:pt>
                <c:pt idx="6">
                  <c:v>2.6427214865804797E-4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RESULTADOS!$L$12</c:f>
              <c:strCache>
                <c:ptCount val="1"/>
                <c:pt idx="0">
                  <c:v>Nivel 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RESULTADOS!$M$8:$S$8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RESULTADOS!$M$12:$S$12</c:f>
              <c:numCache>
                <c:formatCode>0.00000</c:formatCode>
                <c:ptCount val="7"/>
                <c:pt idx="0">
                  <c:v>2.1588214600024331E-4</c:v>
                </c:pt>
                <c:pt idx="1">
                  <c:v>2.2126778710836073E-4</c:v>
                </c:pt>
                <c:pt idx="2">
                  <c:v>2.0239189719788148E-4</c:v>
                </c:pt>
                <c:pt idx="3">
                  <c:v>2.0711656321925048E-4</c:v>
                </c:pt>
                <c:pt idx="4">
                  <c:v>2.1233549088384217E-4</c:v>
                </c:pt>
                <c:pt idx="5">
                  <c:v>2.1812411878362106E-4</c:v>
                </c:pt>
                <c:pt idx="6">
                  <c:v>2.2462774115183804E-4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570840"/>
        <c:axId val="411577112"/>
      </c:scatterChart>
      <c:valAx>
        <c:axId val="411570840"/>
        <c:scaling>
          <c:orientation val="minMax"/>
          <c:max val="2050"/>
          <c:min val="20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7112"/>
        <c:crosses val="autoZero"/>
        <c:crossBetween val="midCat"/>
      </c:valAx>
      <c:valAx>
        <c:axId val="411577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0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DE N2O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RESULTADOS!$L$15</c:f>
              <c:strCache>
                <c:ptCount val="1"/>
                <c:pt idx="0">
                  <c:v>Nivel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RESULTADOS!$M$14:$S$14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RESULTADOS!$M$15:$S$15</c:f>
              <c:numCache>
                <c:formatCode>0.00000</c:formatCode>
                <c:ptCount val="7"/>
                <c:pt idx="0">
                  <c:v>7.1848511482376903E-4</c:v>
                </c:pt>
                <c:pt idx="1">
                  <c:v>7.3546121365509901E-4</c:v>
                </c:pt>
                <c:pt idx="2">
                  <c:v>7.5446605545966493E-4</c:v>
                </c:pt>
                <c:pt idx="3">
                  <c:v>7.7347089726423107E-4</c:v>
                </c:pt>
                <c:pt idx="4">
                  <c:v>7.9247574096282707E-4</c:v>
                </c:pt>
                <c:pt idx="5">
                  <c:v>8.1133924834852892E-4</c:v>
                </c:pt>
                <c:pt idx="6">
                  <c:v>8.3002357480623716E-4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RESULTADOS!$L$16</c:f>
              <c:strCache>
                <c:ptCount val="1"/>
                <c:pt idx="0">
                  <c:v>Nivel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RESULTADOS!$M$14:$S$14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RESULTADOS!$M$16:$S$16</c:f>
              <c:numCache>
                <c:formatCode>0.00000</c:formatCode>
                <c:ptCount val="7"/>
                <c:pt idx="0">
                  <c:v>5.9617893205004776E-4</c:v>
                </c:pt>
                <c:pt idx="1">
                  <c:v>6.1305529262358752E-4</c:v>
                </c:pt>
                <c:pt idx="2">
                  <c:v>6.090393208846663E-4</c:v>
                </c:pt>
                <c:pt idx="3">
                  <c:v>6.2679612851362031E-4</c:v>
                </c:pt>
                <c:pt idx="4">
                  <c:v>6.4512552503475317E-4</c:v>
                </c:pt>
                <c:pt idx="5">
                  <c:v>6.6384209985781038E-4</c:v>
                </c:pt>
                <c:pt idx="6">
                  <c:v>6.8298104637594403E-4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RESULTADOS!$L$17</c:f>
              <c:strCache>
                <c:ptCount val="1"/>
                <c:pt idx="0">
                  <c:v>Nivel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RESULTADOS!$M$14:$S$14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RESULTADOS!$M$17:$S$17</c:f>
              <c:numCache>
                <c:formatCode>0.00000</c:formatCode>
                <c:ptCount val="7"/>
                <c:pt idx="0">
                  <c:v>5.7562210575434921E-4</c:v>
                </c:pt>
                <c:pt idx="1">
                  <c:v>5.9389758710150415E-4</c:v>
                </c:pt>
                <c:pt idx="2">
                  <c:v>5.5413079388050008E-4</c:v>
                </c:pt>
                <c:pt idx="3">
                  <c:v>5.7277447906418054E-4</c:v>
                </c:pt>
                <c:pt idx="4">
                  <c:v>5.9260726897961483E-4</c:v>
                </c:pt>
                <c:pt idx="5">
                  <c:v>6.137066709805193E-4</c:v>
                </c:pt>
                <c:pt idx="6">
                  <c:v>6.3621987723330828E-4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RESULTADOS!$L$18</c:f>
              <c:strCache>
                <c:ptCount val="1"/>
                <c:pt idx="0">
                  <c:v>Nivel 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RESULTADOS!$M$14:$S$14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RESULTADOS!$M$18:$S$18</c:f>
              <c:numCache>
                <c:formatCode>0.00000</c:formatCode>
                <c:ptCount val="7"/>
                <c:pt idx="0">
                  <c:v>4.9339473883697812E-4</c:v>
                </c:pt>
                <c:pt idx="1">
                  <c:v>5.0929068395785338E-4</c:v>
                </c:pt>
                <c:pt idx="2">
                  <c:v>4.535777049269234E-4</c:v>
                </c:pt>
                <c:pt idx="3">
                  <c:v>4.6752275441730765E-4</c:v>
                </c:pt>
                <c:pt idx="4">
                  <c:v>4.8292663783262228E-4</c:v>
                </c:pt>
                <c:pt idx="5">
                  <c:v>5.0001201533417228E-4</c:v>
                </c:pt>
                <c:pt idx="6">
                  <c:v>5.1920772893199337E-4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573584"/>
        <c:axId val="411573976"/>
      </c:scatterChart>
      <c:valAx>
        <c:axId val="411573584"/>
        <c:scaling>
          <c:orientation val="minMax"/>
          <c:max val="2050"/>
          <c:min val="20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3976"/>
        <c:crosses val="autoZero"/>
        <c:crossBetween val="midCat"/>
      </c:valAx>
      <c:valAx>
        <c:axId val="411573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EMISIONES GEI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RESULTADOS!$L$21</c:f>
              <c:strCache>
                <c:ptCount val="1"/>
                <c:pt idx="0">
                  <c:v>Nivel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RESULTADOS!$M$20:$S$20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RESULTADOS!$M$21:$S$21</c:f>
              <c:numCache>
                <c:formatCode>0.00000</c:formatCode>
                <c:ptCount val="7"/>
                <c:pt idx="0">
                  <c:v>0.19327384851603857</c:v>
                </c:pt>
                <c:pt idx="1">
                  <c:v>0.20003634082915123</c:v>
                </c:pt>
                <c:pt idx="2">
                  <c:v>0.20760699047558892</c:v>
                </c:pt>
                <c:pt idx="3">
                  <c:v>0.21517764012202664</c:v>
                </c:pt>
                <c:pt idx="4">
                  <c:v>0.22274829052295825</c:v>
                </c:pt>
                <c:pt idx="5">
                  <c:v>0.23026263907627417</c:v>
                </c:pt>
                <c:pt idx="6">
                  <c:v>0.23770561023833828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RESULTADOS!$L$22</c:f>
              <c:strCache>
                <c:ptCount val="1"/>
                <c:pt idx="0">
                  <c:v>Nivel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RESULTADOS!$M$20:$S$20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RESULTADOS!$M$22:$S$22</c:f>
              <c:numCache>
                <c:formatCode>0.00000</c:formatCode>
                <c:ptCount val="7"/>
                <c:pt idx="0">
                  <c:v>0.14611315909177303</c:v>
                </c:pt>
                <c:pt idx="1">
                  <c:v>0.15283592029773729</c:v>
                </c:pt>
                <c:pt idx="2">
                  <c:v>0.15123614297056887</c:v>
                </c:pt>
                <c:pt idx="3">
                  <c:v>0.15830963354630756</c:v>
                </c:pt>
                <c:pt idx="4">
                  <c:v>0.16561121704377146</c:v>
                </c:pt>
                <c:pt idx="5">
                  <c:v>0.17306703446250205</c:v>
                </c:pt>
                <c:pt idx="6">
                  <c:v>0.18069110522198015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RESULTADOS!$L$23</c:f>
              <c:strCache>
                <c:ptCount val="1"/>
                <c:pt idx="0">
                  <c:v>Nivel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RESULTADOS!$M$20:$S$20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RESULTADOS!$M$23:$S$23</c:f>
              <c:numCache>
                <c:formatCode>0.00000</c:formatCode>
                <c:ptCount val="7"/>
                <c:pt idx="0">
                  <c:v>0.13792430583056567</c:v>
                </c:pt>
                <c:pt idx="1">
                  <c:v>0.14520441201729942</c:v>
                </c:pt>
                <c:pt idx="2">
                  <c:v>0.12936316155415561</c:v>
                </c:pt>
                <c:pt idx="3">
                  <c:v>0.13678994311306425</c:v>
                </c:pt>
                <c:pt idx="4">
                  <c:v>0.14469040897882493</c:v>
                </c:pt>
                <c:pt idx="5">
                  <c:v>0.15309543449499718</c:v>
                </c:pt>
                <c:pt idx="6">
                  <c:v>0.16206365421029661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RESULTADOS!$L$24</c:f>
              <c:strCache>
                <c:ptCount val="1"/>
                <c:pt idx="0">
                  <c:v>Nivel 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RESULTADOS!$M$20:$S$20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RESULTADOS!$M$24:$S$24</c:f>
              <c:numCache>
                <c:formatCode>0.00000</c:formatCode>
                <c:ptCount val="7"/>
                <c:pt idx="0">
                  <c:v>0.10516876259875747</c:v>
                </c:pt>
                <c:pt idx="1">
                  <c:v>0.11150097165088618</c:v>
                </c:pt>
                <c:pt idx="2">
                  <c:v>8.930749856966512E-2</c:v>
                </c:pt>
                <c:pt idx="3">
                  <c:v>9.4862561067926468E-2</c:v>
                </c:pt>
                <c:pt idx="4">
                  <c:v>0.10099875550359397</c:v>
                </c:pt>
                <c:pt idx="5">
                  <c:v>0.10780477938274499</c:v>
                </c:pt>
                <c:pt idx="6">
                  <c:v>0.11545146352023404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575544"/>
        <c:axId val="411576328"/>
      </c:scatterChart>
      <c:valAx>
        <c:axId val="411575544"/>
        <c:scaling>
          <c:orientation val="minMax"/>
          <c:max val="2050"/>
          <c:min val="20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6328"/>
        <c:crosses val="autoZero"/>
        <c:crossBetween val="midCat"/>
      </c:valAx>
      <c:valAx>
        <c:axId val="411576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5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CO2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RESULTADOS!$M$42</c:f>
              <c:strCache>
                <c:ptCount val="1"/>
                <c:pt idx="0">
                  <c:v>CO2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RESULTADOS!$M$43:$M$46</c:f>
              <c:numCache>
                <c:formatCode>0.000000E+00</c:formatCode>
                <c:ptCount val="4"/>
                <c:pt idx="0" formatCode="0.00000E+00">
                  <c:v>1.4992197396981548</c:v>
                </c:pt>
                <c:pt idx="1">
                  <c:v>1.1106598426911982</c:v>
                </c:pt>
                <c:pt idx="2" formatCode="0.00000E+00">
                  <c:v>0.99232599412886335</c:v>
                </c:pt>
                <c:pt idx="3" formatCode="0.00000E+00">
                  <c:v>0.70924407033522541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571624"/>
        <c:axId val="411572016"/>
      </c:barChart>
      <c:catAx>
        <c:axId val="411571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2016"/>
        <c:crosses val="autoZero"/>
        <c:auto val="1"/>
        <c:lblAlgn val="ctr"/>
        <c:lblOffset val="100"/>
        <c:noMultiLvlLbl val="0"/>
      </c:catAx>
      <c:valAx>
        <c:axId val="41157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1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CH4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RESULTADOS!$N$42</c:f>
              <c:strCache>
                <c:ptCount val="1"/>
                <c:pt idx="0">
                  <c:v>CH4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RESULTADOS!$N$43:$N$46</c:f>
              <c:numCache>
                <c:formatCode>0.000000E+00</c:formatCode>
                <c:ptCount val="4"/>
                <c:pt idx="0" formatCode="0.00000E+00">
                  <c:v>2.1758982369008573E-3</c:v>
                </c:pt>
                <c:pt idx="1">
                  <c:v>1.8443076481016877E-3</c:v>
                </c:pt>
                <c:pt idx="2" formatCode="0.00000E+00">
                  <c:v>1.7433233373464936E-3</c:v>
                </c:pt>
                <c:pt idx="3" formatCode="0.00000E+00">
                  <c:v>1.5017457443450371E-3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573192"/>
        <c:axId val="411572800"/>
      </c:barChart>
      <c:catAx>
        <c:axId val="411573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2800"/>
        <c:crosses val="autoZero"/>
        <c:auto val="1"/>
        <c:lblAlgn val="ctr"/>
        <c:lblOffset val="100"/>
        <c:noMultiLvlLbl val="0"/>
      </c:catAx>
      <c:valAx>
        <c:axId val="41157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573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N2O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RESULTADOS!$O$42</c:f>
              <c:strCache>
                <c:ptCount val="1"/>
                <c:pt idx="0">
                  <c:v>N2O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RESULTADOS!$O$43:$O$46</c:f>
              <c:numCache>
                <c:formatCode>0.000000E+00</c:formatCode>
                <c:ptCount val="4"/>
                <c:pt idx="0" formatCode="0.00000E+00">
                  <c:v>5.4157218453203572E-3</c:v>
                </c:pt>
                <c:pt idx="1">
                  <c:v>4.4370183453404299E-3</c:v>
                </c:pt>
                <c:pt idx="2" formatCode="0.00000E+00">
                  <c:v>4.1389587829939768E-3</c:v>
                </c:pt>
                <c:pt idx="3" formatCode="0.00000E+00">
                  <c:v>3.4259322642378508E-3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2044688"/>
        <c:axId val="412049784"/>
      </c:barChart>
      <c:catAx>
        <c:axId val="412044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2049784"/>
        <c:crosses val="autoZero"/>
        <c:auto val="1"/>
        <c:lblAlgn val="ctr"/>
        <c:lblOffset val="100"/>
        <c:noMultiLvlLbl val="0"/>
      </c:catAx>
      <c:valAx>
        <c:axId val="412049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204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476250</xdr:colOff>
      <xdr:row>2</xdr:row>
      <xdr:rowOff>166007</xdr:rowOff>
    </xdr:from>
    <xdr:to>
      <xdr:col>23</xdr:col>
      <xdr:colOff>217714</xdr:colOff>
      <xdr:row>16</xdr:row>
      <xdr:rowOff>38100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452438</xdr:colOff>
      <xdr:row>16</xdr:row>
      <xdr:rowOff>63500</xdr:rowOff>
    </xdr:from>
    <xdr:to>
      <xdr:col>23</xdr:col>
      <xdr:colOff>211666</xdr:colOff>
      <xdr:row>29</xdr:row>
      <xdr:rowOff>63500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539750</xdr:colOff>
      <xdr:row>0</xdr:row>
      <xdr:rowOff>0</xdr:rowOff>
    </xdr:from>
    <xdr:to>
      <xdr:col>25</xdr:col>
      <xdr:colOff>539750</xdr:colOff>
      <xdr:row>9</xdr:row>
      <xdr:rowOff>187325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539750</xdr:colOff>
      <xdr:row>9</xdr:row>
      <xdr:rowOff>168275</xdr:rowOff>
    </xdr:from>
    <xdr:to>
      <xdr:col>25</xdr:col>
      <xdr:colOff>539750</xdr:colOff>
      <xdr:row>20</xdr:row>
      <xdr:rowOff>69850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539750</xdr:colOff>
      <xdr:row>20</xdr:row>
      <xdr:rowOff>57150</xdr:rowOff>
    </xdr:from>
    <xdr:to>
      <xdr:col>25</xdr:col>
      <xdr:colOff>539750</xdr:colOff>
      <xdr:row>34</xdr:row>
      <xdr:rowOff>133350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76200</xdr:colOff>
      <xdr:row>25</xdr:row>
      <xdr:rowOff>95250</xdr:rowOff>
    </xdr:from>
    <xdr:to>
      <xdr:col>16</xdr:col>
      <xdr:colOff>495300</xdr:colOff>
      <xdr:row>39</xdr:row>
      <xdr:rowOff>171450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35717</xdr:colOff>
      <xdr:row>40</xdr:row>
      <xdr:rowOff>176213</xdr:rowOff>
    </xdr:from>
    <xdr:to>
      <xdr:col>21</xdr:col>
      <xdr:colOff>726281</xdr:colOff>
      <xdr:row>52</xdr:row>
      <xdr:rowOff>119062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119061</xdr:colOff>
      <xdr:row>53</xdr:row>
      <xdr:rowOff>57151</xdr:rowOff>
    </xdr:from>
    <xdr:to>
      <xdr:col>21</xdr:col>
      <xdr:colOff>714373</xdr:colOff>
      <xdr:row>67</xdr:row>
      <xdr:rowOff>133351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107157</xdr:colOff>
      <xdr:row>67</xdr:row>
      <xdr:rowOff>166687</xdr:rowOff>
    </xdr:from>
    <xdr:to>
      <xdr:col>21</xdr:col>
      <xdr:colOff>714376</xdr:colOff>
      <xdr:row>81</xdr:row>
      <xdr:rowOff>11906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559594</xdr:colOff>
      <xdr:row>47</xdr:row>
      <xdr:rowOff>188119</xdr:rowOff>
    </xdr:from>
    <xdr:to>
      <xdr:col>16</xdr:col>
      <xdr:colOff>226219</xdr:colOff>
      <xdr:row>62</xdr:row>
      <xdr:rowOff>73819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234723</xdr:colOff>
      <xdr:row>31</xdr:row>
      <xdr:rowOff>114981</xdr:rowOff>
    </xdr:from>
    <xdr:to>
      <xdr:col>7</xdr:col>
      <xdr:colOff>823232</xdr:colOff>
      <xdr:row>43</xdr:row>
      <xdr:rowOff>119743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583406</xdr:colOff>
      <xdr:row>62</xdr:row>
      <xdr:rowOff>104775</xdr:rowOff>
    </xdr:from>
    <xdr:to>
      <xdr:col>16</xdr:col>
      <xdr:colOff>166687</xdr:colOff>
      <xdr:row>76</xdr:row>
      <xdr:rowOff>180975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za\Downloads\Universidad\X%20Sem\model_san_andr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List"/>
      <sheetName val="Preferences"/>
      <sheetName val="Control"/>
      <sheetName val="Land"/>
      <sheetName val="Emisiones"/>
      <sheetName val="Costs per capita"/>
      <sheetName val="Costs"/>
      <sheetName val="Intermediate output"/>
      <sheetName val="Flows"/>
      <sheetName val="Energy"/>
      <sheetName val="Electricity"/>
      <sheetName val="GHG"/>
      <sheetName val="Indicators"/>
      <sheetName val="Conversions"/>
      <sheetName val="Constants"/>
      <sheetName val="Global assumptions"/>
      <sheetName val="Structure of the model"/>
      <sheetName val="I.a"/>
      <sheetName val="II.a.1"/>
      <sheetName val="II.a.2"/>
      <sheetName val="II.b.1"/>
      <sheetName val="II.b.2"/>
      <sheetName val="II.c"/>
      <sheetName val="II.d"/>
      <sheetName val="III.a"/>
      <sheetName val="IV.a"/>
      <sheetName val="V.a"/>
      <sheetName val="V.b"/>
      <sheetName val="VI.a"/>
      <sheetName val="VII.a"/>
      <sheetName val="VII.b"/>
      <sheetName val="VII.c"/>
      <sheetName val="VIII.a.1"/>
      <sheetName val="VIII.a.2"/>
      <sheetName val="VIII.b"/>
      <sheetName val="IX.a.1"/>
      <sheetName val="IX.a.2"/>
      <sheetName val="X.a"/>
      <sheetName val="XI.a"/>
      <sheetName val="XI.b"/>
      <sheetName val="XI.c"/>
      <sheetName val="XI.d"/>
      <sheetName val="XII.a"/>
      <sheetName val="XII.b"/>
      <sheetName val="XII.c"/>
      <sheetName val="XIII.a"/>
      <sheetName val="XIII.b"/>
      <sheetName val="XIV.a"/>
      <sheetName val="XV.a"/>
      <sheetName val="XVII.a.1"/>
      <sheetName val="XVII.a.2"/>
      <sheetName val="XVII.a.3"/>
      <sheetName val="2007 (Actual, frozen)"/>
      <sheetName val="2007 (Consistent)"/>
      <sheetName val="2007"/>
      <sheetName val="2010"/>
      <sheetName val="2015"/>
      <sheetName val="2020"/>
      <sheetName val="2025"/>
      <sheetName val="2030"/>
      <sheetName val="2035"/>
      <sheetName val="2040"/>
      <sheetName val="2045"/>
      <sheetName val="2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0">
          <cell r="F10">
            <v>1E-3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opLeftCell="A5" zoomScale="80" zoomScaleNormal="80" workbookViewId="0">
      <selection activeCell="B10" sqref="B10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185" t="s">
        <v>5</v>
      </c>
      <c r="G2" s="182">
        <v>0</v>
      </c>
      <c r="H2" s="182">
        <v>1</v>
      </c>
      <c r="I2" s="3" t="s">
        <v>6</v>
      </c>
      <c r="J2" s="3">
        <f>J4-J3</f>
        <v>227377.00399999999</v>
      </c>
      <c r="K2" s="4">
        <v>0.97030000000000005</v>
      </c>
    </row>
    <row r="3" spans="1:11" x14ac:dyDescent="0.25">
      <c r="F3" s="183"/>
      <c r="G3" s="183"/>
      <c r="H3" s="183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184"/>
      <c r="G4" s="184"/>
      <c r="H4" s="184"/>
      <c r="I4" s="7" t="s">
        <v>8</v>
      </c>
      <c r="J4" s="8">
        <v>236137.00399999999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185" t="s">
        <v>12</v>
      </c>
      <c r="G7" s="182">
        <v>0.25</v>
      </c>
      <c r="H7" s="182">
        <v>0.75</v>
      </c>
      <c r="I7" s="3" t="s">
        <v>6</v>
      </c>
      <c r="J7" s="3">
        <f>J2*H7</f>
        <v>170532.753</v>
      </c>
      <c r="K7" s="4">
        <f t="shared" ref="K7:K11" si="0">J7/$J$4</f>
        <v>0.72217716881001848</v>
      </c>
    </row>
    <row r="8" spans="1:11" ht="30" x14ac:dyDescent="0.25">
      <c r="A8" s="15" t="s">
        <v>13</v>
      </c>
      <c r="B8" s="16">
        <f>EÓLICA!G19</f>
        <v>73314.240000000005</v>
      </c>
      <c r="C8" s="17">
        <f>B8/B11</f>
        <v>0.88834879371912778</v>
      </c>
      <c r="D8" s="189">
        <f>B13/$J$4</f>
        <v>-0.10876911947269396</v>
      </c>
      <c r="F8" s="183"/>
      <c r="G8" s="183"/>
      <c r="H8" s="183"/>
      <c r="I8" s="3" t="s">
        <v>7</v>
      </c>
      <c r="J8" s="3">
        <f>+J3</f>
        <v>8760</v>
      </c>
      <c r="K8" s="4">
        <f t="shared" si="0"/>
        <v>3.7097108253308746E-2</v>
      </c>
    </row>
    <row r="9" spans="1:11" x14ac:dyDescent="0.25">
      <c r="A9" s="15" t="s">
        <v>14</v>
      </c>
      <c r="B9" s="18">
        <f>SOLAR!F4</f>
        <v>9214.4249999999993</v>
      </c>
      <c r="C9" s="19">
        <f>B9/B11</f>
        <v>0.1116512062808722</v>
      </c>
      <c r="D9" s="183"/>
      <c r="F9" s="183"/>
      <c r="G9" s="183"/>
      <c r="H9" s="183"/>
      <c r="I9" s="20" t="s">
        <v>15</v>
      </c>
      <c r="J9" s="20">
        <f t="shared" ref="J9:J10" si="1">B8</f>
        <v>73314.240000000005</v>
      </c>
      <c r="K9" s="21">
        <f t="shared" si="0"/>
        <v>0.31047332166541763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0.68525048842120495</v>
      </c>
      <c r="D10" s="183"/>
      <c r="F10" s="183"/>
      <c r="G10" s="183"/>
      <c r="H10" s="183"/>
      <c r="I10" s="24" t="s">
        <v>17</v>
      </c>
      <c r="J10" s="24">
        <f t="shared" si="1"/>
        <v>9214.4249999999993</v>
      </c>
      <c r="K10" s="25">
        <f t="shared" si="0"/>
        <v>3.9021520743949135E-2</v>
      </c>
    </row>
    <row r="11" spans="1:11" x14ac:dyDescent="0.25">
      <c r="A11" s="26" t="s">
        <v>18</v>
      </c>
      <c r="B11" s="188">
        <f>SUM(B8:B9)</f>
        <v>82528.665000000008</v>
      </c>
      <c r="C11" s="187"/>
      <c r="D11" s="183"/>
      <c r="F11" s="183"/>
      <c r="G11" s="183"/>
      <c r="H11" s="183"/>
      <c r="I11" s="27" t="s">
        <v>19</v>
      </c>
      <c r="J11" s="28">
        <v>0</v>
      </c>
      <c r="K11" s="29">
        <f t="shared" si="0"/>
        <v>0</v>
      </c>
    </row>
    <row r="12" spans="1:11" x14ac:dyDescent="0.25">
      <c r="A12" s="30" t="s">
        <v>20</v>
      </c>
      <c r="B12" s="188">
        <f>J2*G7</f>
        <v>56844.250999999997</v>
      </c>
      <c r="C12" s="187"/>
      <c r="D12" s="183"/>
      <c r="F12" s="184"/>
      <c r="G12" s="184"/>
      <c r="H12" s="184"/>
      <c r="I12" s="7" t="s">
        <v>18</v>
      </c>
      <c r="J12" s="7">
        <f t="shared" ref="J12:K12" si="2">SUM(J7:J10)</f>
        <v>261821.41800000001</v>
      </c>
      <c r="K12" s="31">
        <f t="shared" si="2"/>
        <v>1.1087691194726939</v>
      </c>
    </row>
    <row r="13" spans="1:11" x14ac:dyDescent="0.25">
      <c r="A13" s="30" t="s">
        <v>21</v>
      </c>
      <c r="B13" s="188">
        <f>B12-B11</f>
        <v>-25684.414000000012</v>
      </c>
      <c r="C13" s="187"/>
      <c r="D13" s="184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EÓLICA!G19</f>
        <v>73314.240000000005</v>
      </c>
      <c r="C15" s="17">
        <f>B15/B18</f>
        <v>0.52713160436544992</v>
      </c>
      <c r="D15" s="189">
        <f>B20/J4</f>
        <v>-0.30011548634706997</v>
      </c>
      <c r="F15" s="185" t="s">
        <v>22</v>
      </c>
      <c r="G15" s="182">
        <v>0.3</v>
      </c>
      <c r="H15" s="182">
        <v>0.7</v>
      </c>
      <c r="I15" s="3" t="s">
        <v>6</v>
      </c>
      <c r="J15" s="3">
        <f>J2*H15</f>
        <v>159163.90279999998</v>
      </c>
      <c r="K15" s="4">
        <f t="shared" ref="K15:K19" si="3">J15/$J$4</f>
        <v>0.67403202422268382</v>
      </c>
    </row>
    <row r="16" spans="1:11" x14ac:dyDescent="0.25">
      <c r="A16" s="35" t="s">
        <v>14</v>
      </c>
      <c r="B16" s="37">
        <f>SOLAR!F4</f>
        <v>9214.4249999999993</v>
      </c>
      <c r="C16" s="38">
        <f>B16/B18</f>
        <v>6.6251994613258078E-2</v>
      </c>
      <c r="D16" s="183"/>
      <c r="F16" s="183"/>
      <c r="G16" s="183"/>
      <c r="H16" s="183"/>
      <c r="I16" s="3" t="s">
        <v>7</v>
      </c>
      <c r="J16" s="3">
        <f>J3</f>
        <v>8760</v>
      </c>
      <c r="K16" s="4">
        <f t="shared" si="3"/>
        <v>3.7097108253308746E-2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0.4066164010212921</v>
      </c>
      <c r="D17" s="183"/>
      <c r="F17" s="183"/>
      <c r="G17" s="183"/>
      <c r="H17" s="183"/>
      <c r="I17" s="20" t="s">
        <v>15</v>
      </c>
      <c r="J17" s="20">
        <f t="shared" ref="J17:J19" si="4">B15</f>
        <v>73314.240000000005</v>
      </c>
      <c r="K17" s="21">
        <f t="shared" si="3"/>
        <v>0.31047332166541763</v>
      </c>
    </row>
    <row r="18" spans="1:11" x14ac:dyDescent="0.25">
      <c r="A18" s="40" t="s">
        <v>18</v>
      </c>
      <c r="B18" s="186">
        <f>SUM(B15:B17)</f>
        <v>139081.473</v>
      </c>
      <c r="C18" s="187"/>
      <c r="D18" s="183"/>
      <c r="F18" s="183"/>
      <c r="G18" s="183"/>
      <c r="H18" s="183"/>
      <c r="I18" s="24" t="s">
        <v>17</v>
      </c>
      <c r="J18" s="24">
        <f t="shared" si="4"/>
        <v>9214.4249999999993</v>
      </c>
      <c r="K18" s="25">
        <f t="shared" si="3"/>
        <v>3.9021520743949135E-2</v>
      </c>
    </row>
    <row r="19" spans="1:11" x14ac:dyDescent="0.25">
      <c r="A19" s="30" t="s">
        <v>23</v>
      </c>
      <c r="B19" s="188">
        <f>J2*G15</f>
        <v>68213.10119999999</v>
      </c>
      <c r="C19" s="187"/>
      <c r="D19" s="183"/>
      <c r="F19" s="183"/>
      <c r="G19" s="183"/>
      <c r="H19" s="183"/>
      <c r="I19" s="27" t="s">
        <v>19</v>
      </c>
      <c r="J19" s="28">
        <f t="shared" si="4"/>
        <v>56552.808000000005</v>
      </c>
      <c r="K19" s="29">
        <f t="shared" si="3"/>
        <v>0.23949151146171063</v>
      </c>
    </row>
    <row r="20" spans="1:11" x14ac:dyDescent="0.25">
      <c r="A20" s="30" t="s">
        <v>21</v>
      </c>
      <c r="B20" s="188">
        <f>B19-B18</f>
        <v>-70868.371800000008</v>
      </c>
      <c r="C20" s="187"/>
      <c r="D20" s="184"/>
      <c r="F20" s="184"/>
      <c r="G20" s="184"/>
      <c r="H20" s="184"/>
      <c r="I20" s="7" t="s">
        <v>18</v>
      </c>
      <c r="J20" s="7">
        <f>SUM(J15:J19)</f>
        <v>307005.37579999998</v>
      </c>
      <c r="K20" s="41">
        <f>SUM(K15:K19)</f>
        <v>1.3001154863470699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EÓLICA!G19</f>
        <v>73314.240000000005</v>
      </c>
      <c r="C23" s="44">
        <f>B23/B26</f>
        <v>0.37475149869055924</v>
      </c>
      <c r="D23" s="189">
        <f>B28/J4</f>
        <v>-0.3470264194594424</v>
      </c>
      <c r="F23" s="185" t="s">
        <v>24</v>
      </c>
      <c r="G23" s="182">
        <v>0.5</v>
      </c>
      <c r="H23" s="182">
        <v>0.5</v>
      </c>
      <c r="I23" s="3" t="s">
        <v>6</v>
      </c>
      <c r="J23" s="3">
        <f>J2*H23</f>
        <v>113688.50199999999</v>
      </c>
      <c r="K23" s="4">
        <f t="shared" ref="K23:K27" si="5">J23/$J$4</f>
        <v>0.48145144587334565</v>
      </c>
    </row>
    <row r="24" spans="1:11" ht="15.75" customHeight="1" x14ac:dyDescent="0.25">
      <c r="A24" s="35" t="s">
        <v>14</v>
      </c>
      <c r="B24" s="37">
        <f>SOLAR!F4</f>
        <v>9214.4249999999993</v>
      </c>
      <c r="C24" s="19">
        <f>B24/B26</f>
        <v>4.7100257444143943E-2</v>
      </c>
      <c r="D24" s="183"/>
      <c r="F24" s="183"/>
      <c r="G24" s="183"/>
      <c r="H24" s="183"/>
      <c r="I24" s="3" t="s">
        <v>7</v>
      </c>
      <c r="J24" s="3">
        <f>J3</f>
        <v>8760</v>
      </c>
      <c r="K24" s="4">
        <f t="shared" si="5"/>
        <v>3.7097108253308746E-2</v>
      </c>
    </row>
    <row r="25" spans="1:11" ht="15.75" customHeight="1" x14ac:dyDescent="0.25">
      <c r="A25" s="15" t="s">
        <v>26</v>
      </c>
      <c r="B25" s="39">
        <f>GLP!H3*2</f>
        <v>113105.61600000001</v>
      </c>
      <c r="C25" s="23">
        <f>B25/B26</f>
        <v>0.57814824386529684</v>
      </c>
      <c r="D25" s="183"/>
      <c r="F25" s="183"/>
      <c r="G25" s="183"/>
      <c r="H25" s="183"/>
      <c r="I25" s="20" t="s">
        <v>15</v>
      </c>
      <c r="J25" s="20">
        <f t="shared" ref="J25:J27" si="6">B23</f>
        <v>73314.240000000005</v>
      </c>
      <c r="K25" s="45">
        <f t="shared" si="5"/>
        <v>0.31047332166541763</v>
      </c>
    </row>
    <row r="26" spans="1:11" ht="15.75" customHeight="1" x14ac:dyDescent="0.25">
      <c r="A26" s="46" t="s">
        <v>18</v>
      </c>
      <c r="B26" s="190">
        <f>SUM(B23:B25)</f>
        <v>195634.28100000002</v>
      </c>
      <c r="C26" s="191"/>
      <c r="D26" s="183"/>
      <c r="F26" s="183"/>
      <c r="G26" s="183"/>
      <c r="H26" s="183"/>
      <c r="I26" s="24" t="s">
        <v>17</v>
      </c>
      <c r="J26" s="24">
        <f t="shared" si="6"/>
        <v>9214.4249999999993</v>
      </c>
      <c r="K26" s="47">
        <f t="shared" si="5"/>
        <v>3.9021520743949135E-2</v>
      </c>
    </row>
    <row r="27" spans="1:11" ht="15.75" customHeight="1" x14ac:dyDescent="0.25">
      <c r="A27" s="30" t="s">
        <v>27</v>
      </c>
      <c r="B27" s="188">
        <f>J2*G23</f>
        <v>113688.50199999999</v>
      </c>
      <c r="C27" s="187"/>
      <c r="D27" s="183"/>
      <c r="F27" s="183"/>
      <c r="G27" s="183"/>
      <c r="H27" s="183"/>
      <c r="I27" s="27" t="s">
        <v>19</v>
      </c>
      <c r="J27" s="27">
        <f t="shared" si="6"/>
        <v>113105.61600000001</v>
      </c>
      <c r="K27" s="48">
        <f t="shared" si="5"/>
        <v>0.47898302292342126</v>
      </c>
    </row>
    <row r="28" spans="1:11" ht="15.75" customHeight="1" x14ac:dyDescent="0.25">
      <c r="A28" s="30" t="s">
        <v>21</v>
      </c>
      <c r="B28" s="188">
        <f>B27-B26</f>
        <v>-81945.779000000024</v>
      </c>
      <c r="C28" s="187"/>
      <c r="D28" s="184"/>
      <c r="F28" s="184"/>
      <c r="G28" s="184"/>
      <c r="H28" s="184"/>
      <c r="I28" s="7" t="s">
        <v>18</v>
      </c>
      <c r="J28" s="7">
        <f>SUM(J23:J27)</f>
        <v>318082.783</v>
      </c>
      <c r="K28" s="41">
        <f>SUM(K23:K27)</f>
        <v>1.3470264194594423</v>
      </c>
    </row>
    <row r="29" spans="1:11" ht="15.75" customHeight="1" x14ac:dyDescent="0.25"/>
    <row r="30" spans="1:11" ht="15.75" customHeight="1" x14ac:dyDescent="0.25">
      <c r="A30" s="49"/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B26:C26"/>
    <mergeCell ref="B27:C27"/>
    <mergeCell ref="B28:C28"/>
    <mergeCell ref="H2:H4"/>
    <mergeCell ref="H15:H20"/>
    <mergeCell ref="G15:G20"/>
    <mergeCell ref="G2:G4"/>
    <mergeCell ref="F2:F4"/>
    <mergeCell ref="H23:H28"/>
    <mergeCell ref="F7:F12"/>
    <mergeCell ref="F15:F20"/>
    <mergeCell ref="B18:C18"/>
    <mergeCell ref="B19:C19"/>
    <mergeCell ref="H7:H12"/>
    <mergeCell ref="G7:G12"/>
    <mergeCell ref="D8:D13"/>
    <mergeCell ref="G23:G28"/>
    <mergeCell ref="F23:F28"/>
    <mergeCell ref="D23:D28"/>
    <mergeCell ref="D15:D20"/>
    <mergeCell ref="B11:C11"/>
    <mergeCell ref="B12:C12"/>
    <mergeCell ref="B13:C13"/>
    <mergeCell ref="B20:C20"/>
  </mergeCell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2:H13"/>
  <sheetViews>
    <sheetView topLeftCell="B1" zoomScale="90" zoomScaleNormal="90" workbookViewId="0">
      <selection activeCell="F4" sqref="F4"/>
    </sheetView>
  </sheetViews>
  <sheetFormatPr baseColWidth="10" defaultColWidth="14.42578125" defaultRowHeight="15" customHeight="1" x14ac:dyDescent="0.25"/>
  <cols>
    <col min="3" max="3" width="10.140625" customWidth="1"/>
    <col min="4" max="4" width="18.85546875" customWidth="1"/>
    <col min="5" max="5" width="24.42578125" customWidth="1"/>
    <col min="6" max="6" width="26.7109375" customWidth="1"/>
    <col min="7" max="7" width="18.5703125" customWidth="1"/>
    <col min="8" max="8" width="33" customWidth="1"/>
  </cols>
  <sheetData>
    <row r="2" spans="3:8" x14ac:dyDescent="0.25">
      <c r="C2" s="62" t="s">
        <v>57</v>
      </c>
      <c r="D2" s="62" t="s">
        <v>58</v>
      </c>
      <c r="E2" s="62" t="s">
        <v>59</v>
      </c>
      <c r="F2" s="62" t="s">
        <v>60</v>
      </c>
      <c r="G2" s="62" t="s">
        <v>61</v>
      </c>
      <c r="H2" s="62" t="s">
        <v>44</v>
      </c>
    </row>
    <row r="3" spans="3:8" ht="32.25" customHeight="1" x14ac:dyDescent="0.25">
      <c r="C3" s="63" t="s">
        <v>62</v>
      </c>
      <c r="D3" s="65">
        <v>19.100000000000001</v>
      </c>
      <c r="E3" s="65">
        <v>24</v>
      </c>
      <c r="F3" s="66">
        <f>E3*365</f>
        <v>8760</v>
      </c>
      <c r="G3" s="68">
        <v>0.33800000000000002</v>
      </c>
      <c r="H3" s="66">
        <f>G3*F3*D3</f>
        <v>56552.808000000005</v>
      </c>
    </row>
    <row r="6" spans="3:8" x14ac:dyDescent="0.25">
      <c r="D6" s="153"/>
      <c r="E6" s="154"/>
    </row>
    <row r="7" spans="3:8" x14ac:dyDescent="0.25">
      <c r="D7" s="153"/>
      <c r="E7" s="154"/>
    </row>
    <row r="8" spans="3:8" x14ac:dyDescent="0.25">
      <c r="D8" s="153"/>
      <c r="E8" s="154"/>
    </row>
    <row r="9" spans="3:8" x14ac:dyDescent="0.25">
      <c r="D9" s="153"/>
      <c r="E9" s="154"/>
    </row>
    <row r="12" spans="3:8" x14ac:dyDescent="0.25">
      <c r="C12" s="6" t="s">
        <v>72</v>
      </c>
    </row>
    <row r="13" spans="3:8" ht="15" customHeight="1" x14ac:dyDescent="0.25">
      <c r="C13" s="118" t="s">
        <v>71</v>
      </c>
    </row>
  </sheetData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H24"/>
  <sheetViews>
    <sheetView workbookViewId="0">
      <selection activeCell="B18" sqref="B18"/>
    </sheetView>
  </sheetViews>
  <sheetFormatPr baseColWidth="10" defaultColWidth="14.42578125" defaultRowHeight="15" customHeight="1" x14ac:dyDescent="0.25"/>
  <cols>
    <col min="1" max="1" width="12.5703125" customWidth="1"/>
    <col min="2" max="2" width="25.85546875" customWidth="1"/>
    <col min="3" max="3" width="25.140625" customWidth="1"/>
    <col min="4" max="4" width="19.5703125" customWidth="1"/>
    <col min="5" max="5" width="21.140625" customWidth="1"/>
    <col min="6" max="6" width="21.85546875" customWidth="1"/>
    <col min="7" max="7" width="28.140625" customWidth="1"/>
    <col min="8" max="8" width="32.140625" customWidth="1"/>
  </cols>
  <sheetData>
    <row r="2" spans="2:8" x14ac:dyDescent="0.25">
      <c r="B2" s="64" t="s">
        <v>57</v>
      </c>
      <c r="C2" s="64" t="s">
        <v>63</v>
      </c>
      <c r="D2" s="64" t="s">
        <v>64</v>
      </c>
      <c r="E2" s="64" t="s">
        <v>65</v>
      </c>
      <c r="F2" s="64" t="s">
        <v>66</v>
      </c>
      <c r="G2" s="64" t="s">
        <v>67</v>
      </c>
      <c r="H2" s="62" t="s">
        <v>68</v>
      </c>
    </row>
    <row r="3" spans="2:8" x14ac:dyDescent="0.25">
      <c r="B3" s="60" t="s">
        <v>69</v>
      </c>
      <c r="C3" s="56">
        <v>9.69</v>
      </c>
      <c r="D3" s="56">
        <v>98.7</v>
      </c>
      <c r="E3" s="56">
        <v>77.7</v>
      </c>
      <c r="F3" s="56">
        <f t="shared" ref="F3:F12" si="0">(D3*C3)/100</f>
        <v>9.5640300000000007</v>
      </c>
      <c r="G3" s="56">
        <f t="shared" ref="G3:G12" si="1">(E3*C3)/100</f>
        <v>7.5291300000000003</v>
      </c>
      <c r="H3" s="67">
        <v>6.9500000000000006E-2</v>
      </c>
    </row>
    <row r="4" spans="2:8" x14ac:dyDescent="0.25">
      <c r="B4" s="69" t="s">
        <v>70</v>
      </c>
      <c r="C4" s="71">
        <v>9.69</v>
      </c>
      <c r="D4" s="71">
        <v>92</v>
      </c>
      <c r="E4" s="71">
        <v>79</v>
      </c>
      <c r="F4" s="71">
        <f t="shared" si="0"/>
        <v>8.9147999999999996</v>
      </c>
      <c r="G4" s="71">
        <f t="shared" si="1"/>
        <v>7.6551</v>
      </c>
      <c r="H4" s="67">
        <v>6.9500000000000006E-2</v>
      </c>
    </row>
    <row r="5" spans="2:8" x14ac:dyDescent="0.25">
      <c r="B5" s="60" t="s">
        <v>73</v>
      </c>
      <c r="C5" s="56">
        <v>2.85</v>
      </c>
      <c r="D5" s="56">
        <v>65.099999999999994</v>
      </c>
      <c r="E5" s="56">
        <v>78.900000000000006</v>
      </c>
      <c r="F5" s="56">
        <f t="shared" si="0"/>
        <v>1.8553500000000001</v>
      </c>
      <c r="G5" s="56">
        <f t="shared" si="1"/>
        <v>2.24865</v>
      </c>
      <c r="H5" s="72">
        <v>7.0999999999999994E-2</v>
      </c>
    </row>
    <row r="6" spans="2:8" x14ac:dyDescent="0.25">
      <c r="B6" s="69" t="s">
        <v>73</v>
      </c>
      <c r="C6" s="71">
        <v>2.85</v>
      </c>
      <c r="D6" s="71">
        <v>31.6</v>
      </c>
      <c r="E6" s="71">
        <v>75.8</v>
      </c>
      <c r="F6" s="71">
        <f t="shared" si="0"/>
        <v>0.90060000000000007</v>
      </c>
      <c r="G6" s="71">
        <f t="shared" si="1"/>
        <v>2.1602999999999999</v>
      </c>
      <c r="H6" s="72">
        <v>7.0999999999999994E-2</v>
      </c>
    </row>
    <row r="7" spans="2:8" x14ac:dyDescent="0.25">
      <c r="B7" s="60" t="s">
        <v>73</v>
      </c>
      <c r="C7" s="56">
        <v>2.85</v>
      </c>
      <c r="D7" s="56">
        <v>26.3</v>
      </c>
      <c r="E7" s="56">
        <v>75.400000000000006</v>
      </c>
      <c r="F7" s="56">
        <f t="shared" si="0"/>
        <v>0.74954999999999994</v>
      </c>
      <c r="G7" s="56">
        <f>(E7*C7)/100</f>
        <v>2.1489000000000003</v>
      </c>
      <c r="H7" s="72">
        <v>7.0999999999999994E-2</v>
      </c>
    </row>
    <row r="8" spans="2:8" x14ac:dyDescent="0.25">
      <c r="B8" s="69" t="s">
        <v>73</v>
      </c>
      <c r="C8" s="71">
        <v>2.85</v>
      </c>
      <c r="D8" s="71">
        <v>62</v>
      </c>
      <c r="E8" s="71">
        <v>79</v>
      </c>
      <c r="F8" s="71">
        <f t="shared" si="0"/>
        <v>1.7670000000000001</v>
      </c>
      <c r="G8" s="71">
        <f t="shared" si="1"/>
        <v>2.2515000000000001</v>
      </c>
      <c r="H8" s="72">
        <v>7.0999999999999994E-2</v>
      </c>
    </row>
    <row r="9" spans="2:8" x14ac:dyDescent="0.25">
      <c r="B9" s="60" t="s">
        <v>73</v>
      </c>
      <c r="C9" s="56">
        <v>2.85</v>
      </c>
      <c r="D9" s="56">
        <v>6.7</v>
      </c>
      <c r="E9" s="56">
        <v>67</v>
      </c>
      <c r="F9" s="56">
        <f t="shared" si="0"/>
        <v>0.19095000000000004</v>
      </c>
      <c r="G9" s="56">
        <f t="shared" si="1"/>
        <v>1.9095000000000002</v>
      </c>
      <c r="H9" s="72">
        <v>7.0999999999999994E-2</v>
      </c>
    </row>
    <row r="10" spans="2:8" x14ac:dyDescent="0.25">
      <c r="B10" s="69" t="s">
        <v>73</v>
      </c>
      <c r="C10" s="71">
        <v>2.85</v>
      </c>
      <c r="D10" s="71">
        <v>88.6</v>
      </c>
      <c r="E10" s="71">
        <v>81.8</v>
      </c>
      <c r="F10" s="71">
        <f t="shared" si="0"/>
        <v>2.5251000000000001</v>
      </c>
      <c r="G10" s="71">
        <f t="shared" si="1"/>
        <v>2.3313000000000001</v>
      </c>
      <c r="H10" s="72">
        <v>7.0999999999999994E-2</v>
      </c>
    </row>
    <row r="11" spans="2:8" x14ac:dyDescent="0.25">
      <c r="B11" s="60" t="s">
        <v>78</v>
      </c>
      <c r="C11" s="56">
        <v>14.4</v>
      </c>
      <c r="D11" s="56">
        <v>90</v>
      </c>
      <c r="E11" s="56">
        <v>90</v>
      </c>
      <c r="F11" s="56">
        <f t="shared" si="0"/>
        <v>12.96</v>
      </c>
      <c r="G11" s="56">
        <f t="shared" si="1"/>
        <v>12.96</v>
      </c>
      <c r="H11" s="70"/>
    </row>
    <row r="12" spans="2:8" x14ac:dyDescent="0.25">
      <c r="B12" s="69" t="s">
        <v>78</v>
      </c>
      <c r="C12" s="71">
        <v>14.4</v>
      </c>
      <c r="D12" s="71">
        <v>90</v>
      </c>
      <c r="E12" s="71">
        <v>90</v>
      </c>
      <c r="F12" s="71">
        <f t="shared" si="0"/>
        <v>12.96</v>
      </c>
      <c r="G12" s="71">
        <f t="shared" si="1"/>
        <v>12.96</v>
      </c>
      <c r="H12" s="70"/>
    </row>
    <row r="13" spans="2:8" x14ac:dyDescent="0.25">
      <c r="B13" s="57"/>
      <c r="C13" s="57"/>
      <c r="D13" s="57"/>
    </row>
    <row r="15" spans="2:8" x14ac:dyDescent="0.25">
      <c r="E15" s="64" t="s">
        <v>80</v>
      </c>
      <c r="F15" s="56">
        <f t="shared" ref="F15:G15" si="2">SUM(F3:F12)</f>
        <v>52.387380000000007</v>
      </c>
      <c r="G15" s="56">
        <f t="shared" si="2"/>
        <v>54.154380000000003</v>
      </c>
    </row>
    <row r="17" spans="2:7" x14ac:dyDescent="0.25">
      <c r="F17" s="55" t="s">
        <v>83</v>
      </c>
      <c r="G17" s="56">
        <f>G15*24*365</f>
        <v>474392.36880000005</v>
      </c>
    </row>
    <row r="18" spans="2:7" x14ac:dyDescent="0.25">
      <c r="B18" s="6" t="s">
        <v>87</v>
      </c>
      <c r="F18" s="55" t="s">
        <v>88</v>
      </c>
      <c r="G18" s="74">
        <v>286266.49099999998</v>
      </c>
    </row>
    <row r="21" spans="2:7" x14ac:dyDescent="0.25">
      <c r="E21" s="75"/>
    </row>
    <row r="22" spans="2:7" x14ac:dyDescent="0.25">
      <c r="E22" s="75"/>
    </row>
    <row r="23" spans="2:7" x14ac:dyDescent="0.25">
      <c r="E23" s="75"/>
    </row>
    <row r="24" spans="2:7" x14ac:dyDescent="0.25">
      <c r="E24" s="7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4"/>
  <sheetViews>
    <sheetView workbookViewId="0">
      <selection activeCell="C5" sqref="C5"/>
    </sheetView>
  </sheetViews>
  <sheetFormatPr baseColWidth="10" defaultColWidth="14.42578125" defaultRowHeight="15" customHeight="1" x14ac:dyDescent="0.25"/>
  <cols>
    <col min="1" max="1" width="17.42578125" customWidth="1"/>
    <col min="3" max="3" width="17.42578125" customWidth="1"/>
    <col min="7" max="7" width="16.5703125" customWidth="1"/>
  </cols>
  <sheetData>
    <row r="1" spans="1:11" x14ac:dyDescent="0.25">
      <c r="A1" s="10"/>
      <c r="B1" s="10"/>
      <c r="C1" s="10"/>
      <c r="D1" s="10"/>
      <c r="E1" s="10"/>
    </row>
    <row r="2" spans="1:11" x14ac:dyDescent="0.25">
      <c r="A2" s="10"/>
      <c r="B2" s="50" t="s">
        <v>74</v>
      </c>
      <c r="C2" s="50" t="s">
        <v>75</v>
      </c>
      <c r="D2" s="50" t="s">
        <v>76</v>
      </c>
      <c r="E2" s="10"/>
    </row>
    <row r="3" spans="1:11" x14ac:dyDescent="0.25">
      <c r="A3" s="10"/>
      <c r="B3" s="73" t="s">
        <v>142</v>
      </c>
      <c r="C3" s="52">
        <f>(B8*0.00000029307)</f>
        <v>3.859790514E-2</v>
      </c>
      <c r="D3" s="73" t="s">
        <v>77</v>
      </c>
      <c r="E3" s="10"/>
    </row>
    <row r="4" spans="1:11" x14ac:dyDescent="0.25">
      <c r="A4" s="10"/>
      <c r="B4" s="73" t="s">
        <v>143</v>
      </c>
      <c r="C4" s="157">
        <f>B9</f>
        <v>4.3299999999999996E-3</v>
      </c>
      <c r="D4" s="73" t="s">
        <v>79</v>
      </c>
      <c r="E4" s="10"/>
    </row>
    <row r="5" spans="1:11" x14ac:dyDescent="0.25">
      <c r="A5" s="10"/>
      <c r="B5" s="73" t="s">
        <v>144</v>
      </c>
      <c r="C5" s="52">
        <f>(B10*0.00000029307)</f>
        <v>2.4596778960000003E-2</v>
      </c>
      <c r="D5" s="73" t="s">
        <v>77</v>
      </c>
      <c r="E5" s="10"/>
    </row>
    <row r="6" spans="1:11" x14ac:dyDescent="0.25">
      <c r="A6" s="10"/>
      <c r="B6" s="10"/>
      <c r="C6" s="10"/>
      <c r="D6" s="10"/>
      <c r="E6" s="10"/>
    </row>
    <row r="7" spans="1:11" x14ac:dyDescent="0.25">
      <c r="A7" s="10"/>
      <c r="B7" s="10"/>
      <c r="C7" s="10"/>
      <c r="D7" s="10"/>
      <c r="E7" s="10"/>
    </row>
    <row r="8" spans="1:11" x14ac:dyDescent="0.25">
      <c r="A8" s="50" t="s">
        <v>81</v>
      </c>
      <c r="B8" s="52">
        <f>131702</f>
        <v>131702</v>
      </c>
      <c r="C8" s="10"/>
      <c r="D8" s="10"/>
      <c r="E8" s="10"/>
    </row>
    <row r="9" spans="1:11" x14ac:dyDescent="0.25">
      <c r="A9" s="50" t="s">
        <v>82</v>
      </c>
      <c r="B9" s="158">
        <v>4.3299999999999996E-3</v>
      </c>
      <c r="C9" s="10"/>
      <c r="D9" s="10"/>
      <c r="E9" s="10"/>
    </row>
    <row r="10" spans="1:11" x14ac:dyDescent="0.25">
      <c r="A10" s="50" t="s">
        <v>84</v>
      </c>
      <c r="B10" s="73">
        <v>83928</v>
      </c>
      <c r="C10" s="10"/>
      <c r="D10" s="10"/>
      <c r="E10" s="10"/>
    </row>
    <row r="13" spans="1:11" x14ac:dyDescent="0.25">
      <c r="A13" s="192" t="s">
        <v>85</v>
      </c>
      <c r="B13" s="191"/>
      <c r="C13" s="191"/>
      <c r="D13" s="191"/>
      <c r="E13" s="191"/>
      <c r="F13" s="191"/>
      <c r="G13" s="191"/>
    </row>
    <row r="14" spans="1:11" x14ac:dyDescent="0.25">
      <c r="A14" s="192" t="s">
        <v>86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</row>
  </sheetData>
  <mergeCells count="2">
    <mergeCell ref="A13:G13"/>
    <mergeCell ref="A14:K14"/>
  </mergeCells>
  <pageMargins left="0.7" right="0.7" top="0.75" bottom="0.75" header="0.3" footer="0.3"/>
  <pageSetup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L14"/>
  <sheetViews>
    <sheetView workbookViewId="0">
      <selection activeCell="C12" sqref="C12"/>
    </sheetView>
  </sheetViews>
  <sheetFormatPr baseColWidth="10" defaultColWidth="14.42578125" defaultRowHeight="15" customHeight="1" x14ac:dyDescent="0.25"/>
  <sheetData>
    <row r="2" spans="1:12" x14ac:dyDescent="0.25">
      <c r="B2" s="5" t="s">
        <v>89</v>
      </c>
    </row>
    <row r="3" spans="1:12" x14ac:dyDescent="0.25">
      <c r="C3" s="6"/>
      <c r="D3" s="5"/>
      <c r="E3" s="5"/>
      <c r="F3" s="5"/>
      <c r="G3" s="5"/>
      <c r="H3" s="5"/>
      <c r="I3" s="5"/>
      <c r="J3" s="5"/>
    </row>
    <row r="4" spans="1:12" x14ac:dyDescent="0.25">
      <c r="A4" s="5"/>
      <c r="C4" s="76" t="s">
        <v>90</v>
      </c>
      <c r="D4" s="77">
        <v>2020</v>
      </c>
      <c r="E4" s="77">
        <v>2025</v>
      </c>
      <c r="F4" s="77">
        <v>2030</v>
      </c>
      <c r="G4" s="77">
        <v>2035</v>
      </c>
      <c r="H4" s="77">
        <v>2040</v>
      </c>
      <c r="I4" s="77">
        <v>2045</v>
      </c>
      <c r="J4" s="77">
        <v>2050</v>
      </c>
    </row>
    <row r="5" spans="1:12" x14ac:dyDescent="0.25">
      <c r="C5" s="72">
        <v>1</v>
      </c>
      <c r="D5" s="78">
        <v>73.239999999999995</v>
      </c>
      <c r="E5" s="78">
        <v>73.239999999999995</v>
      </c>
      <c r="F5" s="78">
        <v>73.239999999999995</v>
      </c>
      <c r="G5" s="78">
        <v>73.239999999999995</v>
      </c>
      <c r="H5" s="78">
        <v>73.239999999999995</v>
      </c>
      <c r="I5" s="78">
        <v>73.239999999999995</v>
      </c>
      <c r="J5" s="78">
        <v>73.239999999999995</v>
      </c>
      <c r="K5" s="79"/>
      <c r="L5" s="79"/>
    </row>
    <row r="6" spans="1:12" x14ac:dyDescent="0.25">
      <c r="C6" s="72">
        <v>2</v>
      </c>
      <c r="D6" s="80">
        <v>69.92</v>
      </c>
      <c r="E6" s="80">
        <v>70.95</v>
      </c>
      <c r="F6" s="80">
        <v>67.22</v>
      </c>
      <c r="G6" s="80">
        <v>68.16</v>
      </c>
      <c r="H6" s="80">
        <v>69.14</v>
      </c>
      <c r="I6" s="80">
        <v>70.14</v>
      </c>
      <c r="J6" s="80">
        <v>71.17</v>
      </c>
    </row>
    <row r="7" spans="1:12" x14ac:dyDescent="0.25">
      <c r="C7" s="72">
        <v>3</v>
      </c>
      <c r="D7" s="78">
        <v>69.92</v>
      </c>
      <c r="E7" s="78">
        <v>71.540000000000006</v>
      </c>
      <c r="F7" s="78">
        <v>59.71</v>
      </c>
      <c r="G7" s="78">
        <v>61.39</v>
      </c>
      <c r="H7" s="78">
        <v>63.19</v>
      </c>
      <c r="I7" s="78">
        <v>65.13</v>
      </c>
      <c r="J7" s="78">
        <v>67.23</v>
      </c>
    </row>
    <row r="8" spans="1:12" x14ac:dyDescent="0.25">
      <c r="C8" s="72">
        <v>4</v>
      </c>
      <c r="D8" s="80">
        <v>69.92</v>
      </c>
      <c r="E8" s="80">
        <v>72.47</v>
      </c>
      <c r="F8" s="80">
        <v>52.03</v>
      </c>
      <c r="G8" s="80">
        <v>54.2</v>
      </c>
      <c r="H8" s="80">
        <v>56.63</v>
      </c>
      <c r="I8" s="80">
        <v>59.37</v>
      </c>
      <c r="J8" s="80">
        <v>62.51</v>
      </c>
    </row>
    <row r="11" spans="1:12" ht="48" customHeight="1" x14ac:dyDescent="0.25">
      <c r="B11" s="155" t="s">
        <v>91</v>
      </c>
      <c r="C11" s="72">
        <v>1700</v>
      </c>
      <c r="F11" s="156"/>
    </row>
    <row r="12" spans="1:12" ht="42.75" customHeight="1" x14ac:dyDescent="0.25">
      <c r="B12" s="81" t="s">
        <v>92</v>
      </c>
      <c r="C12" s="82">
        <f>0.0000005*264.172</f>
        <v>1.3208600000000001E-4</v>
      </c>
    </row>
    <row r="14" spans="1:12" x14ac:dyDescent="0.25">
      <c r="B14" s="6" t="s">
        <v>93</v>
      </c>
    </row>
  </sheetData>
  <pageMargins left="0.7" right="0.7" top="0.75" bottom="0.75" header="0.3" footer="0.3"/>
  <pageSetup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J26"/>
  <sheetViews>
    <sheetView topLeftCell="A4" workbookViewId="0">
      <selection activeCell="G26" sqref="G26"/>
    </sheetView>
  </sheetViews>
  <sheetFormatPr baseColWidth="10" defaultColWidth="14.42578125" defaultRowHeight="15" customHeight="1" x14ac:dyDescent="0.25"/>
  <cols>
    <col min="7" max="7" width="16" customWidth="1"/>
    <col min="8" max="8" width="17" customWidth="1"/>
    <col min="9" max="9" width="21.28515625" customWidth="1"/>
    <col min="10" max="10" width="21.140625" customWidth="1"/>
  </cols>
  <sheetData>
    <row r="2" spans="1:10" x14ac:dyDescent="0.25">
      <c r="A2" s="193" t="s">
        <v>158</v>
      </c>
      <c r="B2" s="191"/>
      <c r="F2" s="198" t="s">
        <v>94</v>
      </c>
      <c r="G2" s="199"/>
      <c r="H2" s="199"/>
      <c r="I2" s="199"/>
      <c r="J2" s="200"/>
    </row>
    <row r="3" spans="1:10" x14ac:dyDescent="0.25">
      <c r="A3" s="86"/>
      <c r="B3" s="86"/>
      <c r="F3" s="85" t="s">
        <v>95</v>
      </c>
      <c r="G3" s="84"/>
      <c r="H3" s="85" t="s">
        <v>149</v>
      </c>
      <c r="I3" s="85" t="s">
        <v>147</v>
      </c>
      <c r="J3" s="85" t="s">
        <v>148</v>
      </c>
    </row>
    <row r="4" spans="1:10" x14ac:dyDescent="0.25">
      <c r="A4" s="86"/>
      <c r="B4" s="86"/>
      <c r="F4" s="194" t="s">
        <v>96</v>
      </c>
      <c r="G4" s="85" t="s">
        <v>97</v>
      </c>
      <c r="H4" s="87">
        <v>2.91E-7</v>
      </c>
      <c r="I4" s="87">
        <v>2.2699999999999998E-9</v>
      </c>
      <c r="J4" s="87">
        <v>4.4599999999999999E-9</v>
      </c>
    </row>
    <row r="5" spans="1:10" x14ac:dyDescent="0.25">
      <c r="A5" s="165" t="s">
        <v>99</v>
      </c>
      <c r="B5" s="165" t="s">
        <v>100</v>
      </c>
      <c r="F5" s="196"/>
      <c r="G5" s="85" t="s">
        <v>101</v>
      </c>
      <c r="H5" s="87">
        <v>2.2499999999999999E-7</v>
      </c>
      <c r="I5" s="84"/>
      <c r="J5" s="84"/>
    </row>
    <row r="6" spans="1:10" x14ac:dyDescent="0.25">
      <c r="A6" s="85" t="s">
        <v>102</v>
      </c>
      <c r="B6" s="78">
        <v>1</v>
      </c>
      <c r="F6" s="196"/>
      <c r="G6" s="85" t="s">
        <v>103</v>
      </c>
      <c r="H6" s="87">
        <v>3.4999999999999998E-7</v>
      </c>
      <c r="I6" s="87">
        <v>7.5600000000000003E-11</v>
      </c>
      <c r="J6" s="87">
        <v>1.67E-9</v>
      </c>
    </row>
    <row r="7" spans="1:10" s="151" customFormat="1" x14ac:dyDescent="0.25">
      <c r="A7" s="89" t="s">
        <v>104</v>
      </c>
      <c r="B7" s="90">
        <v>21</v>
      </c>
      <c r="F7" s="197"/>
      <c r="G7" s="177" t="s">
        <v>7</v>
      </c>
      <c r="H7" s="164">
        <f>A20/((0.0002778)*1000000*1000000*1000)</f>
        <v>3.3009359251259905E-7</v>
      </c>
      <c r="I7" s="164">
        <f>(B20*B7)/((0.0002778)*1000000*1000000*1000)</f>
        <v>2.2678185745140393E-9</v>
      </c>
      <c r="J7" s="164">
        <f>(C20*B8)/((0.0002778)*1000000*1000000*1000)</f>
        <v>4.4636429085673154E-9</v>
      </c>
    </row>
    <row r="8" spans="1:10" x14ac:dyDescent="0.25">
      <c r="A8" s="85" t="s">
        <v>106</v>
      </c>
      <c r="B8" s="78">
        <v>310</v>
      </c>
      <c r="F8" s="194" t="s">
        <v>156</v>
      </c>
      <c r="G8" s="165" t="s">
        <v>105</v>
      </c>
      <c r="H8" s="166">
        <v>2.6600000000000003E-7</v>
      </c>
      <c r="I8" s="166">
        <v>2.2699999999999999E-10</v>
      </c>
      <c r="J8" s="166">
        <v>6.6999999999999996E-10</v>
      </c>
    </row>
    <row r="9" spans="1:10" x14ac:dyDescent="0.25">
      <c r="A9" s="89" t="s">
        <v>108</v>
      </c>
      <c r="B9" s="89" t="s">
        <v>109</v>
      </c>
      <c r="F9" s="183"/>
      <c r="G9" s="85" t="s">
        <v>107</v>
      </c>
      <c r="H9" s="87">
        <v>2.6800000000000002E-7</v>
      </c>
      <c r="I9" s="87">
        <v>2.2699999999999999E-10</v>
      </c>
      <c r="J9" s="87">
        <v>6.6999999999999996E-10</v>
      </c>
    </row>
    <row r="10" spans="1:10" x14ac:dyDescent="0.25">
      <c r="A10" s="85" t="s">
        <v>111</v>
      </c>
      <c r="B10" s="85" t="s">
        <v>112</v>
      </c>
      <c r="F10" s="183"/>
      <c r="G10" s="85" t="s">
        <v>110</v>
      </c>
      <c r="H10" s="87">
        <v>2.67E-7</v>
      </c>
      <c r="I10" s="87">
        <v>2.2699999999999999E-10</v>
      </c>
      <c r="J10" s="87">
        <v>6.6999999999999996E-10</v>
      </c>
    </row>
    <row r="11" spans="1:10" x14ac:dyDescent="0.25">
      <c r="A11" s="89" t="s">
        <v>114</v>
      </c>
      <c r="B11" s="90">
        <v>23.9</v>
      </c>
      <c r="F11" s="183"/>
      <c r="G11" s="85" t="s">
        <v>113</v>
      </c>
      <c r="H11" s="87">
        <v>2.7000000000000001E-7</v>
      </c>
      <c r="I11" s="84"/>
      <c r="J11" s="84"/>
    </row>
    <row r="12" spans="1:10" x14ac:dyDescent="0.25">
      <c r="F12" s="183"/>
      <c r="G12" s="85" t="s">
        <v>115</v>
      </c>
      <c r="H12" s="87">
        <v>2.84E-7</v>
      </c>
      <c r="I12" s="87">
        <v>2.2699999999999999E-10</v>
      </c>
      <c r="J12" s="87">
        <v>6.6999999999999996E-10</v>
      </c>
    </row>
    <row r="13" spans="1:10" x14ac:dyDescent="0.25">
      <c r="F13" s="184"/>
      <c r="G13" s="85" t="s">
        <v>116</v>
      </c>
      <c r="H13" s="87">
        <v>2.8999999999999998E-7</v>
      </c>
      <c r="I13" s="87">
        <v>2.2699999999999999E-10</v>
      </c>
      <c r="J13" s="87">
        <v>6.6999999999999996E-10</v>
      </c>
    </row>
    <row r="14" spans="1:10" x14ac:dyDescent="0.25">
      <c r="F14" s="195" t="s">
        <v>157</v>
      </c>
      <c r="G14" s="85" t="s">
        <v>117</v>
      </c>
      <c r="H14" s="87">
        <v>1.98E-7</v>
      </c>
      <c r="I14" s="87">
        <v>7.5600000000000003E-11</v>
      </c>
      <c r="J14" s="87">
        <v>1.12E-10</v>
      </c>
    </row>
    <row r="15" spans="1:10" x14ac:dyDescent="0.25">
      <c r="F15" s="183"/>
      <c r="G15" s="85" t="s">
        <v>118</v>
      </c>
      <c r="H15" s="87">
        <v>3.0499999999999999E-7</v>
      </c>
      <c r="I15" s="84"/>
      <c r="J15" s="84"/>
    </row>
    <row r="16" spans="1:10" x14ac:dyDescent="0.25">
      <c r="F16" s="183"/>
      <c r="G16" s="167" t="s">
        <v>19</v>
      </c>
      <c r="H16" s="168">
        <v>2.36E-7</v>
      </c>
      <c r="I16" s="168">
        <v>7.5600000000000003E-11</v>
      </c>
      <c r="J16" s="168">
        <v>1.12E-10</v>
      </c>
    </row>
    <row r="17" spans="1:10" x14ac:dyDescent="0.25">
      <c r="F17" s="183"/>
      <c r="G17" s="85" t="s">
        <v>120</v>
      </c>
      <c r="H17" s="87">
        <v>1.98E-7</v>
      </c>
      <c r="I17" s="87">
        <v>2.2699999999999999E-10</v>
      </c>
      <c r="J17" s="87">
        <v>6.6999999999999996E-10</v>
      </c>
    </row>
    <row r="18" spans="1:10" x14ac:dyDescent="0.25">
      <c r="A18" s="173" t="s">
        <v>143</v>
      </c>
      <c r="F18" s="184"/>
      <c r="G18" s="169" t="s">
        <v>122</v>
      </c>
      <c r="H18" s="87">
        <v>2.3900000000000001E-7</v>
      </c>
      <c r="I18" s="84"/>
      <c r="J18" s="84"/>
    </row>
    <row r="19" spans="1:10" x14ac:dyDescent="0.25">
      <c r="A19" s="176" t="s">
        <v>124</v>
      </c>
      <c r="B19" s="176" t="s">
        <v>125</v>
      </c>
      <c r="C19" s="176" t="s">
        <v>126</v>
      </c>
      <c r="G19" s="171"/>
    </row>
    <row r="20" spans="1:10" s="151" customFormat="1" x14ac:dyDescent="0.25">
      <c r="A20" s="145">
        <v>91700</v>
      </c>
      <c r="B20" s="145">
        <v>30</v>
      </c>
      <c r="C20" s="145">
        <v>4</v>
      </c>
      <c r="G20" s="170"/>
    </row>
    <row r="21" spans="1:10" s="151" customFormat="1" x14ac:dyDescent="0.25">
      <c r="G21" s="170"/>
      <c r="H21" s="178"/>
      <c r="I21" s="178"/>
      <c r="J21" s="178"/>
    </row>
    <row r="22" spans="1:10" s="151" customFormat="1" x14ac:dyDescent="0.25">
      <c r="G22" s="170"/>
    </row>
    <row r="23" spans="1:10" x14ac:dyDescent="0.25">
      <c r="G23" s="6"/>
      <c r="H23" s="6"/>
    </row>
    <row r="25" spans="1:10" x14ac:dyDescent="0.25">
      <c r="G25" s="6" t="s">
        <v>159</v>
      </c>
    </row>
    <row r="26" spans="1:10" x14ac:dyDescent="0.25">
      <c r="G26" s="6" t="s">
        <v>160</v>
      </c>
    </row>
  </sheetData>
  <mergeCells count="5">
    <mergeCell ref="A2:B2"/>
    <mergeCell ref="F8:F13"/>
    <mergeCell ref="F14:F18"/>
    <mergeCell ref="F4:F7"/>
    <mergeCell ref="F2:J2"/>
  </mergeCells>
  <pageMargins left="0.7" right="0.7" top="0.75" bottom="0.75" header="0.3" footer="0.3"/>
  <pageSetup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52"/>
  <sheetViews>
    <sheetView topLeftCell="A25" zoomScale="60" zoomScaleNormal="60" workbookViewId="0">
      <selection activeCell="G51" sqref="G51"/>
    </sheetView>
  </sheetViews>
  <sheetFormatPr baseColWidth="10" defaultColWidth="14.42578125" defaultRowHeight="15" customHeight="1" x14ac:dyDescent="0.25"/>
  <cols>
    <col min="1" max="1" width="33" customWidth="1"/>
    <col min="2" max="2" width="18.28515625" customWidth="1"/>
    <col min="3" max="3" width="15.42578125" customWidth="1"/>
  </cols>
  <sheetData>
    <row r="1" spans="1:18" x14ac:dyDescent="0.25">
      <c r="A1" s="201" t="s">
        <v>98</v>
      </c>
      <c r="B1" s="191"/>
      <c r="C1" s="10"/>
      <c r="D1" s="10"/>
      <c r="E1" s="10"/>
      <c r="F1" s="10"/>
      <c r="G1" s="10"/>
      <c r="H1" s="10"/>
      <c r="I1" s="10"/>
      <c r="K1" s="173" t="s">
        <v>151</v>
      </c>
    </row>
    <row r="2" spans="1:18" x14ac:dyDescent="0.25">
      <c r="A2" s="10"/>
      <c r="B2" s="88" t="s">
        <v>90</v>
      </c>
      <c r="C2" s="88">
        <v>2020</v>
      </c>
      <c r="D2" s="88">
        <v>2025</v>
      </c>
      <c r="E2" s="88">
        <v>2030</v>
      </c>
      <c r="F2" s="88">
        <v>2035</v>
      </c>
      <c r="G2" s="88">
        <v>2040</v>
      </c>
      <c r="H2" s="88">
        <v>2045</v>
      </c>
      <c r="I2" s="88">
        <v>2050</v>
      </c>
      <c r="K2" s="88" t="s">
        <v>90</v>
      </c>
      <c r="L2" s="147">
        <v>2020</v>
      </c>
      <c r="M2" s="147">
        <v>2025</v>
      </c>
      <c r="N2" s="147">
        <v>2030</v>
      </c>
      <c r="O2" s="147">
        <v>2035</v>
      </c>
      <c r="P2" s="147">
        <v>2040</v>
      </c>
      <c r="Q2" s="147">
        <v>2045</v>
      </c>
      <c r="R2" s="147">
        <v>2050</v>
      </c>
    </row>
    <row r="3" spans="1:18" x14ac:dyDescent="0.25">
      <c r="A3" s="10"/>
      <c r="B3" s="73">
        <v>1</v>
      </c>
      <c r="C3" s="73">
        <f>'Factor de Consumo'!D5*'Poder calorífico '!C3*'2020'!J2</f>
        <v>642774.45654042438</v>
      </c>
      <c r="D3" s="73">
        <f>'Factor de Consumo'!E5*'Poder calorífico '!C3*'2025'!J2</f>
        <v>668111.917482708</v>
      </c>
      <c r="E3" s="73">
        <f>'Factor de Consumo'!F5*'Poder calorífico '!C3*'2030'!J2</f>
        <v>696477.35301191092</v>
      </c>
      <c r="F3" s="73">
        <f>'Factor de Consumo'!G5*'Poder calorífico '!$C$3*'2035'!$J$2</f>
        <v>724842.78854111396</v>
      </c>
      <c r="G3" s="73">
        <f>'Factor de Consumo'!H5*'Poder calorífico '!$C$3*'2040'!$J$2</f>
        <v>753208.22689722746</v>
      </c>
      <c r="H3" s="73">
        <f>'Factor de Consumo'!I5*'Poder calorífico '!$C$3*'2045'!$J$2</f>
        <v>781362.71553260332</v>
      </c>
      <c r="I3" s="73">
        <f>'Factor de Consumo'!J5*'Poder calorífico '!$C$3*'2050'!$J$2</f>
        <v>809249.76994709321</v>
      </c>
      <c r="K3" s="150">
        <v>1</v>
      </c>
      <c r="L3" s="145">
        <f>'2020'!$J$2</f>
        <v>227377.00399999999</v>
      </c>
      <c r="M3" s="145">
        <f>'2025'!$J$2</f>
        <v>236339.95499999999</v>
      </c>
      <c r="N3" s="145">
        <f>'2030'!$J$2</f>
        <v>246374.03099999999</v>
      </c>
      <c r="O3" s="145">
        <f>'2035'!$J$2</f>
        <v>256408.10700000002</v>
      </c>
      <c r="P3" s="145">
        <f>'2040'!$J$2</f>
        <v>266442.18400000001</v>
      </c>
      <c r="Q3" s="145">
        <f>'2045'!$J$2</f>
        <v>276401.63900000002</v>
      </c>
      <c r="R3" s="145">
        <f>'2050'!$J$2</f>
        <v>286266.49099999998</v>
      </c>
    </row>
    <row r="4" spans="1:18" x14ac:dyDescent="0.25">
      <c r="A4" s="10"/>
      <c r="B4" s="73">
        <v>2</v>
      </c>
      <c r="C4" s="52">
        <f>'2020'!J7*'Factor de Consumo'!D6*'Poder calorífico '!C3</f>
        <v>460227.91508710897</v>
      </c>
      <c r="D4" s="52">
        <f>'2025'!J7*'Factor de Consumo'!E6*'Poder calorífico '!C3</f>
        <v>485416.51295806392</v>
      </c>
      <c r="E4" s="52">
        <f>'2030'!J7*'Factor de Consumo'!F6*'Poder calorífico '!C3</f>
        <v>479422.52528803237</v>
      </c>
      <c r="F4" s="52">
        <f>'2035'!J7*'Factor de Consumo'!G6*'Poder calorífico '!C3</f>
        <v>505925.22324169497</v>
      </c>
      <c r="G4" s="52">
        <f>'2040'!$J$7*'Factor de Consumo'!H6*'Poder calorífico '!$C$3</f>
        <v>533282.53148219176</v>
      </c>
      <c r="H4" s="52">
        <f>'2045'!$J$7*'Factor de Consumo'!I6*'Poder calorífico '!$C$3</f>
        <v>561217.71778526215</v>
      </c>
      <c r="I4" s="52">
        <f>'2050'!$J$7*'Factor de Consumo'!J6*'Poder calorífico '!$C$3</f>
        <v>589783.30960337212</v>
      </c>
      <c r="K4" s="150">
        <v>2</v>
      </c>
      <c r="L4" s="145">
        <f>'2020'!$J$7</f>
        <v>170532.753</v>
      </c>
      <c r="M4" s="145">
        <f>'2025'!$J$7</f>
        <v>177254.96625</v>
      </c>
      <c r="N4" s="145">
        <f>'2030'!$J$7</f>
        <v>184780.52325</v>
      </c>
      <c r="O4" s="145">
        <f>'2035'!$J$7</f>
        <v>192306.08025</v>
      </c>
      <c r="P4" s="145">
        <f>'2040'!$J$7</f>
        <v>199831.63800000001</v>
      </c>
      <c r="Q4" s="145">
        <f>'2045'!$J$7</f>
        <v>207301.22925000003</v>
      </c>
      <c r="R4" s="145">
        <f>'2050'!$J$7</f>
        <v>214699.86825</v>
      </c>
    </row>
    <row r="5" spans="1:18" x14ac:dyDescent="0.25">
      <c r="A5" s="10"/>
      <c r="B5" s="73">
        <v>3</v>
      </c>
      <c r="C5" s="52">
        <f>'Factor de Consumo'!D7*'Poder calorífico '!$C$3*'2020'!$J$15</f>
        <v>429546.05408130167</v>
      </c>
      <c r="D5" s="52">
        <f>'Factor de Consumo'!E7*'Poder calorífico '!$C$3*'2025'!$J$15</f>
        <v>456822.89191287622</v>
      </c>
      <c r="E5" s="52">
        <f>'Factor de Consumo'!F7*'Poder calorífico '!$C$3*'2030'!$J$15</f>
        <v>397469.46919495962</v>
      </c>
      <c r="F5" s="52">
        <f>'Factor de Consumo'!G7*'Poder calorífico '!$C$3*'2035'!$J$15</f>
        <v>425295.86499149771</v>
      </c>
      <c r="G5" s="52">
        <f>'Factor de Consumo'!H7*'Poder calorífico '!$C$3*'2040'!$J$15</f>
        <v>454897.0439697578</v>
      </c>
      <c r="H5" s="52">
        <f>'Factor de Consumo'!I7*'Poder calorífico '!$C$3*'2045'!$J$15</f>
        <v>486388.68874722719</v>
      </c>
      <c r="I5" s="52">
        <f>'Factor de Consumo'!J7*'Poder calorífico '!$C$3*'2050'!$J$15</f>
        <v>519990.48912452423</v>
      </c>
      <c r="K5" s="150">
        <v>3</v>
      </c>
      <c r="L5" s="145">
        <f>'2020'!$J$15</f>
        <v>159163.90279999998</v>
      </c>
      <c r="M5" s="145">
        <f>'2025'!$J$15</f>
        <v>165437.96849999999</v>
      </c>
      <c r="N5" s="145">
        <f>'2030'!$J$15</f>
        <v>172461.82169999997</v>
      </c>
      <c r="O5" s="145">
        <f>'2035'!$J$15</f>
        <v>179485.67490000001</v>
      </c>
      <c r="P5" s="145">
        <f>'2040'!$J$15</f>
        <v>186509.5288</v>
      </c>
      <c r="Q5" s="145">
        <f>'2045'!$J$15</f>
        <v>193481.14730000001</v>
      </c>
      <c r="R5" s="145">
        <f>'2050'!$J$15</f>
        <v>200386.54369999998</v>
      </c>
    </row>
    <row r="6" spans="1:18" x14ac:dyDescent="0.25">
      <c r="A6" s="10"/>
      <c r="B6" s="73">
        <v>4</v>
      </c>
      <c r="C6" s="52">
        <f>'2020'!$J$23*'Factor de Consumo'!D8*'Poder calorífico '!$C$3</f>
        <v>306818.61005807261</v>
      </c>
      <c r="D6" s="52">
        <f>'2025'!$J$23*'Factor de Consumo'!E8*'Poder calorífico '!$C$3</f>
        <v>330543.9012832595</v>
      </c>
      <c r="E6" s="52">
        <f>'2030'!$J$23*'Factor de Consumo'!F8*'Poder calorífico '!$C$3</f>
        <v>247390.20123709537</v>
      </c>
      <c r="F6" s="52">
        <f>'2035'!$J$23*'Factor de Consumo'!G8*'Poder calorífico '!$C$3</f>
        <v>268203.70793916151</v>
      </c>
      <c r="G6" s="52">
        <f>'2040'!$J$23*'Factor de Consumo'!H8*'Poder calorífico '!$C$3</f>
        <v>291194.57870828779</v>
      </c>
      <c r="H6" s="52">
        <f>'2045'!$J$23*'Factor de Consumo'!I8*'Poder calorífico '!$C$3</f>
        <v>316695.14214343706</v>
      </c>
      <c r="I6" s="52">
        <f>'2050'!J23*'Factor de Consumo'!J8*'Poder calorífico '!$C$3</f>
        <v>345345.46094615513</v>
      </c>
      <c r="K6" s="150">
        <v>4</v>
      </c>
      <c r="L6" s="145">
        <f>'2020'!$J$23</f>
        <v>113688.50199999999</v>
      </c>
      <c r="M6" s="145">
        <f>'2025'!$J$23</f>
        <v>118169.97749999999</v>
      </c>
      <c r="N6" s="145">
        <f>'2030'!$J$23</f>
        <v>123187.01549999999</v>
      </c>
      <c r="O6" s="145">
        <f>'2035'!$J$23</f>
        <v>128204.05350000001</v>
      </c>
      <c r="P6" s="145">
        <f>'2040'!$J$23</f>
        <v>133221.092</v>
      </c>
      <c r="Q6" s="145">
        <f>'2045'!$J$23</f>
        <v>138200.81950000001</v>
      </c>
      <c r="R6" s="145">
        <f>'2050'!$J$23</f>
        <v>143133.24549999999</v>
      </c>
    </row>
    <row r="7" spans="1:18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18" x14ac:dyDescent="0.25">
      <c r="A8" s="91" t="s">
        <v>130</v>
      </c>
      <c r="B8" s="10"/>
      <c r="C8" s="10"/>
      <c r="D8" s="10"/>
      <c r="E8" s="10"/>
      <c r="F8" s="10"/>
      <c r="G8" s="10"/>
      <c r="H8" s="10"/>
      <c r="I8" s="10"/>
      <c r="K8" s="173" t="s">
        <v>152</v>
      </c>
      <c r="L8" s="151"/>
      <c r="M8" s="151"/>
      <c r="N8" s="151"/>
      <c r="O8" s="151"/>
      <c r="P8" s="151"/>
      <c r="Q8" s="151"/>
      <c r="R8" s="151"/>
    </row>
    <row r="9" spans="1:18" ht="30.75" customHeight="1" x14ac:dyDescent="0.7">
      <c r="A9" s="10"/>
      <c r="B9" s="172" t="s">
        <v>131</v>
      </c>
      <c r="C9" s="60">
        <f>'Factor de Consumo'!$C$11*'Poder calorífico '!$C$4*'2050'!J3</f>
        <v>64482.36</v>
      </c>
      <c r="D9" s="10"/>
      <c r="E9" s="92"/>
      <c r="F9" s="10"/>
      <c r="G9" s="10"/>
      <c r="H9" s="93"/>
      <c r="I9" s="10"/>
      <c r="K9" s="147" t="s">
        <v>90</v>
      </c>
      <c r="L9" s="147">
        <v>2020</v>
      </c>
      <c r="M9" s="147">
        <v>2025</v>
      </c>
      <c r="N9" s="147">
        <v>2030</v>
      </c>
      <c r="O9" s="147">
        <v>2035</v>
      </c>
      <c r="P9" s="147">
        <v>2040</v>
      </c>
      <c r="Q9" s="147">
        <v>2045</v>
      </c>
      <c r="R9" s="147">
        <v>2050</v>
      </c>
    </row>
    <row r="10" spans="1:18" x14ac:dyDescent="0.25">
      <c r="A10" s="10"/>
      <c r="B10" s="10"/>
      <c r="C10" s="10"/>
      <c r="D10" s="10"/>
      <c r="E10" s="10"/>
      <c r="F10" s="10"/>
      <c r="G10" s="10"/>
      <c r="H10" s="10"/>
      <c r="I10" s="10"/>
      <c r="K10" s="148">
        <v>1</v>
      </c>
      <c r="L10" s="145">
        <f>'2020'!$J$3</f>
        <v>8760</v>
      </c>
      <c r="M10" s="145">
        <f>'2025'!$J$3</f>
        <v>8760</v>
      </c>
      <c r="N10" s="145">
        <f>'2030'!$J$3</f>
        <v>8760</v>
      </c>
      <c r="O10" s="145">
        <f>'2035'!$J$3</f>
        <v>8760</v>
      </c>
      <c r="P10" s="145">
        <f>'2040'!$J$3</f>
        <v>8760</v>
      </c>
      <c r="Q10" s="145">
        <f>'2045'!$J$3</f>
        <v>8760</v>
      </c>
      <c r="R10" s="145">
        <f>'2050'!$J$3</f>
        <v>8760</v>
      </c>
    </row>
    <row r="11" spans="1:18" ht="15" customHeight="1" x14ac:dyDescent="0.7">
      <c r="A11" s="75" t="s">
        <v>132</v>
      </c>
      <c r="B11" s="10"/>
      <c r="C11" s="10"/>
      <c r="D11" s="10"/>
      <c r="E11" s="10"/>
      <c r="F11" s="10"/>
      <c r="G11" s="94"/>
      <c r="H11" s="10"/>
      <c r="I11" s="10"/>
      <c r="K11" s="179">
        <v>2</v>
      </c>
      <c r="L11" s="149">
        <f>'2025'!$J$8</f>
        <v>8760</v>
      </c>
      <c r="M11" s="149">
        <f>'2025'!$J$8</f>
        <v>8760</v>
      </c>
      <c r="N11" s="149">
        <f>'2030'!$J$8</f>
        <v>8760</v>
      </c>
      <c r="O11" s="149">
        <f>'2035'!$J$8</f>
        <v>8760</v>
      </c>
      <c r="P11" s="149">
        <f>'2040'!$J$8</f>
        <v>8760</v>
      </c>
      <c r="Q11" s="149">
        <f>'2045'!$J$8</f>
        <v>8760</v>
      </c>
      <c r="R11" s="149">
        <f>'2050'!$J$8</f>
        <v>8760</v>
      </c>
    </row>
    <row r="12" spans="1:18" x14ac:dyDescent="0.25">
      <c r="A12" s="10"/>
      <c r="B12" s="88" t="s">
        <v>90</v>
      </c>
      <c r="C12" s="88">
        <v>2020</v>
      </c>
      <c r="D12" s="88">
        <v>2025</v>
      </c>
      <c r="E12" s="88">
        <v>2030</v>
      </c>
      <c r="F12" s="88">
        <v>2035</v>
      </c>
      <c r="G12" s="88">
        <v>2040</v>
      </c>
      <c r="H12" s="88">
        <v>2045</v>
      </c>
      <c r="I12" s="88">
        <v>2050</v>
      </c>
      <c r="K12" s="148">
        <v>3</v>
      </c>
      <c r="L12" s="145">
        <f>'2020'!$J$16</f>
        <v>8760</v>
      </c>
      <c r="M12" s="145">
        <f>'2025'!$J$16</f>
        <v>8760</v>
      </c>
      <c r="N12" s="145">
        <f>'2030'!$J$16</f>
        <v>8760</v>
      </c>
      <c r="O12" s="145">
        <f>'2035'!$J$16</f>
        <v>8760</v>
      </c>
      <c r="P12" s="145">
        <f>'2040'!$J$16</f>
        <v>8760</v>
      </c>
      <c r="Q12" s="145">
        <f>'2045'!$J$16</f>
        <v>8760</v>
      </c>
      <c r="R12" s="145">
        <f>'2050'!$J$16</f>
        <v>8760</v>
      </c>
    </row>
    <row r="13" spans="1:18" x14ac:dyDescent="0.25">
      <c r="A13" s="10"/>
      <c r="B13" s="73">
        <v>3</v>
      </c>
      <c r="C13" s="73">
        <f>'Factor de Consumo'!$C$12*'Poder calorífico '!$C$5*'2020'!$J$19</f>
        <v>0.18373386062346139</v>
      </c>
      <c r="D13" s="73">
        <f>'Factor de Consumo'!$C$12*'Poder calorífico '!$C$5*'2025'!$J$19</f>
        <v>0.18373386062346139</v>
      </c>
      <c r="E13" s="73">
        <f>'Factor de Consumo'!$C$12*'Poder calorífico '!$C$5*'2030'!$J$19</f>
        <v>0.18373386062346139</v>
      </c>
      <c r="F13" s="73">
        <f>'Factor de Consumo'!$C$12*'Poder calorífico '!$C$5*'2035'!$J$19</f>
        <v>0.18373386062346139</v>
      </c>
      <c r="G13" s="73">
        <f>'Factor de Consumo'!$C$12*'Poder calorífico '!$C$5*'2040'!$J$19</f>
        <v>0.18373386062346139</v>
      </c>
      <c r="H13" s="73">
        <f>'Factor de Consumo'!$C$12*'Poder calorífico '!$C$5*'2045'!$J$19</f>
        <v>0.18373386062346139</v>
      </c>
      <c r="I13" s="73">
        <f>'Factor de Consumo'!$C$12*'Poder calorífico '!$C$5*'2050'!J19</f>
        <v>0.18373386062346139</v>
      </c>
      <c r="K13" s="148">
        <v>4</v>
      </c>
      <c r="L13" s="145">
        <f>'2020'!$J$24</f>
        <v>8760</v>
      </c>
      <c r="M13" s="145">
        <f>'2025'!$J$24</f>
        <v>8760</v>
      </c>
      <c r="N13" s="145">
        <f>'2030'!$J$24</f>
        <v>8760</v>
      </c>
      <c r="O13" s="145">
        <f>'2035'!$J$24</f>
        <v>8760</v>
      </c>
      <c r="P13" s="145">
        <f>'2040'!$J$24</f>
        <v>8760</v>
      </c>
      <c r="Q13" s="145">
        <f>'2045'!$J$24</f>
        <v>8760</v>
      </c>
      <c r="R13" s="145">
        <f>'2050'!$J$24</f>
        <v>8760</v>
      </c>
    </row>
    <row r="14" spans="1:18" x14ac:dyDescent="0.25">
      <c r="A14" s="10"/>
      <c r="B14" s="73">
        <v>4</v>
      </c>
      <c r="C14" s="52">
        <f>'2020'!J27*'Factor de Consumo'!$C$12*'Poder calorífico '!$C$5</f>
        <v>0.36746772124692273</v>
      </c>
      <c r="D14" s="73">
        <f>'Factor de Consumo'!$C$12*'Poder calorífico '!$C$5*'2025'!$J$27</f>
        <v>0.36746772124692278</v>
      </c>
      <c r="E14" s="73">
        <f>'Factor de Consumo'!$C$12*'Poder calorífico '!$C$5*'2030'!$J$27</f>
        <v>0.36746772124692278</v>
      </c>
      <c r="F14" s="73">
        <f>'Factor de Consumo'!$C$12*'Poder calorífico '!$C$5*'2035'!$J$27</f>
        <v>0.36746772124692278</v>
      </c>
      <c r="G14" s="73">
        <f>'Factor de Consumo'!$C$12*'Poder calorífico '!$C$5*'2040'!$J$27</f>
        <v>0.36746772124692278</v>
      </c>
      <c r="H14" s="73">
        <f>'Factor de Consumo'!$C$12*'Poder calorífico '!$C$5*'2045'!$J$27</f>
        <v>0.36746772124692278</v>
      </c>
      <c r="I14" s="73">
        <f>'Factor de Consumo'!$C$12*'Poder calorífico '!$C$5*'2050'!J27</f>
        <v>0.36746772124692278</v>
      </c>
    </row>
    <row r="15" spans="1:18" x14ac:dyDescent="0.25">
      <c r="A15" s="10"/>
      <c r="B15" s="95"/>
      <c r="C15" s="10"/>
      <c r="D15" s="10"/>
      <c r="E15" s="10"/>
      <c r="F15" s="10"/>
      <c r="G15" s="10"/>
      <c r="H15" s="10"/>
      <c r="I15" s="10"/>
      <c r="K15" s="173" t="s">
        <v>153</v>
      </c>
      <c r="L15" s="151"/>
      <c r="M15" s="151"/>
      <c r="N15" s="151"/>
      <c r="O15" s="151"/>
      <c r="P15" s="151"/>
      <c r="Q15" s="151"/>
      <c r="R15" s="151"/>
    </row>
    <row r="16" spans="1:18" x14ac:dyDescent="0.25">
      <c r="A16" s="201" t="s">
        <v>135</v>
      </c>
      <c r="B16" s="191"/>
      <c r="C16" s="10"/>
      <c r="D16" s="10"/>
      <c r="E16" s="10"/>
      <c r="F16" s="10"/>
      <c r="G16" s="10"/>
      <c r="H16" s="10"/>
      <c r="I16" s="10"/>
      <c r="K16" s="88" t="s">
        <v>90</v>
      </c>
      <c r="L16" s="147">
        <v>2020</v>
      </c>
      <c r="M16" s="147">
        <v>2025</v>
      </c>
      <c r="N16" s="147">
        <v>2030</v>
      </c>
      <c r="O16" s="147">
        <v>2035</v>
      </c>
      <c r="P16" s="147">
        <v>2040</v>
      </c>
      <c r="Q16" s="147">
        <v>2045</v>
      </c>
      <c r="R16" s="147">
        <v>2050</v>
      </c>
    </row>
    <row r="17" spans="1:18" x14ac:dyDescent="0.25">
      <c r="A17" s="10"/>
      <c r="B17" s="88" t="s">
        <v>90</v>
      </c>
      <c r="C17" s="88">
        <v>2020</v>
      </c>
      <c r="D17" s="88">
        <v>2025</v>
      </c>
      <c r="E17" s="88">
        <v>2030</v>
      </c>
      <c r="F17" s="88">
        <v>2035</v>
      </c>
      <c r="G17" s="88">
        <v>2040</v>
      </c>
      <c r="H17" s="88">
        <v>2045</v>
      </c>
      <c r="I17" s="88">
        <v>2050</v>
      </c>
      <c r="K17" s="150">
        <v>1</v>
      </c>
      <c r="L17" s="180">
        <v>0</v>
      </c>
      <c r="M17" s="180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</row>
    <row r="18" spans="1:18" x14ac:dyDescent="0.25">
      <c r="A18" s="10"/>
      <c r="B18" s="73">
        <v>2</v>
      </c>
      <c r="C18" s="52">
        <f>'2020'!$J$10*SOLAR!$C$12</f>
        <v>4.6072124999999996E-4</v>
      </c>
      <c r="D18" s="52">
        <f>'2025'!$J$10*SOLAR!$C$12</f>
        <v>4.6072124999999996E-4</v>
      </c>
      <c r="E18" s="52">
        <f>'2030'!$J$10*SOLAR!$C$12</f>
        <v>4.6072124999999996E-4</v>
      </c>
      <c r="F18" s="52">
        <f>'2035'!$J$10*SOLAR!$C$12</f>
        <v>4.6072124999999996E-4</v>
      </c>
      <c r="G18" s="52">
        <f>'2040'!$J$10*SOLAR!$C$12</f>
        <v>4.6072124999999996E-4</v>
      </c>
      <c r="H18" s="52">
        <f>'2045'!$J$10*SOLAR!$C$12</f>
        <v>4.6072124999999996E-4</v>
      </c>
      <c r="I18" s="52">
        <f>'2050'!$J$10*SOLAR!$C$12</f>
        <v>4.6072124999999996E-4</v>
      </c>
      <c r="K18" s="150">
        <v>2</v>
      </c>
      <c r="L18" s="180">
        <v>0</v>
      </c>
      <c r="M18" s="180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</row>
    <row r="19" spans="1:18" x14ac:dyDescent="0.25">
      <c r="A19" s="10"/>
      <c r="B19" s="73">
        <v>3</v>
      </c>
      <c r="C19" s="52">
        <f>'2020'!$J$18*SOLAR!$C$12</f>
        <v>4.6072124999999996E-4</v>
      </c>
      <c r="D19" s="52">
        <f>'2025'!$J$18*SOLAR!$C$12</f>
        <v>4.6072124999999996E-4</v>
      </c>
      <c r="E19" s="52">
        <f>'2030'!$J$18*SOLAR!$C$12</f>
        <v>4.6072124999999996E-4</v>
      </c>
      <c r="F19" s="52">
        <f>'2035'!$J$18*SOLAR!$C$12</f>
        <v>4.6072124999999996E-4</v>
      </c>
      <c r="G19" s="52">
        <f>'2040'!$J$18*SOLAR!$C$12</f>
        <v>4.6072124999999996E-4</v>
      </c>
      <c r="H19" s="52">
        <f>'2045'!$J$18*SOLAR!$C$12</f>
        <v>4.6072124999999996E-4</v>
      </c>
      <c r="I19" s="52">
        <f>'2050'!$J$18*SOLAR!$C$12</f>
        <v>4.6072124999999996E-4</v>
      </c>
      <c r="K19" s="150">
        <v>3</v>
      </c>
      <c r="L19" s="145">
        <f>'2020'!$J$19</f>
        <v>56552.808000000005</v>
      </c>
      <c r="M19" s="145">
        <f>'2025'!$J$19</f>
        <v>56552.808000000005</v>
      </c>
      <c r="N19" s="145">
        <f>'2030'!$J$19</f>
        <v>56552.808000000005</v>
      </c>
      <c r="O19" s="145">
        <f>'2035'!$J$19</f>
        <v>56552.808000000005</v>
      </c>
      <c r="P19" s="145">
        <f>'2040'!$J$19</f>
        <v>56552.808000000005</v>
      </c>
      <c r="Q19" s="145">
        <f>'2045'!$J$19</f>
        <v>56552.808000000005</v>
      </c>
      <c r="R19" s="145">
        <f>'2050'!$J$19</f>
        <v>56552.808000000005</v>
      </c>
    </row>
    <row r="20" spans="1:18" x14ac:dyDescent="0.25">
      <c r="A20" s="10"/>
      <c r="B20" s="73">
        <v>4</v>
      </c>
      <c r="C20" s="52">
        <f>'2020'!$J$26*SOLAR!$C$12</f>
        <v>4.6072124999999996E-4</v>
      </c>
      <c r="D20" s="52">
        <f>'2025'!$J$26*SOLAR!$C$12</f>
        <v>4.6072124999999996E-4</v>
      </c>
      <c r="E20" s="52">
        <f>'2030'!$J$26*SOLAR!$C$12</f>
        <v>4.6072124999999996E-4</v>
      </c>
      <c r="F20" s="52">
        <f>'2035'!$J$26*SOLAR!$C$12</f>
        <v>4.6072124999999996E-4</v>
      </c>
      <c r="G20" s="52">
        <f>'2040'!$J$26*SOLAR!$C$12</f>
        <v>4.6072124999999996E-4</v>
      </c>
      <c r="H20" s="52">
        <f>'2045'!$J$26*SOLAR!$C$12</f>
        <v>4.6072124999999996E-4</v>
      </c>
      <c r="I20" s="52">
        <f>'2050'!$J$26*SOLAR!$C$12</f>
        <v>4.6072124999999996E-4</v>
      </c>
      <c r="K20" s="150">
        <v>4</v>
      </c>
      <c r="L20" s="145">
        <f>'2020'!$J$27</f>
        <v>113105.61600000001</v>
      </c>
      <c r="M20" s="145">
        <f>'2025'!$J$27</f>
        <v>113105.61600000001</v>
      </c>
      <c r="N20" s="145">
        <f>'2030'!$J$27</f>
        <v>113105.61600000001</v>
      </c>
      <c r="O20" s="145">
        <f>'2035'!$J$27</f>
        <v>113105.61600000001</v>
      </c>
      <c r="P20" s="145">
        <f>'2040'!$J$27</f>
        <v>113105.61600000001</v>
      </c>
      <c r="Q20" s="145">
        <f>'2045'!$J$27</f>
        <v>113105.61600000001</v>
      </c>
      <c r="R20" s="145">
        <f>'2050'!$J$27</f>
        <v>113105.61600000001</v>
      </c>
    </row>
    <row r="21" spans="1:18" x14ac:dyDescent="0.25">
      <c r="A21" s="10"/>
      <c r="B21" s="95"/>
      <c r="C21" s="10"/>
      <c r="D21" s="10"/>
      <c r="E21" s="10"/>
      <c r="F21" s="10"/>
      <c r="G21" s="10"/>
      <c r="H21" s="10"/>
      <c r="I21" s="10"/>
    </row>
    <row r="22" spans="1:18" x14ac:dyDescent="0.25">
      <c r="A22" s="201" t="s">
        <v>136</v>
      </c>
      <c r="B22" s="191"/>
      <c r="C22" s="10"/>
      <c r="D22" s="10"/>
      <c r="E22" s="10"/>
      <c r="F22" s="10"/>
      <c r="G22" s="10"/>
      <c r="H22" s="10"/>
      <c r="I22" s="10"/>
      <c r="K22" s="173" t="s">
        <v>154</v>
      </c>
      <c r="L22" s="151"/>
      <c r="M22" s="151"/>
      <c r="N22" s="151"/>
      <c r="O22" s="151"/>
      <c r="P22" s="151"/>
      <c r="Q22" s="151"/>
      <c r="R22" s="151"/>
    </row>
    <row r="23" spans="1:18" x14ac:dyDescent="0.25">
      <c r="A23" s="10"/>
      <c r="B23" s="88" t="s">
        <v>90</v>
      </c>
      <c r="C23" s="88">
        <v>2020</v>
      </c>
      <c r="D23" s="88">
        <v>2025</v>
      </c>
      <c r="E23" s="88">
        <v>2030</v>
      </c>
      <c r="F23" s="88">
        <v>2035</v>
      </c>
      <c r="G23" s="88">
        <v>2040</v>
      </c>
      <c r="H23" s="88">
        <v>2045</v>
      </c>
      <c r="I23" s="88">
        <v>2050</v>
      </c>
      <c r="K23" s="88" t="s">
        <v>90</v>
      </c>
      <c r="L23" s="147">
        <v>2020</v>
      </c>
      <c r="M23" s="147">
        <v>2025</v>
      </c>
      <c r="N23" s="147">
        <v>2030</v>
      </c>
      <c r="O23" s="147">
        <v>2035</v>
      </c>
      <c r="P23" s="147">
        <v>2040</v>
      </c>
      <c r="Q23" s="147">
        <v>2045</v>
      </c>
      <c r="R23" s="147">
        <v>2050</v>
      </c>
    </row>
    <row r="24" spans="1:18" x14ac:dyDescent="0.25">
      <c r="A24" s="10"/>
      <c r="B24" s="73">
        <v>2</v>
      </c>
      <c r="C24" s="52">
        <f>'2020'!$J$9*EÓLICA!$H$21</f>
        <v>1.0997136E-3</v>
      </c>
      <c r="D24" s="52">
        <f>'2025'!$J$9*EÓLICA!$H$21</f>
        <v>1.0997136E-3</v>
      </c>
      <c r="E24" s="52">
        <f>'2030'!$J$9*EÓLICA!$H$21</f>
        <v>1.0997136E-3</v>
      </c>
      <c r="F24" s="52">
        <f>'2035'!$J$9*EÓLICA!$H$21</f>
        <v>1.0997136E-3</v>
      </c>
      <c r="G24" s="52">
        <f>'2040'!$J$9*EÓLICA!$H$21</f>
        <v>1.0997136E-3</v>
      </c>
      <c r="H24" s="52">
        <f>'2045'!$J$9*EÓLICA!$H$21</f>
        <v>1.0997136E-3</v>
      </c>
      <c r="I24" s="52">
        <f>'2050'!$J$9*EÓLICA!$H$21</f>
        <v>1.0997136E-3</v>
      </c>
      <c r="K24" s="150">
        <v>1</v>
      </c>
      <c r="L24" s="145">
        <v>0</v>
      </c>
      <c r="M24" s="145">
        <v>0</v>
      </c>
      <c r="N24" s="145">
        <v>0</v>
      </c>
      <c r="O24" s="145">
        <v>0</v>
      </c>
      <c r="P24" s="145">
        <v>0</v>
      </c>
      <c r="Q24" s="145">
        <v>0</v>
      </c>
      <c r="R24" s="145">
        <v>0</v>
      </c>
    </row>
    <row r="25" spans="1:18" x14ac:dyDescent="0.25">
      <c r="A25" s="10"/>
      <c r="B25" s="73">
        <v>3</v>
      </c>
      <c r="C25" s="52">
        <f>'2020'!$J$17*EÓLICA!$H$21</f>
        <v>1.0997136E-3</v>
      </c>
      <c r="D25" s="52">
        <f>'2025'!$J$17*EÓLICA!$H$21</f>
        <v>1.0997136E-3</v>
      </c>
      <c r="E25" s="52">
        <f>'2030'!$J$17*EÓLICA!$H$21</f>
        <v>1.0997136E-3</v>
      </c>
      <c r="F25" s="52">
        <f>'2035'!$J$17*EÓLICA!$H$21</f>
        <v>1.0997136E-3</v>
      </c>
      <c r="G25" s="52">
        <f>'2040'!$J$17*EÓLICA!$H$21</f>
        <v>1.0997136E-3</v>
      </c>
      <c r="H25" s="52">
        <f>'2045'!$J$17*EÓLICA!$H$21</f>
        <v>1.0997136E-3</v>
      </c>
      <c r="I25" s="52">
        <f>'2050'!$J$17*EÓLICA!$H$21</f>
        <v>1.0997136E-3</v>
      </c>
      <c r="K25" s="150">
        <v>2</v>
      </c>
      <c r="L25" s="145">
        <f>'2020'!$J$10</f>
        <v>9214.4249999999993</v>
      </c>
      <c r="M25" s="145">
        <f>'2025'!$J$10</f>
        <v>9214.4249999999993</v>
      </c>
      <c r="N25" s="145">
        <f>'2030'!$J$10</f>
        <v>9214.4249999999993</v>
      </c>
      <c r="O25" s="145">
        <f>'2035'!$J$10</f>
        <v>9214.4249999999993</v>
      </c>
      <c r="P25" s="145">
        <f>'2040'!$J$10</f>
        <v>9214.4249999999993</v>
      </c>
      <c r="Q25" s="145">
        <f>'2045'!$J$10</f>
        <v>9214.4249999999993</v>
      </c>
      <c r="R25" s="145">
        <f>'2050'!$J$10</f>
        <v>9214.4249999999993</v>
      </c>
    </row>
    <row r="26" spans="1:18" x14ac:dyDescent="0.25">
      <c r="A26" s="10"/>
      <c r="B26" s="73">
        <v>4</v>
      </c>
      <c r="C26" s="52">
        <f>'2020'!$J$25*EÓLICA!$H$21</f>
        <v>1.0997136E-3</v>
      </c>
      <c r="D26" s="52">
        <f>'2025'!$J$25*EÓLICA!$H$21</f>
        <v>1.0997136E-3</v>
      </c>
      <c r="E26" s="52">
        <f>'2030'!$J$25*EÓLICA!$H$21</f>
        <v>1.0997136E-3</v>
      </c>
      <c r="F26" s="52">
        <f>'2035'!$J$25*EÓLICA!$H$21</f>
        <v>1.0997136E-3</v>
      </c>
      <c r="G26" s="52">
        <f>'2040'!$J$25*EÓLICA!$H$21</f>
        <v>1.0997136E-3</v>
      </c>
      <c r="H26" s="52">
        <f>'2045'!$J$25*EÓLICA!$H$21</f>
        <v>1.0997136E-3</v>
      </c>
      <c r="I26" s="52">
        <f>'2050'!$J$25*EÓLICA!$H$21</f>
        <v>1.0997136E-3</v>
      </c>
      <c r="K26" s="150">
        <v>3</v>
      </c>
      <c r="L26" s="145">
        <f>'2020'!$J$18</f>
        <v>9214.4249999999993</v>
      </c>
      <c r="M26" s="145">
        <f>'2025'!$J$18</f>
        <v>9214.4249999999993</v>
      </c>
      <c r="N26" s="145">
        <f>'2030'!$J$18</f>
        <v>9214.4249999999993</v>
      </c>
      <c r="O26" s="145">
        <f>'2035'!$J$18</f>
        <v>9214.4249999999993</v>
      </c>
      <c r="P26" s="145">
        <f>'2040'!$J$18</f>
        <v>9214.4249999999993</v>
      </c>
      <c r="Q26" s="145">
        <f>'2045'!$J$18</f>
        <v>9214.4249999999993</v>
      </c>
      <c r="R26" s="145">
        <f>'2050'!$J$18</f>
        <v>9214.4249999999993</v>
      </c>
    </row>
    <row r="27" spans="1:18" x14ac:dyDescent="0.25">
      <c r="A27" s="10"/>
      <c r="B27" s="95"/>
      <c r="C27" s="10"/>
      <c r="D27" s="10"/>
      <c r="E27" s="10"/>
      <c r="F27" s="10"/>
      <c r="G27" s="10"/>
      <c r="H27" s="10"/>
      <c r="I27" s="10"/>
      <c r="K27" s="150">
        <v>4</v>
      </c>
      <c r="L27" s="145">
        <f>'2020'!$J$26</f>
        <v>9214.4249999999993</v>
      </c>
      <c r="M27" s="145">
        <f>'2025'!$J$26</f>
        <v>9214.4249999999993</v>
      </c>
      <c r="N27" s="145">
        <f>'2030'!$J$26</f>
        <v>9214.4249999999993</v>
      </c>
      <c r="O27" s="145">
        <f>'2035'!$J$26</f>
        <v>9214.4249999999993</v>
      </c>
      <c r="P27" s="145">
        <f>'2040'!$J$26</f>
        <v>9214.4249999999993</v>
      </c>
      <c r="Q27" s="145">
        <f>'2045'!$J$26</f>
        <v>9214.4249999999993</v>
      </c>
      <c r="R27" s="145">
        <f>'2050'!$J$26</f>
        <v>9214.4249999999993</v>
      </c>
    </row>
    <row r="28" spans="1:18" ht="30" x14ac:dyDescent="0.25">
      <c r="A28" s="91" t="s">
        <v>119</v>
      </c>
      <c r="B28" s="95"/>
      <c r="C28" s="10"/>
      <c r="D28" s="10"/>
      <c r="E28" s="10"/>
      <c r="F28" s="10"/>
      <c r="G28" s="10"/>
      <c r="H28" s="10"/>
      <c r="I28" s="83"/>
      <c r="K28" s="151"/>
      <c r="L28" s="151"/>
      <c r="M28" s="151"/>
      <c r="N28" s="151"/>
      <c r="O28" s="151"/>
      <c r="P28" s="151"/>
      <c r="Q28" s="151"/>
      <c r="R28" s="151"/>
    </row>
    <row r="29" spans="1:18" ht="29.25" x14ac:dyDescent="0.25">
      <c r="B29" s="96" t="s">
        <v>123</v>
      </c>
      <c r="C29" s="97">
        <v>2020</v>
      </c>
      <c r="D29" s="97">
        <v>2025</v>
      </c>
      <c r="E29" s="97">
        <v>2030</v>
      </c>
      <c r="F29" s="97">
        <v>2035</v>
      </c>
      <c r="G29" s="97">
        <v>2040</v>
      </c>
      <c r="H29" s="97">
        <v>2045</v>
      </c>
      <c r="I29" s="97">
        <v>2050</v>
      </c>
      <c r="K29" s="173" t="s">
        <v>155</v>
      </c>
      <c r="L29" s="151"/>
      <c r="M29" s="151"/>
      <c r="N29" s="151"/>
      <c r="O29" s="151"/>
      <c r="P29" s="151"/>
      <c r="Q29" s="151"/>
      <c r="R29" s="151"/>
    </row>
    <row r="30" spans="1:18" x14ac:dyDescent="0.25">
      <c r="B30" s="85" t="s">
        <v>121</v>
      </c>
      <c r="C30" s="98">
        <f>(C3*'Factor de Emisiones'!$H$8)+($C$9*'Factor de Emisiones'!$H$7)</f>
        <v>0.19226321930584361</v>
      </c>
      <c r="D30" s="99">
        <f>(D3*'Factor de Emisiones'!$H$8)+($C$9*'Factor de Emisiones'!$H$7)</f>
        <v>0.19900298391649107</v>
      </c>
      <c r="E30" s="99">
        <f>(E3*'Factor de Emisiones'!$H$8)+($C$9*'Factor de Emisiones'!$H$7)</f>
        <v>0.20654818976725905</v>
      </c>
      <c r="F30" s="99">
        <f>(F3*'Factor de Emisiones'!$H$8)+($C$9*'Factor de Emisiones'!$H$7)</f>
        <v>0.21409339561802707</v>
      </c>
      <c r="G30" s="99">
        <f>(G3*'Factor de Emisiones'!$H$8)+($C$9*'Factor de Emisiones'!$H$7)</f>
        <v>0.22163860222075324</v>
      </c>
      <c r="H30" s="99">
        <f>(H3*'Factor de Emisiones'!$H$8)+($C$9*'Factor de Emisiones'!$H$7)</f>
        <v>0.22912769619776324</v>
      </c>
      <c r="I30" s="99">
        <f>(I3*'Factor de Emisiones'!$H$8)+($C$9*'Factor de Emisiones'!$H$7)</f>
        <v>0.23654565267201755</v>
      </c>
      <c r="J30" s="100"/>
      <c r="K30" s="88" t="s">
        <v>90</v>
      </c>
      <c r="L30" s="147">
        <v>2020</v>
      </c>
      <c r="M30" s="147">
        <v>2025</v>
      </c>
      <c r="N30" s="147">
        <v>2030</v>
      </c>
      <c r="O30" s="147">
        <v>2035</v>
      </c>
      <c r="P30" s="147">
        <v>2040</v>
      </c>
      <c r="Q30" s="147">
        <v>2045</v>
      </c>
      <c r="R30" s="147">
        <v>2050</v>
      </c>
    </row>
    <row r="31" spans="1:18" x14ac:dyDescent="0.25">
      <c r="B31" s="89" t="s">
        <v>127</v>
      </c>
      <c r="C31" s="101">
        <f>(C3*'Factor de Emisiones'!$I$8)+($C$9*'Factor de Emisiones'!$I$7)</f>
        <v>2.9214409537117747E-4</v>
      </c>
      <c r="D31" s="102">
        <f>(D3*'Factor de Emisiones'!$I$8)+($C$9*'Factor de Emisiones'!$I$7)</f>
        <v>2.9789569900507578E-4</v>
      </c>
      <c r="E31" s="102">
        <f>(E3*'Factor de Emisiones'!$I$8)+($C$9*'Factor de Emisiones'!$I$7)</f>
        <v>3.0433465287020491E-4</v>
      </c>
      <c r="F31" s="102">
        <f>(F3*'Factor de Emisiones'!$I$8)+($C$9*'Factor de Emisiones'!$I$7)</f>
        <v>3.1077360673533393E-4</v>
      </c>
      <c r="G31" s="102">
        <f>(G3*'Factor de Emisiones'!$I$8)+($C$9*'Factor de Emisiones'!$I$7)</f>
        <v>3.1721256124217175E-4</v>
      </c>
      <c r="H31" s="102">
        <f>(H3*'Factor de Emisiones'!$I$8)+($C$9*'Factor de Emisiones'!$I$7)</f>
        <v>3.2360363016240208E-4</v>
      </c>
      <c r="I31" s="102">
        <f>(I3*'Factor de Emisiones'!$I$8)+($C$9*'Factor de Emisiones'!$I$7)</f>
        <v>3.2993399151449125E-4</v>
      </c>
      <c r="J31" s="100"/>
      <c r="K31" s="150">
        <v>1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</row>
    <row r="32" spans="1:18" x14ac:dyDescent="0.25">
      <c r="B32" s="85" t="s">
        <v>128</v>
      </c>
      <c r="C32" s="98">
        <f>(C3*'Factor de Emisiones'!$J$8)+($C$9*'Factor de Emisiones'!$J$7)</f>
        <v>7.1848511482376903E-4</v>
      </c>
      <c r="D32" s="99">
        <f>(D3*'Factor de Emisiones'!$J$8)+($C$9*'Factor de Emisiones'!$J$7)</f>
        <v>7.3546121365509901E-4</v>
      </c>
      <c r="E32" s="99">
        <f>(E3*'Factor de Emisiones'!$J$8)+($C$9*'Factor de Emisiones'!$J$7)</f>
        <v>7.5446605545966493E-4</v>
      </c>
      <c r="F32" s="99">
        <f>(F3*'Factor de Emisiones'!$J$8)+($C$9*'Factor de Emisiones'!$J$7)</f>
        <v>7.7347089726423107E-4</v>
      </c>
      <c r="G32" s="99">
        <f>(G3*'Factor de Emisiones'!$J$8)+($C$9*'Factor de Emisiones'!$J$7)</f>
        <v>7.9247574096282707E-4</v>
      </c>
      <c r="H32" s="99">
        <f>(H3*'Factor de Emisiones'!$J$8)+($C$9*'Factor de Emisiones'!$J$7)</f>
        <v>8.1133924834852892E-4</v>
      </c>
      <c r="I32" s="99">
        <f>(I3*'Factor de Emisiones'!$J$8)+($C$9*'Factor de Emisiones'!$J$7)</f>
        <v>8.3002357480623716E-4</v>
      </c>
      <c r="J32" s="100"/>
      <c r="K32" s="150">
        <v>2</v>
      </c>
      <c r="L32" s="145">
        <f>'2020'!$J$9</f>
        <v>73314.240000000005</v>
      </c>
      <c r="M32" s="145">
        <f>'2025'!$J$9</f>
        <v>73314.240000000005</v>
      </c>
      <c r="N32" s="145">
        <f>'2030'!$J$9</f>
        <v>73314.240000000005</v>
      </c>
      <c r="O32" s="145">
        <f>'2035'!$J$9</f>
        <v>73314.240000000005</v>
      </c>
      <c r="P32" s="145">
        <f>'2040'!$J$9</f>
        <v>73314.240000000005</v>
      </c>
      <c r="Q32" s="145">
        <f>'2045'!$J$9</f>
        <v>73314.240000000005</v>
      </c>
      <c r="R32" s="145">
        <f>'2050'!$J$9</f>
        <v>73314.240000000005</v>
      </c>
    </row>
    <row r="33" spans="1:18" x14ac:dyDescent="0.25">
      <c r="B33" s="86"/>
      <c r="C33" s="103">
        <f t="shared" ref="C33:I33" si="0">SUM(C30:C32)</f>
        <v>0.19327384851603857</v>
      </c>
      <c r="D33" s="103">
        <f t="shared" si="0"/>
        <v>0.20003634082915123</v>
      </c>
      <c r="E33" s="103">
        <f t="shared" si="0"/>
        <v>0.20760699047558892</v>
      </c>
      <c r="F33" s="103">
        <f t="shared" si="0"/>
        <v>0.21517764012202664</v>
      </c>
      <c r="G33" s="103">
        <f t="shared" si="0"/>
        <v>0.22274829052295825</v>
      </c>
      <c r="H33" s="103">
        <f t="shared" si="0"/>
        <v>0.23026263907627417</v>
      </c>
      <c r="I33" s="103">
        <f t="shared" si="0"/>
        <v>0.23770561023833828</v>
      </c>
      <c r="J33" s="100"/>
      <c r="K33" s="150">
        <v>3</v>
      </c>
      <c r="L33" s="145">
        <f>'2020'!$J$17</f>
        <v>73314.240000000005</v>
      </c>
      <c r="M33" s="145">
        <f>'2025'!$J$17</f>
        <v>73314.240000000005</v>
      </c>
      <c r="N33" s="145">
        <f>'2030'!$J$17</f>
        <v>73314.240000000005</v>
      </c>
      <c r="O33" s="145">
        <f>'2035'!$J$17</f>
        <v>73314.240000000005</v>
      </c>
      <c r="P33" s="145">
        <f>'2040'!$J$17</f>
        <v>73314.240000000005</v>
      </c>
      <c r="Q33" s="145">
        <f>'2045'!$J$17</f>
        <v>73314.240000000005</v>
      </c>
      <c r="R33" s="145">
        <f>'2050'!$J$17</f>
        <v>73314.240000000005</v>
      </c>
    </row>
    <row r="34" spans="1:18" ht="30" x14ac:dyDescent="0.25">
      <c r="A34" s="91" t="s">
        <v>129</v>
      </c>
      <c r="B34" s="95"/>
      <c r="C34" s="10"/>
      <c r="D34" s="10"/>
      <c r="E34" s="10"/>
      <c r="F34" s="10"/>
      <c r="G34" s="10"/>
      <c r="H34" s="10"/>
      <c r="I34" s="83"/>
      <c r="K34" s="150">
        <v>4</v>
      </c>
      <c r="L34" s="145">
        <f>'2020'!$J$25</f>
        <v>73314.240000000005</v>
      </c>
      <c r="M34" s="145">
        <f>'2025'!$J$25</f>
        <v>73314.240000000005</v>
      </c>
      <c r="N34" s="145">
        <f>'2030'!$J$25</f>
        <v>73314.240000000005</v>
      </c>
      <c r="O34" s="145">
        <f>'2035'!$J$25</f>
        <v>73314.240000000005</v>
      </c>
      <c r="P34" s="145">
        <f>'2040'!$J$25</f>
        <v>73314.240000000005</v>
      </c>
      <c r="Q34" s="145">
        <f>'2045'!$J$25</f>
        <v>73314.240000000005</v>
      </c>
      <c r="R34" s="145">
        <f>'2050'!$J$25</f>
        <v>73314.240000000005</v>
      </c>
    </row>
    <row r="35" spans="1:18" ht="29.25" x14ac:dyDescent="0.25">
      <c r="B35" s="96" t="s">
        <v>123</v>
      </c>
      <c r="C35" s="97">
        <v>2020</v>
      </c>
      <c r="D35" s="97">
        <v>2025</v>
      </c>
      <c r="E35" s="97">
        <v>2030</v>
      </c>
      <c r="F35" s="97">
        <v>2035</v>
      </c>
      <c r="G35" s="97">
        <v>2040</v>
      </c>
      <c r="H35" s="97">
        <v>2045</v>
      </c>
      <c r="I35" s="97">
        <v>2050</v>
      </c>
      <c r="K35" s="151"/>
      <c r="L35" s="151"/>
      <c r="M35" s="151"/>
      <c r="N35" s="151"/>
      <c r="O35" s="151"/>
      <c r="P35" s="151"/>
      <c r="Q35" s="151"/>
      <c r="R35" s="151"/>
    </row>
    <row r="36" spans="1:18" x14ac:dyDescent="0.25">
      <c r="B36" s="85" t="s">
        <v>121</v>
      </c>
      <c r="C36" s="99">
        <f>(C4*'Factor de Emisiones'!$H$8)+($C$9*'Factor de Emisiones'!$H$7)</f>
        <v>0.14370583927926173</v>
      </c>
      <c r="D36" s="99">
        <f>(D4*'Factor de Emisiones'!$H$8)+($C$9*'Factor de Emisiones'!$H$7)</f>
        <v>0.15040600631293574</v>
      </c>
      <c r="E36" s="99">
        <f>(E4*'Factor de Emisiones'!$H$8)+($C$9*'Factor de Emisiones'!$H$7)</f>
        <v>0.14881160559270734</v>
      </c>
      <c r="F36" s="99">
        <f>(F4*'Factor de Emisiones'!$H$8)+($C$9*'Factor de Emisiones'!$H$7)</f>
        <v>0.15586132324838159</v>
      </c>
      <c r="G36" s="99">
        <f>(G4*'Factor de Emisiones'!$H$8)+($C$9*'Factor de Emisiones'!$H$7)</f>
        <v>0.16313836724035374</v>
      </c>
      <c r="H36" s="99">
        <f>(H4*'Factor de Emisiones'!$H$8)+($C$9*'Factor de Emisiones'!$H$7)</f>
        <v>0.17056912679697048</v>
      </c>
      <c r="I36" s="99">
        <f>(I4*'Factor de Emisiones'!$H$8)+($C$9*'Factor de Emisiones'!$H$7)</f>
        <v>0.17816757422058774</v>
      </c>
      <c r="J36" s="104"/>
    </row>
    <row r="37" spans="1:18" x14ac:dyDescent="0.25">
      <c r="B37" s="89" t="s">
        <v>127</v>
      </c>
      <c r="C37" s="102">
        <f>(C4*'Factor de Emisiones'!$I$8)+($C$9*'Factor de Emisiones'!$I$7)</f>
        <v>2.5070603046127484E-4</v>
      </c>
      <c r="D37" s="102">
        <f>(D4*'Factor de Emisiones'!$I$8)+($C$9*'Factor de Emisiones'!$I$7)</f>
        <v>2.5642384217798163E-4</v>
      </c>
      <c r="E37" s="102">
        <f>(E4*'Factor de Emisiones'!$I$8)+($C$9*'Factor de Emisiones'!$I$7)</f>
        <v>2.5506320697688445E-4</v>
      </c>
      <c r="F37" s="102">
        <f>(F4*'Factor de Emisiones'!$I$8)+($C$9*'Factor de Emisiones'!$I$7)</f>
        <v>2.6107931941236586E-4</v>
      </c>
      <c r="G37" s="102">
        <f>(G4*'Factor de Emisiones'!$I$8)+($C$9*'Factor de Emisiones'!$I$7)</f>
        <v>2.6728942838295864E-4</v>
      </c>
      <c r="H37" s="102">
        <f>(H4*'Factor de Emisiones'!$I$8)+($C$9*'Factor de Emisiones'!$I$7)</f>
        <v>2.7363071567375558E-4</v>
      </c>
      <c r="I37" s="102">
        <f>(I4*'Factor de Emisiones'!$I$8)+($C$9*'Factor de Emisiones'!$I$7)</f>
        <v>2.801151050164666E-4</v>
      </c>
      <c r="J37" s="104"/>
    </row>
    <row r="38" spans="1:18" x14ac:dyDescent="0.25">
      <c r="B38" s="85" t="s">
        <v>128</v>
      </c>
      <c r="C38" s="99">
        <f>(C4*'Factor de Emisiones'!$J$8)+($C$9*'Factor de Emisiones'!$J$7)</f>
        <v>5.9617893205004776E-4</v>
      </c>
      <c r="D38" s="99">
        <f>(D4*'Factor de Emisiones'!$J$8)+($C$9*'Factor de Emisiones'!$J$7)</f>
        <v>6.1305529262358752E-4</v>
      </c>
      <c r="E38" s="99">
        <f>(E4*'Factor de Emisiones'!$J$8)+($C$9*'Factor de Emisiones'!$J$7)</f>
        <v>6.090393208846663E-4</v>
      </c>
      <c r="F38" s="99">
        <f>(F4*'Factor de Emisiones'!$J$8)+($C$9*'Factor de Emisiones'!$J$7)</f>
        <v>6.2679612851362031E-4</v>
      </c>
      <c r="G38" s="99">
        <f>(G4*'Factor de Emisiones'!$J$8)+($C$9*'Factor de Emisiones'!$J$7)</f>
        <v>6.4512552503475317E-4</v>
      </c>
      <c r="H38" s="99">
        <f>(H4*'Factor de Emisiones'!$J$8)+($C$9*'Factor de Emisiones'!$J$7)</f>
        <v>6.6384209985781038E-4</v>
      </c>
      <c r="I38" s="99">
        <f>(I4*'Factor de Emisiones'!$J$8)+($C$9*'Factor de Emisiones'!$J$7)</f>
        <v>6.8298104637594403E-4</v>
      </c>
      <c r="J38" s="104"/>
    </row>
    <row r="39" spans="1:18" x14ac:dyDescent="0.25">
      <c r="B39" s="86"/>
      <c r="C39" s="105">
        <f t="shared" ref="C39:I39" si="1">SUM(C36:C38)+C18+C24</f>
        <v>0.14611315909177303</v>
      </c>
      <c r="D39" s="105">
        <f t="shared" si="1"/>
        <v>0.15283592029773729</v>
      </c>
      <c r="E39" s="105">
        <f t="shared" si="1"/>
        <v>0.15123614297056887</v>
      </c>
      <c r="F39" s="105">
        <f t="shared" si="1"/>
        <v>0.15830963354630756</v>
      </c>
      <c r="G39" s="105">
        <f t="shared" si="1"/>
        <v>0.16561121704377146</v>
      </c>
      <c r="H39" s="105">
        <f t="shared" si="1"/>
        <v>0.17306703446250205</v>
      </c>
      <c r="I39" s="105">
        <f t="shared" si="1"/>
        <v>0.18069110522198015</v>
      </c>
      <c r="J39" s="104"/>
    </row>
    <row r="40" spans="1:18" ht="30" x14ac:dyDescent="0.25">
      <c r="A40" s="91" t="s">
        <v>133</v>
      </c>
      <c r="B40" s="95"/>
      <c r="C40" s="10"/>
      <c r="D40" s="10"/>
      <c r="E40" s="10"/>
      <c r="F40" s="10"/>
      <c r="G40" s="10"/>
      <c r="H40" s="10"/>
      <c r="I40" s="83"/>
    </row>
    <row r="41" spans="1:18" ht="29.25" x14ac:dyDescent="0.25">
      <c r="B41" s="96" t="s">
        <v>123</v>
      </c>
      <c r="C41" s="97">
        <v>2020</v>
      </c>
      <c r="D41" s="97">
        <v>2025</v>
      </c>
      <c r="E41" s="97">
        <v>2030</v>
      </c>
      <c r="F41" s="97">
        <v>2035</v>
      </c>
      <c r="G41" s="97">
        <v>2040</v>
      </c>
      <c r="H41" s="97">
        <v>2045</v>
      </c>
      <c r="I41" s="97">
        <v>2050</v>
      </c>
    </row>
    <row r="42" spans="1:18" x14ac:dyDescent="0.25">
      <c r="B42" s="85" t="s">
        <v>121</v>
      </c>
      <c r="C42" s="99">
        <f>(C5*'Factor de Emisiones'!$H$8)+(C13*'Factor de Emisiones'!$H$16)+($C$9*'Factor de Emisiones'!$H$7)</f>
        <v>0.13554450761290809</v>
      </c>
      <c r="D42" s="99">
        <f>(D5*'Factor de Emisiones'!$H$8)+(D13*'Factor de Emisiones'!$H$16)+($C$9*'Factor de Emisiones'!$H$7)</f>
        <v>0.14280014647610692</v>
      </c>
      <c r="E42" s="99">
        <f>(E5*'Factor de Emisiones'!$H$8)+(E13*'Factor de Emisiones'!$H$16)+($C$9*'Factor de Emisiones'!$H$7)</f>
        <v>0.1270121360331411</v>
      </c>
      <c r="F42" s="99">
        <f>(F5*'Factor de Emisiones'!$H$8)+(F13*'Factor de Emisiones'!$H$16)+($C$9*'Factor de Emisiones'!$H$7)</f>
        <v>0.13441395731502023</v>
      </c>
      <c r="G42" s="99">
        <f>(G5*'Factor de Emisiones'!$H$8)+(G13*'Factor de Emisiones'!$H$16)+($C$9*'Factor de Emisiones'!$H$7)</f>
        <v>0.14228787092323741</v>
      </c>
      <c r="H42" s="99">
        <f>(H5*'Factor de Emisiones'!$H$8)+(H13*'Factor de Emisiones'!$H$16)+($C$9*'Factor de Emisiones'!$H$7)</f>
        <v>0.15066464843404428</v>
      </c>
      <c r="I42" s="99">
        <f>(I5*'Factor de Emisiones'!$H$8)+(I13*'Factor de Emisiones'!$H$16)+($C$9*'Factor de Emisiones'!$H$7)</f>
        <v>0.15960272733440528</v>
      </c>
      <c r="J42" s="104"/>
    </row>
    <row r="43" spans="1:18" x14ac:dyDescent="0.25">
      <c r="B43" s="89" t="s">
        <v>127</v>
      </c>
      <c r="C43" s="102">
        <f>(C5*'Factor de Emisiones'!$I$8)+(C13*'Factor de Emisiones'!$I$16)+($C$9*'Factor de Emisiones'!$I$7)</f>
        <v>2.4374126190323644E-4</v>
      </c>
      <c r="D43" s="102">
        <f>(D5*'Factor de Emisiones'!$I$8)+(D13*'Factor de Emisiones'!$I$16)+($C$9*'Factor de Emisiones'!$I$7)</f>
        <v>2.4993310409100386E-4</v>
      </c>
      <c r="E43" s="102">
        <f>(E5*'Factor de Emisiones'!$I$8)+(E13*'Factor de Emisiones'!$I$16)+($C$9*'Factor de Emisiones'!$I$7)</f>
        <v>2.364598771340368E-4</v>
      </c>
      <c r="F43" s="102">
        <f>(F5*'Factor de Emisiones'!$I$8)+(F13*'Factor de Emisiones'!$I$16)+($C$9*'Factor de Emisiones'!$I$7)</f>
        <v>2.4277646897985093E-4</v>
      </c>
      <c r="G43" s="102">
        <f>(G5*'Factor de Emisiones'!$I$8)+(G13*'Factor de Emisiones'!$I$16)+($C$9*'Factor de Emisiones'!$I$7)</f>
        <v>2.4949593660791598E-4</v>
      </c>
      <c r="H43" s="102">
        <f>(H5*'Factor de Emisiones'!$I$8)+(H13*'Factor de Emisiones'!$I$16)+($C$9*'Factor de Emisiones'!$I$7)</f>
        <v>2.5664453997240153E-4</v>
      </c>
      <c r="I43" s="102">
        <f>(I5*'Factor de Emisiones'!$I$8)+(I13*'Factor de Emisiones'!$I$16)+($C$9*'Factor de Emisiones'!$I$7)</f>
        <v>2.6427214865804797E-4</v>
      </c>
      <c r="J43" s="104"/>
    </row>
    <row r="44" spans="1:18" x14ac:dyDescent="0.25">
      <c r="B44" s="85" t="s">
        <v>128</v>
      </c>
      <c r="C44" s="99">
        <f>(C5*'Factor de Emisiones'!$J$8)+(C13*'Factor de Emisiones'!$J$16)+($C$9*'Factor de Emisiones'!$J$7)</f>
        <v>5.7562210575434921E-4</v>
      </c>
      <c r="D44" s="99">
        <f>(D5*'Factor de Emisiones'!$J$8)+(D13*'Factor de Emisiones'!$J$16)+($C$9*'Factor de Emisiones'!$J$7)</f>
        <v>5.9389758710150415E-4</v>
      </c>
      <c r="E44" s="99">
        <f>(E5*'Factor de Emisiones'!$J$8)+(E13*'Factor de Emisiones'!$J$16)+($C$9*'Factor de Emisiones'!$J$7)</f>
        <v>5.5413079388050008E-4</v>
      </c>
      <c r="F44" s="99">
        <f>(F5*'Factor de Emisiones'!$J$8)+(F13*'Factor de Emisiones'!$J$16)+($C$9*'Factor de Emisiones'!$J$7)</f>
        <v>5.7277447906418054E-4</v>
      </c>
      <c r="G44" s="99">
        <f>(G5*'Factor de Emisiones'!$J$8)+(G13*'Factor de Emisiones'!$J$16)+($C$9*'Factor de Emisiones'!$J$7)</f>
        <v>5.9260726897961483E-4</v>
      </c>
      <c r="H44" s="99">
        <f>(H5*'Factor de Emisiones'!$J$8)+(H13*'Factor de Emisiones'!$J$16)+($C$9*'Factor de Emisiones'!$J$7)</f>
        <v>6.137066709805193E-4</v>
      </c>
      <c r="I44" s="99">
        <f>(I5*'Factor de Emisiones'!$J$8)+(I13*'Factor de Emisiones'!$J$16)+($C$9*'Factor de Emisiones'!$J$7)</f>
        <v>6.3621987723330828E-4</v>
      </c>
      <c r="J44" s="104"/>
    </row>
    <row r="45" spans="1:18" x14ac:dyDescent="0.25">
      <c r="C45" s="106">
        <f t="shared" ref="C45:I45" si="2">SUM(C42:C44)+C19+C25</f>
        <v>0.13792430583056567</v>
      </c>
      <c r="D45" s="106">
        <f t="shared" si="2"/>
        <v>0.14520441201729942</v>
      </c>
      <c r="E45" s="106">
        <f t="shared" si="2"/>
        <v>0.12936316155415561</v>
      </c>
      <c r="F45" s="106">
        <f t="shared" si="2"/>
        <v>0.13678994311306425</v>
      </c>
      <c r="G45" s="106">
        <f t="shared" si="2"/>
        <v>0.14469040897882493</v>
      </c>
      <c r="H45" s="106">
        <f t="shared" si="2"/>
        <v>0.15309543449499718</v>
      </c>
      <c r="I45" s="106">
        <f t="shared" si="2"/>
        <v>0.16206365421029661</v>
      </c>
      <c r="J45" s="104"/>
    </row>
    <row r="46" spans="1:18" ht="30" x14ac:dyDescent="0.25">
      <c r="A46" s="91" t="s">
        <v>134</v>
      </c>
      <c r="B46" s="95"/>
      <c r="C46" s="10"/>
      <c r="D46" s="10"/>
      <c r="E46" s="10"/>
      <c r="F46" s="10"/>
      <c r="G46" s="10"/>
      <c r="H46" s="10"/>
      <c r="I46" s="83"/>
    </row>
    <row r="47" spans="1:18" ht="29.25" x14ac:dyDescent="0.25">
      <c r="B47" s="96" t="s">
        <v>123</v>
      </c>
      <c r="C47" s="97">
        <v>2020</v>
      </c>
      <c r="D47" s="97">
        <v>2025</v>
      </c>
      <c r="E47" s="97">
        <v>2030</v>
      </c>
      <c r="F47" s="97">
        <v>2035</v>
      </c>
      <c r="G47" s="97">
        <v>2040</v>
      </c>
      <c r="H47" s="97">
        <v>2045</v>
      </c>
      <c r="I47" s="97">
        <v>2050</v>
      </c>
    </row>
    <row r="48" spans="1:18" x14ac:dyDescent="0.25">
      <c r="B48" s="85" t="s">
        <v>121</v>
      </c>
      <c r="C48" s="99">
        <f>(C6*'Factor de Emisiones'!$H$8)+(C14*'Factor de Emisiones'!$H$16)+($C$9*'Factor de Emisiones'!$H$7)</f>
        <v>0.10289905086392026</v>
      </c>
      <c r="D48" s="99">
        <f>(D6*'Factor de Emisiones'!$H$8)+(D14*'Factor de Emisiones'!$H$16)+($C$9*'Factor de Emisiones'!$H$7)</f>
        <v>0.10920997832981996</v>
      </c>
      <c r="E48" s="99">
        <f>(E6*'Factor de Emisiones'!$H$8)+(E14*'Factor de Emisiones'!$H$16)+($C$9*'Factor de Emisiones'!$H$7)</f>
        <v>8.7091094117540319E-2</v>
      </c>
      <c r="F48" s="99">
        <f>(F6*'Factor de Emisiones'!$H$8)+(F14*'Factor de Emisiones'!$H$16)+($C$9*'Factor de Emisiones'!$H$7)</f>
        <v>9.2627486900289907E-2</v>
      </c>
      <c r="G48" s="99">
        <f>(G6*'Factor de Emisiones'!$H$8)+(G14*'Factor de Emisiones'!$H$16)+($C$9*'Factor de Emisiones'!$H$7)</f>
        <v>9.8743058524877497E-2</v>
      </c>
      <c r="H48" s="99">
        <f>(H6*'Factor de Emisiones'!$H$8)+(H14*'Factor de Emisiones'!$H$16)+($C$9*'Factor de Emisiones'!$H$7)</f>
        <v>0.1055262083986272</v>
      </c>
      <c r="I48" s="99">
        <f>(I6*'Factor de Emisiones'!$H$8)+(I14*'Factor de Emisiones'!$H$16)+($C$9*'Factor de Emisiones'!$H$7)</f>
        <v>0.11314719320015021</v>
      </c>
      <c r="J48" s="104"/>
    </row>
    <row r="49" spans="2:10" x14ac:dyDescent="0.25">
      <c r="B49" s="89" t="s">
        <v>127</v>
      </c>
      <c r="C49" s="102">
        <f>(C6*'Factor de Emisiones'!$I$8)+(C14*'Factor de Emisiones'!$I$16)+($C$9*'Factor de Emisiones'!$I$7)</f>
        <v>2.1588214600024331E-4</v>
      </c>
      <c r="D49" s="102">
        <f>(D6*'Factor de Emisiones'!$I$8)+(D14*'Factor de Emisiones'!$I$16)+($C$9*'Factor de Emisiones'!$I$7)</f>
        <v>2.2126778710836073E-4</v>
      </c>
      <c r="E49" s="102">
        <f>(E6*'Factor de Emisiones'!$I$8)+(E14*'Factor de Emisiones'!$I$16)+($C$9*'Factor de Emisiones'!$I$7)</f>
        <v>2.0239189719788148E-4</v>
      </c>
      <c r="F49" s="102">
        <f>(F6*'Factor de Emisiones'!$I$8)+(F14*'Factor de Emisiones'!$I$16)+($C$9*'Factor de Emisiones'!$I$7)</f>
        <v>2.0711656321925048E-4</v>
      </c>
      <c r="G49" s="102">
        <f>(G6*'Factor de Emisiones'!$I$8)+(G14*'Factor de Emisiones'!$I$16)+($C$9*'Factor de Emisiones'!$I$7)</f>
        <v>2.1233549088384217E-4</v>
      </c>
      <c r="H49" s="102">
        <f>(H6*'Factor de Emisiones'!$I$8)+(H14*'Factor de Emisiones'!$I$16)+($C$9*'Factor de Emisiones'!$I$7)</f>
        <v>2.1812411878362106E-4</v>
      </c>
      <c r="I49" s="102">
        <f>(I6*'Factor de Emisiones'!$I$8)+(I14*'Factor de Emisiones'!$I$16)+($C$9*'Factor de Emisiones'!$I$7)</f>
        <v>2.2462774115183804E-4</v>
      </c>
      <c r="J49" s="104"/>
    </row>
    <row r="50" spans="2:10" x14ac:dyDescent="0.25">
      <c r="B50" s="85" t="s">
        <v>128</v>
      </c>
      <c r="C50" s="99">
        <f>(C6*'Factor de Emisiones'!$J$8)+(C14*'Factor de Emisiones'!$J$16)+($C$9*'Factor de Emisiones'!$J$7)</f>
        <v>4.9339473883697812E-4</v>
      </c>
      <c r="D50" s="99">
        <f>(D6*'Factor de Emisiones'!$J$8)+(D14*'Factor de Emisiones'!$J$16)+($C$9*'Factor de Emisiones'!$J$7)</f>
        <v>5.0929068395785338E-4</v>
      </c>
      <c r="E50" s="99">
        <f>(E6*'Factor de Emisiones'!$J$8)+(E14*'Factor de Emisiones'!$J$16)+($C$9*'Factor de Emisiones'!$J$7)</f>
        <v>4.535777049269234E-4</v>
      </c>
      <c r="F50" s="99">
        <f>(F6*'Factor de Emisiones'!$J$8)+(F14*'Factor de Emisiones'!$J$16)+($C$9*'Factor de Emisiones'!$J$7)</f>
        <v>4.6752275441730765E-4</v>
      </c>
      <c r="G50" s="99">
        <f>(G6*'Factor de Emisiones'!$J$8)+(G14*'Factor de Emisiones'!$J$16)+($C$9*'Factor de Emisiones'!$J$7)</f>
        <v>4.8292663783262228E-4</v>
      </c>
      <c r="H50" s="99">
        <f>(H6*'Factor de Emisiones'!$J$8)+(H14*'Factor de Emisiones'!$J$16)+($C$9*'Factor de Emisiones'!$J$7)</f>
        <v>5.0001201533417228E-4</v>
      </c>
      <c r="I50" s="99">
        <f>(I6*'Factor de Emisiones'!$J$8)+(I14*'Factor de Emisiones'!$J$16)+($C$9*'Factor de Emisiones'!$J$7)</f>
        <v>5.1920772893199337E-4</v>
      </c>
      <c r="J50" s="104"/>
    </row>
    <row r="51" spans="2:10" x14ac:dyDescent="0.25">
      <c r="C51" s="107">
        <f>SUM(C48:C50)+C20+C26</f>
        <v>0.10516876259875747</v>
      </c>
      <c r="D51" s="107">
        <f>SUM(D48:D50)+D20+D26</f>
        <v>0.11150097165088618</v>
      </c>
      <c r="E51" s="107">
        <f t="shared" ref="E51:I51" si="3">SUM(E48:E50)+E20+E26</f>
        <v>8.930749856966512E-2</v>
      </c>
      <c r="F51" s="107">
        <f>SUM(F48:F50)+F20+F26</f>
        <v>9.4862561067926468E-2</v>
      </c>
      <c r="G51" s="107">
        <f>SUM(G48:G50)+G20+G26</f>
        <v>0.10099875550359397</v>
      </c>
      <c r="H51" s="107">
        <f t="shared" si="3"/>
        <v>0.10780477938274499</v>
      </c>
      <c r="I51" s="107">
        <f t="shared" si="3"/>
        <v>0.11545146352023404</v>
      </c>
      <c r="J51" s="104"/>
    </row>
    <row r="52" spans="2:10" ht="15" customHeight="1" x14ac:dyDescent="0.25">
      <c r="F52" s="178"/>
    </row>
  </sheetData>
  <mergeCells count="3">
    <mergeCell ref="A1:B1"/>
    <mergeCell ref="A16:B16"/>
    <mergeCell ref="A22:B2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="70" zoomScaleNormal="70" workbookViewId="0">
      <selection activeCell="J39" sqref="J39"/>
    </sheetView>
  </sheetViews>
  <sheetFormatPr baseColWidth="10" defaultRowHeight="15" x14ac:dyDescent="0.25"/>
  <cols>
    <col min="1" max="1" width="25.7109375" customWidth="1"/>
    <col min="2" max="2" width="18.7109375" customWidth="1"/>
    <col min="3" max="3" width="23.28515625" customWidth="1"/>
    <col min="4" max="4" width="15.42578125" customWidth="1"/>
    <col min="5" max="5" width="14.42578125" customWidth="1"/>
    <col min="6" max="6" width="15.140625" customWidth="1"/>
    <col min="7" max="7" width="15" customWidth="1"/>
    <col min="8" max="8" width="14.85546875" customWidth="1"/>
    <col min="9" max="9" width="14.42578125" customWidth="1"/>
    <col min="10" max="10" width="21.85546875" customWidth="1"/>
    <col min="11" max="11" width="3.42578125" customWidth="1"/>
    <col min="12" max="12" width="12.7109375" customWidth="1"/>
    <col min="13" max="13" width="15.28515625" customWidth="1"/>
    <col min="14" max="14" width="16.28515625" customWidth="1"/>
    <col min="15" max="15" width="14.5703125" customWidth="1"/>
    <col min="16" max="16" width="15.85546875" customWidth="1"/>
    <col min="17" max="17" width="20.42578125" customWidth="1"/>
    <col min="18" max="18" width="20.140625" customWidth="1"/>
    <col min="19" max="19" width="19" customWidth="1"/>
  </cols>
  <sheetData>
    <row r="1" spans="1:19" ht="25.5" x14ac:dyDescent="0.25">
      <c r="A1" s="108" t="s">
        <v>119</v>
      </c>
      <c r="B1" s="109"/>
      <c r="C1" s="109"/>
      <c r="D1" s="109"/>
      <c r="E1" s="109"/>
      <c r="F1" s="109"/>
      <c r="G1" s="109"/>
      <c r="H1" s="109"/>
      <c r="I1" s="110"/>
      <c r="L1" s="173" t="s">
        <v>121</v>
      </c>
    </row>
    <row r="2" spans="1:19" ht="39" customHeight="1" x14ac:dyDescent="0.25">
      <c r="A2" s="111"/>
      <c r="B2" s="112" t="s">
        <v>123</v>
      </c>
      <c r="C2" s="113">
        <v>2020</v>
      </c>
      <c r="D2" s="113">
        <v>2025</v>
      </c>
      <c r="E2" s="113">
        <v>2030</v>
      </c>
      <c r="F2" s="113">
        <v>2035</v>
      </c>
      <c r="G2" s="113">
        <v>2040</v>
      </c>
      <c r="H2" s="113">
        <v>2045</v>
      </c>
      <c r="I2" s="113">
        <v>2050</v>
      </c>
      <c r="L2" s="112" t="s">
        <v>123</v>
      </c>
      <c r="M2" s="113">
        <v>2020</v>
      </c>
      <c r="N2" s="113">
        <v>2025</v>
      </c>
      <c r="O2" s="113">
        <v>2030</v>
      </c>
      <c r="P2" s="113">
        <v>2035</v>
      </c>
      <c r="Q2" s="113">
        <v>2040</v>
      </c>
      <c r="R2" s="113">
        <v>2045</v>
      </c>
      <c r="S2" s="113">
        <v>2050</v>
      </c>
    </row>
    <row r="3" spans="1:19" x14ac:dyDescent="0.25">
      <c r="A3" s="111"/>
      <c r="B3" s="114" t="s">
        <v>121</v>
      </c>
      <c r="C3" s="128">
        <f>EMISIONES!C30</f>
        <v>0.19226321930584361</v>
      </c>
      <c r="D3" s="128">
        <f>EMISIONES!D30</f>
        <v>0.19900298391649107</v>
      </c>
      <c r="E3" s="128">
        <f>EMISIONES!E30</f>
        <v>0.20654818976725905</v>
      </c>
      <c r="F3" s="128">
        <f>EMISIONES!F30</f>
        <v>0.21409339561802707</v>
      </c>
      <c r="G3" s="128">
        <f>EMISIONES!G30</f>
        <v>0.22163860222075324</v>
      </c>
      <c r="H3" s="128">
        <f>EMISIONES!H30</f>
        <v>0.22912769619776324</v>
      </c>
      <c r="I3" s="128">
        <f>EMISIONES!I30</f>
        <v>0.23654565267201755</v>
      </c>
      <c r="J3" s="129">
        <f>+SUM(C3:I3)</f>
        <v>1.4992197396981548</v>
      </c>
      <c r="K3" s="130" t="s">
        <v>137</v>
      </c>
      <c r="L3" s="128" t="s">
        <v>5</v>
      </c>
      <c r="M3" s="128">
        <f>C3</f>
        <v>0.19226321930584361</v>
      </c>
      <c r="N3" s="128">
        <f>D3</f>
        <v>0.19900298391649107</v>
      </c>
      <c r="O3" s="128">
        <f t="shared" ref="O3:S3" si="0">E3</f>
        <v>0.20654818976725905</v>
      </c>
      <c r="P3" s="128">
        <f t="shared" si="0"/>
        <v>0.21409339561802707</v>
      </c>
      <c r="Q3" s="128">
        <f t="shared" si="0"/>
        <v>0.22163860222075324</v>
      </c>
      <c r="R3" s="128">
        <f t="shared" si="0"/>
        <v>0.22912769619776324</v>
      </c>
      <c r="S3" s="128">
        <f t="shared" si="0"/>
        <v>0.23654565267201755</v>
      </c>
    </row>
    <row r="4" spans="1:19" x14ac:dyDescent="0.25">
      <c r="A4" s="111"/>
      <c r="B4" s="116" t="s">
        <v>127</v>
      </c>
      <c r="C4" s="128">
        <f>EMISIONES!C31</f>
        <v>2.9214409537117747E-4</v>
      </c>
      <c r="D4" s="128">
        <f>EMISIONES!D31</f>
        <v>2.9789569900507578E-4</v>
      </c>
      <c r="E4" s="128">
        <f>EMISIONES!E31</f>
        <v>3.0433465287020491E-4</v>
      </c>
      <c r="F4" s="128">
        <f>EMISIONES!F31</f>
        <v>3.1077360673533393E-4</v>
      </c>
      <c r="G4" s="128">
        <f>EMISIONES!G31</f>
        <v>3.1721256124217175E-4</v>
      </c>
      <c r="H4" s="128">
        <f>EMISIONES!H31</f>
        <v>3.2360363016240208E-4</v>
      </c>
      <c r="I4" s="128">
        <f>EMISIONES!I31</f>
        <v>3.2993399151449125E-4</v>
      </c>
      <c r="J4" s="129">
        <f>+SUM(C4:I4)</f>
        <v>2.1758982369008573E-3</v>
      </c>
      <c r="K4" s="129"/>
      <c r="L4" s="131" t="s">
        <v>12</v>
      </c>
      <c r="M4" s="131">
        <f>C9</f>
        <v>0.14370583927926173</v>
      </c>
      <c r="N4" s="131">
        <f t="shared" ref="N4:S4" si="1">D9</f>
        <v>0.15040600631293574</v>
      </c>
      <c r="O4" s="131">
        <f t="shared" si="1"/>
        <v>0.14881160559270734</v>
      </c>
      <c r="P4" s="131">
        <f t="shared" si="1"/>
        <v>0.15586132324838159</v>
      </c>
      <c r="Q4" s="131">
        <f t="shared" si="1"/>
        <v>0.16313836724035374</v>
      </c>
      <c r="R4" s="131">
        <f t="shared" si="1"/>
        <v>0.17056912679697048</v>
      </c>
      <c r="S4" s="131">
        <f t="shared" si="1"/>
        <v>0.17816757422058774</v>
      </c>
    </row>
    <row r="5" spans="1:19" x14ac:dyDescent="0.25">
      <c r="A5" s="111"/>
      <c r="B5" s="114" t="s">
        <v>128</v>
      </c>
      <c r="C5" s="128">
        <f>EMISIONES!C32</f>
        <v>7.1848511482376903E-4</v>
      </c>
      <c r="D5" s="128">
        <f>EMISIONES!D32</f>
        <v>7.3546121365509901E-4</v>
      </c>
      <c r="E5" s="128">
        <f>EMISIONES!E32</f>
        <v>7.5446605545966493E-4</v>
      </c>
      <c r="F5" s="128">
        <f>EMISIONES!F32</f>
        <v>7.7347089726423107E-4</v>
      </c>
      <c r="G5" s="128">
        <f>EMISIONES!G32</f>
        <v>7.9247574096282707E-4</v>
      </c>
      <c r="H5" s="128">
        <f>EMISIONES!H32</f>
        <v>8.1133924834852892E-4</v>
      </c>
      <c r="I5" s="128">
        <f>EMISIONES!I32</f>
        <v>8.3002357480623716E-4</v>
      </c>
      <c r="J5" s="129">
        <f>+SUM(C5:I5)</f>
        <v>5.4157218453203572E-3</v>
      </c>
      <c r="K5" s="129"/>
      <c r="L5" s="128" t="s">
        <v>22</v>
      </c>
      <c r="M5" s="128">
        <f>C15</f>
        <v>0.13554450761290809</v>
      </c>
      <c r="N5" s="128">
        <f t="shared" ref="N5:S5" si="2">D15</f>
        <v>0.14280014647610692</v>
      </c>
      <c r="O5" s="128">
        <f t="shared" si="2"/>
        <v>0.1270121360331411</v>
      </c>
      <c r="P5" s="128">
        <f t="shared" si="2"/>
        <v>0.13441395731502023</v>
      </c>
      <c r="Q5" s="128">
        <f t="shared" si="2"/>
        <v>0.14228787092323741</v>
      </c>
      <c r="R5" s="128">
        <f t="shared" si="2"/>
        <v>0.15066464843404428</v>
      </c>
      <c r="S5" s="128">
        <f t="shared" si="2"/>
        <v>0.15960272733440528</v>
      </c>
    </row>
    <row r="6" spans="1:19" x14ac:dyDescent="0.25">
      <c r="A6" s="111"/>
      <c r="B6" s="110"/>
      <c r="C6" s="132">
        <f>SUM(C3:C5)</f>
        <v>0.19327384851603857</v>
      </c>
      <c r="D6" s="132">
        <f t="shared" ref="D6:I6" si="3">SUM(D3:D5)</f>
        <v>0.20003634082915123</v>
      </c>
      <c r="E6" s="132">
        <f t="shared" si="3"/>
        <v>0.20760699047558892</v>
      </c>
      <c r="F6" s="132">
        <f>SUM(F3:F5)</f>
        <v>0.21517764012202664</v>
      </c>
      <c r="G6" s="132">
        <f t="shared" si="3"/>
        <v>0.22274829052295825</v>
      </c>
      <c r="H6" s="132">
        <f t="shared" si="3"/>
        <v>0.23026263907627417</v>
      </c>
      <c r="I6" s="132">
        <f t="shared" si="3"/>
        <v>0.23770561023833828</v>
      </c>
      <c r="J6" s="129">
        <f>+SUM(C6:I6)</f>
        <v>1.5068113597803761</v>
      </c>
      <c r="K6" s="129"/>
      <c r="L6" s="133" t="s">
        <v>24</v>
      </c>
      <c r="M6" s="133">
        <f>C21</f>
        <v>0.10289905086392026</v>
      </c>
      <c r="N6" s="133">
        <f t="shared" ref="N6:S6" si="4">D21</f>
        <v>0.10920997832981996</v>
      </c>
      <c r="O6" s="133">
        <f t="shared" si="4"/>
        <v>8.7091094117540319E-2</v>
      </c>
      <c r="P6" s="133">
        <f t="shared" si="4"/>
        <v>9.2627486900289907E-2</v>
      </c>
      <c r="Q6" s="133">
        <f t="shared" si="4"/>
        <v>9.8743058524877497E-2</v>
      </c>
      <c r="R6" s="133">
        <f t="shared" si="4"/>
        <v>0.1055262083986272</v>
      </c>
      <c r="S6" s="133">
        <f t="shared" si="4"/>
        <v>0.11314719320015021</v>
      </c>
    </row>
    <row r="7" spans="1:19" ht="25.5" x14ac:dyDescent="0.25">
      <c r="A7" s="108" t="s">
        <v>129</v>
      </c>
      <c r="B7" s="109"/>
      <c r="C7" s="134"/>
      <c r="D7" s="134"/>
      <c r="E7" s="134"/>
      <c r="F7" s="134"/>
      <c r="G7" s="134"/>
      <c r="H7" s="134"/>
      <c r="I7" s="135"/>
      <c r="J7" s="129"/>
      <c r="K7" s="129"/>
      <c r="L7" s="174" t="s">
        <v>127</v>
      </c>
      <c r="M7" s="129"/>
      <c r="N7" s="129"/>
      <c r="O7" s="129"/>
      <c r="P7" s="129"/>
      <c r="Q7" s="129"/>
      <c r="R7" s="129"/>
      <c r="S7" s="129"/>
    </row>
    <row r="8" spans="1:19" ht="37.5" customHeight="1" x14ac:dyDescent="0.25">
      <c r="A8" s="111"/>
      <c r="B8" s="112" t="s">
        <v>123</v>
      </c>
      <c r="C8" s="140">
        <v>2020</v>
      </c>
      <c r="D8" s="140">
        <v>2025</v>
      </c>
      <c r="E8" s="140">
        <v>2030</v>
      </c>
      <c r="F8" s="140">
        <v>2035</v>
      </c>
      <c r="G8" s="140">
        <v>2040</v>
      </c>
      <c r="H8" s="140">
        <v>2045</v>
      </c>
      <c r="I8" s="140">
        <v>2050</v>
      </c>
      <c r="J8" s="129"/>
      <c r="K8" s="129"/>
      <c r="L8" s="136" t="s">
        <v>123</v>
      </c>
      <c r="M8" s="140">
        <v>2020</v>
      </c>
      <c r="N8" s="140">
        <v>2025</v>
      </c>
      <c r="O8" s="140">
        <v>2030</v>
      </c>
      <c r="P8" s="140">
        <v>2035</v>
      </c>
      <c r="Q8" s="140">
        <v>2040</v>
      </c>
      <c r="R8" s="140">
        <v>2045</v>
      </c>
      <c r="S8" s="140">
        <v>2050</v>
      </c>
    </row>
    <row r="9" spans="1:19" x14ac:dyDescent="0.25">
      <c r="A9" s="111"/>
      <c r="B9" s="114" t="s">
        <v>121</v>
      </c>
      <c r="C9" s="128">
        <f>EMISIONES!C36</f>
        <v>0.14370583927926173</v>
      </c>
      <c r="D9" s="128">
        <f>EMISIONES!D36</f>
        <v>0.15040600631293574</v>
      </c>
      <c r="E9" s="128">
        <f>EMISIONES!E36</f>
        <v>0.14881160559270734</v>
      </c>
      <c r="F9" s="128">
        <f>EMISIONES!F36</f>
        <v>0.15586132324838159</v>
      </c>
      <c r="G9" s="128">
        <f>EMISIONES!G36</f>
        <v>0.16313836724035374</v>
      </c>
      <c r="H9" s="128">
        <f>EMISIONES!H36</f>
        <v>0.17056912679697048</v>
      </c>
      <c r="I9" s="128">
        <f>EMISIONES!I36</f>
        <v>0.17816757422058774</v>
      </c>
      <c r="J9" s="129">
        <f>+SUM(C9:I9)</f>
        <v>1.1106598426911982</v>
      </c>
      <c r="K9" s="129"/>
      <c r="L9" s="128" t="s">
        <v>5</v>
      </c>
      <c r="M9" s="128">
        <f>C4</f>
        <v>2.9214409537117747E-4</v>
      </c>
      <c r="N9" s="128">
        <f t="shared" ref="N9:S9" si="5">D4</f>
        <v>2.9789569900507578E-4</v>
      </c>
      <c r="O9" s="128">
        <f t="shared" si="5"/>
        <v>3.0433465287020491E-4</v>
      </c>
      <c r="P9" s="128">
        <f t="shared" si="5"/>
        <v>3.1077360673533393E-4</v>
      </c>
      <c r="Q9" s="128">
        <f t="shared" si="5"/>
        <v>3.1721256124217175E-4</v>
      </c>
      <c r="R9" s="128">
        <f t="shared" si="5"/>
        <v>3.2360363016240208E-4</v>
      </c>
      <c r="S9" s="128">
        <f t="shared" si="5"/>
        <v>3.2993399151449125E-4</v>
      </c>
    </row>
    <row r="10" spans="1:19" x14ac:dyDescent="0.25">
      <c r="A10" s="111"/>
      <c r="B10" s="116" t="s">
        <v>127</v>
      </c>
      <c r="C10" s="128">
        <f>EMISIONES!C37</f>
        <v>2.5070603046127484E-4</v>
      </c>
      <c r="D10" s="128">
        <f>EMISIONES!D37</f>
        <v>2.5642384217798163E-4</v>
      </c>
      <c r="E10" s="128">
        <f>EMISIONES!E37</f>
        <v>2.5506320697688445E-4</v>
      </c>
      <c r="F10" s="128">
        <f>EMISIONES!F37</f>
        <v>2.6107931941236586E-4</v>
      </c>
      <c r="G10" s="128">
        <f>EMISIONES!G37</f>
        <v>2.6728942838295864E-4</v>
      </c>
      <c r="H10" s="128">
        <f>EMISIONES!H37</f>
        <v>2.7363071567375558E-4</v>
      </c>
      <c r="I10" s="128">
        <f>EMISIONES!I37</f>
        <v>2.801151050164666E-4</v>
      </c>
      <c r="J10" s="129">
        <f>+SUM(C10:I10)</f>
        <v>1.8443076481016877E-3</v>
      </c>
      <c r="K10" s="129"/>
      <c r="L10" s="131" t="s">
        <v>12</v>
      </c>
      <c r="M10" s="131">
        <f>C10</f>
        <v>2.5070603046127484E-4</v>
      </c>
      <c r="N10" s="131">
        <f t="shared" ref="N10:S10" si="6">D10</f>
        <v>2.5642384217798163E-4</v>
      </c>
      <c r="O10" s="131">
        <f t="shared" si="6"/>
        <v>2.5506320697688445E-4</v>
      </c>
      <c r="P10" s="131">
        <f t="shared" si="6"/>
        <v>2.6107931941236586E-4</v>
      </c>
      <c r="Q10" s="131">
        <f t="shared" si="6"/>
        <v>2.6728942838295864E-4</v>
      </c>
      <c r="R10" s="131">
        <f t="shared" si="6"/>
        <v>2.7363071567375558E-4</v>
      </c>
      <c r="S10" s="131">
        <f t="shared" si="6"/>
        <v>2.801151050164666E-4</v>
      </c>
    </row>
    <row r="11" spans="1:19" x14ac:dyDescent="0.25">
      <c r="A11" s="111"/>
      <c r="B11" s="114" t="s">
        <v>128</v>
      </c>
      <c r="C11" s="128">
        <f>EMISIONES!C38</f>
        <v>5.9617893205004776E-4</v>
      </c>
      <c r="D11" s="128">
        <f>EMISIONES!D38</f>
        <v>6.1305529262358752E-4</v>
      </c>
      <c r="E11" s="128">
        <f>EMISIONES!E38</f>
        <v>6.090393208846663E-4</v>
      </c>
      <c r="F11" s="128">
        <f>EMISIONES!F38</f>
        <v>6.2679612851362031E-4</v>
      </c>
      <c r="G11" s="128">
        <f>EMISIONES!G38</f>
        <v>6.4512552503475317E-4</v>
      </c>
      <c r="H11" s="128">
        <f>EMISIONES!H38</f>
        <v>6.6384209985781038E-4</v>
      </c>
      <c r="I11" s="128">
        <f>EMISIONES!I38</f>
        <v>6.8298104637594403E-4</v>
      </c>
      <c r="J11" s="129">
        <f>+SUM(C11:I11)</f>
        <v>4.4370183453404299E-3</v>
      </c>
      <c r="K11" s="129"/>
      <c r="L11" s="128" t="s">
        <v>22</v>
      </c>
      <c r="M11" s="128">
        <f>C16</f>
        <v>2.4374126190323644E-4</v>
      </c>
      <c r="N11" s="128">
        <f t="shared" ref="N11:S11" si="7">D16</f>
        <v>2.4993310409100386E-4</v>
      </c>
      <c r="O11" s="128">
        <f t="shared" si="7"/>
        <v>2.364598771340368E-4</v>
      </c>
      <c r="P11" s="128">
        <f t="shared" si="7"/>
        <v>2.4277646897985093E-4</v>
      </c>
      <c r="Q11" s="128">
        <f t="shared" si="7"/>
        <v>2.4949593660791598E-4</v>
      </c>
      <c r="R11" s="128">
        <f t="shared" si="7"/>
        <v>2.5664453997240153E-4</v>
      </c>
      <c r="S11" s="128">
        <f t="shared" si="7"/>
        <v>2.6427214865804797E-4</v>
      </c>
    </row>
    <row r="12" spans="1:19" x14ac:dyDescent="0.25">
      <c r="A12" s="111"/>
      <c r="B12" s="110"/>
      <c r="C12" s="137">
        <f>EMISIONES!C39</f>
        <v>0.14611315909177303</v>
      </c>
      <c r="D12" s="137">
        <f>EMISIONES!D39</f>
        <v>0.15283592029773729</v>
      </c>
      <c r="E12" s="137">
        <f>EMISIONES!E39</f>
        <v>0.15123614297056887</v>
      </c>
      <c r="F12" s="137">
        <f>EMISIONES!F39</f>
        <v>0.15830963354630756</v>
      </c>
      <c r="G12" s="137">
        <f>EMISIONES!G39</f>
        <v>0.16561121704377146</v>
      </c>
      <c r="H12" s="137">
        <f>EMISIONES!H39</f>
        <v>0.17306703446250205</v>
      </c>
      <c r="I12" s="137">
        <f>EMISIONES!I39</f>
        <v>0.18069110522198015</v>
      </c>
      <c r="J12" s="129">
        <f>+SUM(C12:I12)</f>
        <v>1.1278642126346403</v>
      </c>
      <c r="K12" s="129"/>
      <c r="L12" s="133" t="s">
        <v>24</v>
      </c>
      <c r="M12" s="133">
        <f>C22</f>
        <v>2.1588214600024331E-4</v>
      </c>
      <c r="N12" s="133">
        <f t="shared" ref="N12:S12" si="8">D22</f>
        <v>2.2126778710836073E-4</v>
      </c>
      <c r="O12" s="133">
        <f t="shared" si="8"/>
        <v>2.0239189719788148E-4</v>
      </c>
      <c r="P12" s="133">
        <f t="shared" si="8"/>
        <v>2.0711656321925048E-4</v>
      </c>
      <c r="Q12" s="133">
        <f t="shared" si="8"/>
        <v>2.1233549088384217E-4</v>
      </c>
      <c r="R12" s="133">
        <f t="shared" si="8"/>
        <v>2.1812411878362106E-4</v>
      </c>
      <c r="S12" s="133">
        <f t="shared" si="8"/>
        <v>2.2462774115183804E-4</v>
      </c>
    </row>
    <row r="13" spans="1:19" ht="25.5" x14ac:dyDescent="0.25">
      <c r="A13" s="108" t="s">
        <v>133</v>
      </c>
      <c r="B13" s="109"/>
      <c r="C13" s="134"/>
      <c r="D13" s="134"/>
      <c r="E13" s="134"/>
      <c r="F13" s="134"/>
      <c r="G13" s="134"/>
      <c r="H13" s="134"/>
      <c r="I13" s="135"/>
      <c r="J13" s="129"/>
      <c r="K13" s="129"/>
      <c r="L13" s="174" t="s">
        <v>128</v>
      </c>
      <c r="M13" s="129"/>
      <c r="N13" s="129"/>
      <c r="O13" s="129"/>
      <c r="P13" s="129"/>
      <c r="Q13" s="129"/>
      <c r="R13" s="129"/>
      <c r="S13" s="129"/>
    </row>
    <row r="14" spans="1:19" ht="33.75" customHeight="1" x14ac:dyDescent="0.25">
      <c r="A14" s="111"/>
      <c r="B14" s="112" t="s">
        <v>123</v>
      </c>
      <c r="C14" s="140">
        <v>2020</v>
      </c>
      <c r="D14" s="140">
        <v>2025</v>
      </c>
      <c r="E14" s="140">
        <v>2030</v>
      </c>
      <c r="F14" s="140">
        <v>2035</v>
      </c>
      <c r="G14" s="140">
        <v>2040</v>
      </c>
      <c r="H14" s="140">
        <v>2045</v>
      </c>
      <c r="I14" s="140">
        <v>2050</v>
      </c>
      <c r="J14" s="129"/>
      <c r="K14" s="129"/>
      <c r="L14" s="136" t="s">
        <v>123</v>
      </c>
      <c r="M14" s="140">
        <v>2020</v>
      </c>
      <c r="N14" s="140">
        <v>2025</v>
      </c>
      <c r="O14" s="140">
        <v>2030</v>
      </c>
      <c r="P14" s="140">
        <v>2035</v>
      </c>
      <c r="Q14" s="140">
        <v>2040</v>
      </c>
      <c r="R14" s="140">
        <v>2045</v>
      </c>
      <c r="S14" s="140">
        <v>2050</v>
      </c>
    </row>
    <row r="15" spans="1:19" x14ac:dyDescent="0.25">
      <c r="A15" s="111"/>
      <c r="B15" s="114" t="s">
        <v>121</v>
      </c>
      <c r="C15" s="128">
        <f>EMISIONES!C42</f>
        <v>0.13554450761290809</v>
      </c>
      <c r="D15" s="128">
        <f>EMISIONES!D42</f>
        <v>0.14280014647610692</v>
      </c>
      <c r="E15" s="128">
        <f>EMISIONES!E42</f>
        <v>0.1270121360331411</v>
      </c>
      <c r="F15" s="128">
        <f>EMISIONES!F42</f>
        <v>0.13441395731502023</v>
      </c>
      <c r="G15" s="128">
        <f>EMISIONES!G42</f>
        <v>0.14228787092323741</v>
      </c>
      <c r="H15" s="128">
        <f>EMISIONES!H42</f>
        <v>0.15066464843404428</v>
      </c>
      <c r="I15" s="128">
        <f>EMISIONES!I42</f>
        <v>0.15960272733440528</v>
      </c>
      <c r="J15" s="129">
        <f>+SUM(C15:I15)</f>
        <v>0.99232599412886335</v>
      </c>
      <c r="K15" s="129"/>
      <c r="L15" s="128" t="s">
        <v>5</v>
      </c>
      <c r="M15" s="128">
        <f>C5</f>
        <v>7.1848511482376903E-4</v>
      </c>
      <c r="N15" s="128">
        <f t="shared" ref="N15:S15" si="9">D5</f>
        <v>7.3546121365509901E-4</v>
      </c>
      <c r="O15" s="128">
        <f t="shared" si="9"/>
        <v>7.5446605545966493E-4</v>
      </c>
      <c r="P15" s="128">
        <f t="shared" si="9"/>
        <v>7.7347089726423107E-4</v>
      </c>
      <c r="Q15" s="128">
        <f t="shared" si="9"/>
        <v>7.9247574096282707E-4</v>
      </c>
      <c r="R15" s="128">
        <f t="shared" si="9"/>
        <v>8.1133924834852892E-4</v>
      </c>
      <c r="S15" s="128">
        <f t="shared" si="9"/>
        <v>8.3002357480623716E-4</v>
      </c>
    </row>
    <row r="16" spans="1:19" x14ac:dyDescent="0.25">
      <c r="A16" s="111"/>
      <c r="B16" s="116" t="s">
        <v>127</v>
      </c>
      <c r="C16" s="128">
        <f>EMISIONES!C43</f>
        <v>2.4374126190323644E-4</v>
      </c>
      <c r="D16" s="128">
        <f>EMISIONES!D43</f>
        <v>2.4993310409100386E-4</v>
      </c>
      <c r="E16" s="128">
        <f>EMISIONES!E43</f>
        <v>2.364598771340368E-4</v>
      </c>
      <c r="F16" s="128">
        <f>EMISIONES!F43</f>
        <v>2.4277646897985093E-4</v>
      </c>
      <c r="G16" s="128">
        <f>EMISIONES!G43</f>
        <v>2.4949593660791598E-4</v>
      </c>
      <c r="H16" s="128">
        <f>EMISIONES!H43</f>
        <v>2.5664453997240153E-4</v>
      </c>
      <c r="I16" s="128">
        <f>EMISIONES!I43</f>
        <v>2.6427214865804797E-4</v>
      </c>
      <c r="J16" s="129">
        <f>+SUM(C16:I16)</f>
        <v>1.7433233373464936E-3</v>
      </c>
      <c r="K16" s="129"/>
      <c r="L16" s="131" t="s">
        <v>12</v>
      </c>
      <c r="M16" s="131">
        <f>C11</f>
        <v>5.9617893205004776E-4</v>
      </c>
      <c r="N16" s="131">
        <f t="shared" ref="N16:S16" si="10">D11</f>
        <v>6.1305529262358752E-4</v>
      </c>
      <c r="O16" s="131">
        <f t="shared" si="10"/>
        <v>6.090393208846663E-4</v>
      </c>
      <c r="P16" s="131">
        <f t="shared" si="10"/>
        <v>6.2679612851362031E-4</v>
      </c>
      <c r="Q16" s="131">
        <f t="shared" si="10"/>
        <v>6.4512552503475317E-4</v>
      </c>
      <c r="R16" s="131">
        <f t="shared" si="10"/>
        <v>6.6384209985781038E-4</v>
      </c>
      <c r="S16" s="131">
        <f t="shared" si="10"/>
        <v>6.8298104637594403E-4</v>
      </c>
    </row>
    <row r="17" spans="1:19" x14ac:dyDescent="0.25">
      <c r="A17" s="111"/>
      <c r="B17" s="114" t="s">
        <v>128</v>
      </c>
      <c r="C17" s="128">
        <f>EMISIONES!C44</f>
        <v>5.7562210575434921E-4</v>
      </c>
      <c r="D17" s="128">
        <f>EMISIONES!D44</f>
        <v>5.9389758710150415E-4</v>
      </c>
      <c r="E17" s="128">
        <f>EMISIONES!E44</f>
        <v>5.5413079388050008E-4</v>
      </c>
      <c r="F17" s="128">
        <f>EMISIONES!F44</f>
        <v>5.7277447906418054E-4</v>
      </c>
      <c r="G17" s="128">
        <f>EMISIONES!G44</f>
        <v>5.9260726897961483E-4</v>
      </c>
      <c r="H17" s="128">
        <f>EMISIONES!H44</f>
        <v>6.137066709805193E-4</v>
      </c>
      <c r="I17" s="128">
        <f>EMISIONES!I44</f>
        <v>6.3621987723330828E-4</v>
      </c>
      <c r="J17" s="129">
        <f>+SUM(C17:I17)</f>
        <v>4.1389587829939768E-3</v>
      </c>
      <c r="K17" s="129"/>
      <c r="L17" s="128" t="s">
        <v>22</v>
      </c>
      <c r="M17" s="128">
        <f>C17</f>
        <v>5.7562210575434921E-4</v>
      </c>
      <c r="N17" s="128">
        <f t="shared" ref="N17:S17" si="11">D17</f>
        <v>5.9389758710150415E-4</v>
      </c>
      <c r="O17" s="128">
        <f t="shared" si="11"/>
        <v>5.5413079388050008E-4</v>
      </c>
      <c r="P17" s="128">
        <f t="shared" si="11"/>
        <v>5.7277447906418054E-4</v>
      </c>
      <c r="Q17" s="128">
        <f t="shared" si="11"/>
        <v>5.9260726897961483E-4</v>
      </c>
      <c r="R17" s="128">
        <f t="shared" si="11"/>
        <v>6.137066709805193E-4</v>
      </c>
      <c r="S17" s="128">
        <f t="shared" si="11"/>
        <v>6.3621987723330828E-4</v>
      </c>
    </row>
    <row r="18" spans="1:19" x14ac:dyDescent="0.25">
      <c r="A18" s="111"/>
      <c r="B18" s="111"/>
      <c r="C18" s="138">
        <f>EMISIONES!C45</f>
        <v>0.13792430583056567</v>
      </c>
      <c r="D18" s="138">
        <f>EMISIONES!D45</f>
        <v>0.14520441201729942</v>
      </c>
      <c r="E18" s="138">
        <f>EMISIONES!E45</f>
        <v>0.12936316155415561</v>
      </c>
      <c r="F18" s="138">
        <f>EMISIONES!F45</f>
        <v>0.13678994311306425</v>
      </c>
      <c r="G18" s="138">
        <f>EMISIONES!G45</f>
        <v>0.14469040897882493</v>
      </c>
      <c r="H18" s="138">
        <f>EMISIONES!H45</f>
        <v>0.15309543449499718</v>
      </c>
      <c r="I18" s="138">
        <f>EMISIONES!I45</f>
        <v>0.16206365421029661</v>
      </c>
      <c r="J18" s="129">
        <f>+SUM(C18:I18)</f>
        <v>1.0091313201992036</v>
      </c>
      <c r="K18" s="129"/>
      <c r="L18" s="133" t="s">
        <v>24</v>
      </c>
      <c r="M18" s="133">
        <f>C23</f>
        <v>4.9339473883697812E-4</v>
      </c>
      <c r="N18" s="133">
        <f t="shared" ref="N18:S18" si="12">D23</f>
        <v>5.0929068395785338E-4</v>
      </c>
      <c r="O18" s="133">
        <f t="shared" si="12"/>
        <v>4.535777049269234E-4</v>
      </c>
      <c r="P18" s="133">
        <f t="shared" si="12"/>
        <v>4.6752275441730765E-4</v>
      </c>
      <c r="Q18" s="133">
        <f t="shared" si="12"/>
        <v>4.8292663783262228E-4</v>
      </c>
      <c r="R18" s="133">
        <f t="shared" si="12"/>
        <v>5.0001201533417228E-4</v>
      </c>
      <c r="S18" s="133">
        <f t="shared" si="12"/>
        <v>5.1920772893199337E-4</v>
      </c>
    </row>
    <row r="19" spans="1:19" ht="40.5" customHeight="1" x14ac:dyDescent="0.25">
      <c r="A19" s="108" t="s">
        <v>134</v>
      </c>
      <c r="B19" s="109"/>
      <c r="C19" s="134"/>
      <c r="D19" s="134"/>
      <c r="E19" s="134"/>
      <c r="F19" s="134"/>
      <c r="G19" s="134"/>
      <c r="H19" s="134"/>
      <c r="I19" s="135"/>
      <c r="J19" s="129"/>
      <c r="K19" s="129"/>
      <c r="L19" s="175" t="s">
        <v>138</v>
      </c>
      <c r="M19" s="129"/>
      <c r="N19" s="129"/>
      <c r="O19" s="129"/>
      <c r="P19" s="129"/>
      <c r="Q19" s="129"/>
      <c r="R19" s="129"/>
      <c r="S19" s="129"/>
    </row>
    <row r="20" spans="1:19" ht="35.25" customHeight="1" x14ac:dyDescent="0.25">
      <c r="A20" s="111"/>
      <c r="B20" s="112" t="s">
        <v>123</v>
      </c>
      <c r="C20" s="140">
        <v>2020</v>
      </c>
      <c r="D20" s="140">
        <v>2025</v>
      </c>
      <c r="E20" s="140">
        <v>2030</v>
      </c>
      <c r="F20" s="140">
        <v>2035</v>
      </c>
      <c r="G20" s="140">
        <v>2040</v>
      </c>
      <c r="H20" s="140">
        <v>2045</v>
      </c>
      <c r="I20" s="140">
        <v>2050</v>
      </c>
      <c r="J20" s="129"/>
      <c r="K20" s="129"/>
      <c r="L20" s="136" t="s">
        <v>123</v>
      </c>
      <c r="M20" s="140">
        <v>2020</v>
      </c>
      <c r="N20" s="140">
        <v>2025</v>
      </c>
      <c r="O20" s="140">
        <v>2030</v>
      </c>
      <c r="P20" s="140">
        <v>2035</v>
      </c>
      <c r="Q20" s="140">
        <v>2040</v>
      </c>
      <c r="R20" s="140">
        <v>2045</v>
      </c>
      <c r="S20" s="140">
        <v>2050</v>
      </c>
    </row>
    <row r="21" spans="1:19" x14ac:dyDescent="0.25">
      <c r="A21" s="111"/>
      <c r="B21" s="114" t="s">
        <v>121</v>
      </c>
      <c r="C21" s="128">
        <f>EMISIONES!C48</f>
        <v>0.10289905086392026</v>
      </c>
      <c r="D21" s="128">
        <f>EMISIONES!D48</f>
        <v>0.10920997832981996</v>
      </c>
      <c r="E21" s="128">
        <f>EMISIONES!E48</f>
        <v>8.7091094117540319E-2</v>
      </c>
      <c r="F21" s="128">
        <f>EMISIONES!F48</f>
        <v>9.2627486900289907E-2</v>
      </c>
      <c r="G21" s="128">
        <f>EMISIONES!G48</f>
        <v>9.8743058524877497E-2</v>
      </c>
      <c r="H21" s="128">
        <f>EMISIONES!H48</f>
        <v>0.1055262083986272</v>
      </c>
      <c r="I21" s="128">
        <f>EMISIONES!I48</f>
        <v>0.11314719320015021</v>
      </c>
      <c r="J21" s="129">
        <f>+SUM(C21:I21)</f>
        <v>0.70924407033522541</v>
      </c>
      <c r="K21" s="129"/>
      <c r="L21" s="128" t="s">
        <v>5</v>
      </c>
      <c r="M21" s="128">
        <f>C6</f>
        <v>0.19327384851603857</v>
      </c>
      <c r="N21" s="128">
        <f t="shared" ref="N21:S21" si="13">D6</f>
        <v>0.20003634082915123</v>
      </c>
      <c r="O21" s="128">
        <f t="shared" si="13"/>
        <v>0.20760699047558892</v>
      </c>
      <c r="P21" s="128">
        <f t="shared" si="13"/>
        <v>0.21517764012202664</v>
      </c>
      <c r="Q21" s="128">
        <f t="shared" si="13"/>
        <v>0.22274829052295825</v>
      </c>
      <c r="R21" s="128">
        <f>H6</f>
        <v>0.23026263907627417</v>
      </c>
      <c r="S21" s="128">
        <f t="shared" si="13"/>
        <v>0.23770561023833828</v>
      </c>
    </row>
    <row r="22" spans="1:19" x14ac:dyDescent="0.25">
      <c r="A22" s="111"/>
      <c r="B22" s="116" t="s">
        <v>127</v>
      </c>
      <c r="C22" s="128">
        <f>EMISIONES!C49</f>
        <v>2.1588214600024331E-4</v>
      </c>
      <c r="D22" s="128">
        <f>EMISIONES!D49</f>
        <v>2.2126778710836073E-4</v>
      </c>
      <c r="E22" s="128">
        <f>EMISIONES!E49</f>
        <v>2.0239189719788148E-4</v>
      </c>
      <c r="F22" s="128">
        <f>EMISIONES!F49</f>
        <v>2.0711656321925048E-4</v>
      </c>
      <c r="G22" s="128">
        <f>EMISIONES!G49</f>
        <v>2.1233549088384217E-4</v>
      </c>
      <c r="H22" s="128">
        <f>EMISIONES!H49</f>
        <v>2.1812411878362106E-4</v>
      </c>
      <c r="I22" s="128">
        <f>EMISIONES!I49</f>
        <v>2.2462774115183804E-4</v>
      </c>
      <c r="J22" s="129">
        <f>+SUM(C22:I22)</f>
        <v>1.5017457443450371E-3</v>
      </c>
      <c r="K22" s="129"/>
      <c r="L22" s="131" t="s">
        <v>12</v>
      </c>
      <c r="M22" s="131">
        <f>C12</f>
        <v>0.14611315909177303</v>
      </c>
      <c r="N22" s="131">
        <f t="shared" ref="N22:S22" si="14">D12</f>
        <v>0.15283592029773729</v>
      </c>
      <c r="O22" s="131">
        <f t="shared" si="14"/>
        <v>0.15123614297056887</v>
      </c>
      <c r="P22" s="131">
        <f t="shared" si="14"/>
        <v>0.15830963354630756</v>
      </c>
      <c r="Q22" s="131">
        <f t="shared" si="14"/>
        <v>0.16561121704377146</v>
      </c>
      <c r="R22" s="131">
        <f t="shared" si="14"/>
        <v>0.17306703446250205</v>
      </c>
      <c r="S22" s="131">
        <f t="shared" si="14"/>
        <v>0.18069110522198015</v>
      </c>
    </row>
    <row r="23" spans="1:19" x14ac:dyDescent="0.25">
      <c r="A23" s="111"/>
      <c r="B23" s="114" t="s">
        <v>128</v>
      </c>
      <c r="C23" s="128">
        <f>EMISIONES!C50</f>
        <v>4.9339473883697812E-4</v>
      </c>
      <c r="D23" s="128">
        <f>EMISIONES!D50</f>
        <v>5.0929068395785338E-4</v>
      </c>
      <c r="E23" s="128">
        <f>EMISIONES!E50</f>
        <v>4.535777049269234E-4</v>
      </c>
      <c r="F23" s="128">
        <f>EMISIONES!F50</f>
        <v>4.6752275441730765E-4</v>
      </c>
      <c r="G23" s="128">
        <f>EMISIONES!G50</f>
        <v>4.8292663783262228E-4</v>
      </c>
      <c r="H23" s="128">
        <f>EMISIONES!H50</f>
        <v>5.0001201533417228E-4</v>
      </c>
      <c r="I23" s="128">
        <f>EMISIONES!I50</f>
        <v>5.1920772893199337E-4</v>
      </c>
      <c r="J23" s="129">
        <f>+SUM(C23:I23)</f>
        <v>3.4259322642378508E-3</v>
      </c>
      <c r="K23" s="129"/>
      <c r="L23" s="128" t="s">
        <v>22</v>
      </c>
      <c r="M23" s="128">
        <f>C18</f>
        <v>0.13792430583056567</v>
      </c>
      <c r="N23" s="128">
        <f t="shared" ref="N23:S23" si="15">D18</f>
        <v>0.14520441201729942</v>
      </c>
      <c r="O23" s="128">
        <f t="shared" si="15"/>
        <v>0.12936316155415561</v>
      </c>
      <c r="P23" s="128">
        <f t="shared" si="15"/>
        <v>0.13678994311306425</v>
      </c>
      <c r="Q23" s="128">
        <f t="shared" si="15"/>
        <v>0.14469040897882493</v>
      </c>
      <c r="R23" s="128">
        <f t="shared" si="15"/>
        <v>0.15309543449499718</v>
      </c>
      <c r="S23" s="128">
        <f t="shared" si="15"/>
        <v>0.16206365421029661</v>
      </c>
    </row>
    <row r="24" spans="1:19" x14ac:dyDescent="0.25">
      <c r="A24" s="111"/>
      <c r="B24" s="111"/>
      <c r="C24" s="139">
        <f>EMISIONES!C51</f>
        <v>0.10516876259875747</v>
      </c>
      <c r="D24" s="139">
        <f>EMISIONES!D51</f>
        <v>0.11150097165088618</v>
      </c>
      <c r="E24" s="139">
        <f>EMISIONES!E51</f>
        <v>8.930749856966512E-2</v>
      </c>
      <c r="F24" s="139">
        <f>EMISIONES!F51</f>
        <v>9.4862561067926468E-2</v>
      </c>
      <c r="G24" s="139">
        <f>EMISIONES!G51</f>
        <v>0.10099875550359397</v>
      </c>
      <c r="H24" s="139">
        <f>EMISIONES!H51</f>
        <v>0.10780477938274499</v>
      </c>
      <c r="I24" s="139">
        <f>EMISIONES!I51</f>
        <v>0.11545146352023404</v>
      </c>
      <c r="J24" s="129">
        <f>+SUM(C24:I24)</f>
        <v>0.72509479229380824</v>
      </c>
      <c r="K24" s="129"/>
      <c r="L24" s="133" t="s">
        <v>24</v>
      </c>
      <c r="M24" s="133">
        <f>C24</f>
        <v>0.10516876259875747</v>
      </c>
      <c r="N24" s="133">
        <f t="shared" ref="N24:S24" si="16">D24</f>
        <v>0.11150097165088618</v>
      </c>
      <c r="O24" s="133">
        <f t="shared" si="16"/>
        <v>8.930749856966512E-2</v>
      </c>
      <c r="P24" s="133">
        <f t="shared" si="16"/>
        <v>9.4862561067926468E-2</v>
      </c>
      <c r="Q24" s="133">
        <f t="shared" si="16"/>
        <v>0.10099875550359397</v>
      </c>
      <c r="R24" s="133">
        <f>H24</f>
        <v>0.10780477938274499</v>
      </c>
      <c r="S24" s="133">
        <f t="shared" si="16"/>
        <v>0.11545146352023404</v>
      </c>
    </row>
    <row r="25" spans="1:19" x14ac:dyDescent="0.25"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</row>
    <row r="26" spans="1:19" x14ac:dyDescent="0.25">
      <c r="K26" s="129"/>
      <c r="L26" s="129"/>
      <c r="M26" s="129"/>
      <c r="N26" s="129"/>
      <c r="O26" s="129"/>
      <c r="P26" s="129"/>
      <c r="Q26" s="129"/>
      <c r="R26" s="129"/>
      <c r="S26" s="129"/>
    </row>
    <row r="27" spans="1:19" ht="45" x14ac:dyDescent="0.25">
      <c r="B27" s="143" t="s">
        <v>140</v>
      </c>
      <c r="C27" s="144">
        <v>2020</v>
      </c>
      <c r="D27" s="144">
        <v>2025</v>
      </c>
      <c r="E27" s="144">
        <v>2030</v>
      </c>
      <c r="F27" s="144">
        <v>2035</v>
      </c>
      <c r="G27" s="144">
        <v>2040</v>
      </c>
      <c r="H27" s="144">
        <v>2045</v>
      </c>
      <c r="I27" s="144">
        <v>2050</v>
      </c>
      <c r="K27" s="129"/>
      <c r="L27" s="129"/>
      <c r="M27" s="129"/>
      <c r="N27" s="129"/>
      <c r="O27" s="129"/>
      <c r="P27" s="129"/>
      <c r="Q27" s="129"/>
      <c r="R27" s="129"/>
      <c r="S27" s="129"/>
    </row>
    <row r="28" spans="1:19" x14ac:dyDescent="0.25">
      <c r="B28" s="145" t="s">
        <v>12</v>
      </c>
      <c r="C28" s="146">
        <f>(C6-C12)*1000000</f>
        <v>47160.689424265547</v>
      </c>
      <c r="D28" s="146">
        <f t="shared" ref="D28:I28" si="17">(D6-D12)*1000000</f>
        <v>47200.420531413933</v>
      </c>
      <c r="E28" s="146">
        <f t="shared" si="17"/>
        <v>56370.847505020058</v>
      </c>
      <c r="F28" s="146">
        <f t="shared" si="17"/>
        <v>56868.006575719082</v>
      </c>
      <c r="G28" s="146">
        <f t="shared" si="17"/>
        <v>57137.073479186787</v>
      </c>
      <c r="H28" s="146">
        <f t="shared" si="17"/>
        <v>57195.604613772128</v>
      </c>
      <c r="I28" s="146">
        <f t="shared" si="17"/>
        <v>57014.505016358133</v>
      </c>
      <c r="J28" s="129">
        <f>(J6-J12)*1000000</f>
        <v>378947.14714573574</v>
      </c>
      <c r="K28" s="129"/>
      <c r="L28" s="129"/>
      <c r="M28" s="129"/>
      <c r="N28" s="129"/>
      <c r="O28" s="129"/>
      <c r="P28" s="129"/>
      <c r="Q28" s="129"/>
      <c r="R28" s="129"/>
      <c r="S28" s="129"/>
    </row>
    <row r="29" spans="1:19" x14ac:dyDescent="0.25">
      <c r="B29" s="145" t="s">
        <v>22</v>
      </c>
      <c r="C29" s="146">
        <f t="shared" ref="C29:J29" si="18">(C6-C18)*1000000</f>
        <v>55349.542685472901</v>
      </c>
      <c r="D29" s="146">
        <f t="shared" si="18"/>
        <v>54831.928811851809</v>
      </c>
      <c r="E29" s="146">
        <f t="shared" si="18"/>
        <v>78243.828921433305</v>
      </c>
      <c r="F29" s="146">
        <f t="shared" si="18"/>
        <v>78387.697008962394</v>
      </c>
      <c r="G29" s="146">
        <f t="shared" si="18"/>
        <v>78057.881544133314</v>
      </c>
      <c r="H29" s="146">
        <f t="shared" si="18"/>
        <v>77167.204581276994</v>
      </c>
      <c r="I29" s="146">
        <f t="shared" si="18"/>
        <v>75641.956028041663</v>
      </c>
      <c r="J29" s="129">
        <f t="shared" si="18"/>
        <v>497680.03958117246</v>
      </c>
      <c r="K29" s="129"/>
      <c r="L29" s="129"/>
      <c r="M29" s="129"/>
      <c r="N29" s="129"/>
      <c r="O29" s="129"/>
      <c r="P29" s="129"/>
      <c r="Q29" s="129"/>
      <c r="R29" s="129"/>
      <c r="S29" s="129"/>
    </row>
    <row r="30" spans="1:19" x14ac:dyDescent="0.25">
      <c r="A30" s="142"/>
      <c r="B30" s="145" t="s">
        <v>24</v>
      </c>
      <c r="C30" s="146">
        <f t="shared" ref="C30:J30" si="19">(C6-C24)*1000000</f>
        <v>88105.085917281103</v>
      </c>
      <c r="D30" s="146">
        <f t="shared" si="19"/>
        <v>88535.369178265042</v>
      </c>
      <c r="E30" s="146">
        <f t="shared" si="19"/>
        <v>118299.4919059238</v>
      </c>
      <c r="F30" s="146">
        <f t="shared" si="19"/>
        <v>120315.07905410018</v>
      </c>
      <c r="G30" s="146">
        <f t="shared" si="19"/>
        <v>121749.53501936428</v>
      </c>
      <c r="H30" s="146">
        <f t="shared" si="19"/>
        <v>122457.85969352919</v>
      </c>
      <c r="I30" s="146">
        <f t="shared" si="19"/>
        <v>122254.14671810424</v>
      </c>
      <c r="J30" s="129">
        <f t="shared" si="19"/>
        <v>781716.56748656777</v>
      </c>
    </row>
    <row r="31" spans="1:19" x14ac:dyDescent="0.25">
      <c r="C31" s="141"/>
      <c r="D31" s="141"/>
      <c r="E31" s="141"/>
      <c r="F31" s="141"/>
      <c r="G31" s="141"/>
      <c r="H31" s="141"/>
      <c r="I31" s="141"/>
      <c r="J31" s="129"/>
    </row>
    <row r="32" spans="1:19" x14ac:dyDescent="0.25">
      <c r="C32" s="141"/>
      <c r="D32" s="141"/>
      <c r="E32" s="141"/>
      <c r="F32" s="141"/>
      <c r="G32" s="141"/>
      <c r="H32" s="141"/>
      <c r="I32" s="141"/>
      <c r="J32" s="160">
        <f>J6*1000000</f>
        <v>1506811.3597803761</v>
      </c>
    </row>
    <row r="33" spans="2:19" x14ac:dyDescent="0.25">
      <c r="J33" s="161">
        <f>J28/J32</f>
        <v>0.25148944138632512</v>
      </c>
    </row>
    <row r="34" spans="2:19" x14ac:dyDescent="0.25">
      <c r="J34" s="161">
        <f>J29/J32</f>
        <v>0.33028689115650905</v>
      </c>
    </row>
    <row r="35" spans="2:19" x14ac:dyDescent="0.25">
      <c r="J35" s="161">
        <f>J30/J32</f>
        <v>0.518788607752802</v>
      </c>
    </row>
    <row r="42" spans="2:19" ht="38.25" x14ac:dyDescent="0.25">
      <c r="L42" s="112" t="s">
        <v>123</v>
      </c>
      <c r="M42" s="113" t="s">
        <v>121</v>
      </c>
      <c r="N42" s="113" t="s">
        <v>127</v>
      </c>
      <c r="O42" s="119" t="s">
        <v>128</v>
      </c>
      <c r="P42" s="159" t="s">
        <v>138</v>
      </c>
      <c r="Q42" s="122"/>
      <c r="R42" s="122"/>
      <c r="S42" s="122"/>
    </row>
    <row r="43" spans="2:19" x14ac:dyDescent="0.25">
      <c r="L43" s="114" t="s">
        <v>5</v>
      </c>
      <c r="M43" s="115">
        <f>J3</f>
        <v>1.4992197396981548</v>
      </c>
      <c r="N43" s="115">
        <f>J4</f>
        <v>2.1758982369008573E-3</v>
      </c>
      <c r="O43" s="120">
        <f>J5</f>
        <v>5.4157218453203572E-3</v>
      </c>
      <c r="P43" s="181">
        <f>J6</f>
        <v>1.5068113597803761</v>
      </c>
      <c r="Q43" s="123"/>
      <c r="R43" s="123"/>
      <c r="S43" s="123"/>
    </row>
    <row r="44" spans="2:19" x14ac:dyDescent="0.25">
      <c r="L44" s="116" t="s">
        <v>12</v>
      </c>
      <c r="M44" s="117">
        <f>J9</f>
        <v>1.1106598426911982</v>
      </c>
      <c r="N44" s="117">
        <f>J10</f>
        <v>1.8443076481016877E-3</v>
      </c>
      <c r="O44" s="121">
        <f>J11</f>
        <v>4.4370183453404299E-3</v>
      </c>
      <c r="P44" s="181">
        <f>J12</f>
        <v>1.1278642126346403</v>
      </c>
      <c r="Q44" s="124"/>
      <c r="R44" s="124"/>
      <c r="S44" s="124"/>
    </row>
    <row r="45" spans="2:19" x14ac:dyDescent="0.25">
      <c r="C45" t="s">
        <v>141</v>
      </c>
      <c r="L45" s="114" t="s">
        <v>22</v>
      </c>
      <c r="M45" s="115">
        <f>J15</f>
        <v>0.99232599412886335</v>
      </c>
      <c r="N45" s="115">
        <f>J16</f>
        <v>1.7433233373464936E-3</v>
      </c>
      <c r="O45" s="120">
        <f>J17</f>
        <v>4.1389587829939768E-3</v>
      </c>
      <c r="P45" s="181">
        <f>J18</f>
        <v>1.0091313201992036</v>
      </c>
      <c r="Q45" s="123"/>
      <c r="R45" s="123"/>
      <c r="S45" s="123"/>
    </row>
    <row r="46" spans="2:19" x14ac:dyDescent="0.25">
      <c r="B46" t="s">
        <v>5</v>
      </c>
      <c r="C46" s="152">
        <v>0</v>
      </c>
      <c r="L46" s="125" t="s">
        <v>24</v>
      </c>
      <c r="M46" s="126">
        <f>J21</f>
        <v>0.70924407033522541</v>
      </c>
      <c r="N46" s="126">
        <f>J22</f>
        <v>1.5017457443450371E-3</v>
      </c>
      <c r="O46" s="127">
        <f>J23</f>
        <v>3.4259322642378508E-3</v>
      </c>
      <c r="P46" s="181">
        <f>J24</f>
        <v>0.72509479229380824</v>
      </c>
      <c r="Q46" s="123"/>
      <c r="R46" s="123"/>
      <c r="S46" s="123"/>
    </row>
    <row r="47" spans="2:19" x14ac:dyDescent="0.25">
      <c r="B47" t="s">
        <v>12</v>
      </c>
      <c r="C47" s="152">
        <v>0.25</v>
      </c>
    </row>
    <row r="48" spans="2:19" x14ac:dyDescent="0.25">
      <c r="B48" t="s">
        <v>22</v>
      </c>
      <c r="C48" s="152">
        <v>0.3</v>
      </c>
    </row>
    <row r="49" spans="2:3" x14ac:dyDescent="0.25">
      <c r="B49" t="s">
        <v>24</v>
      </c>
      <c r="C49" s="152">
        <v>0.5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opLeftCell="A8" zoomScale="70" zoomScaleNormal="70" workbookViewId="0">
      <selection activeCell="J29" sqref="J29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185" t="s">
        <v>5</v>
      </c>
      <c r="G2" s="182">
        <v>0</v>
      </c>
      <c r="H2" s="182">
        <v>1</v>
      </c>
      <c r="I2" s="3" t="s">
        <v>6</v>
      </c>
      <c r="J2" s="3">
        <f>J4-J3</f>
        <v>236339.95499999999</v>
      </c>
      <c r="K2" s="4">
        <v>0.97030000000000005</v>
      </c>
    </row>
    <row r="3" spans="1:11" x14ac:dyDescent="0.25">
      <c r="F3" s="183"/>
      <c r="G3" s="183"/>
      <c r="H3" s="183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184"/>
      <c r="G4" s="184"/>
      <c r="H4" s="184"/>
      <c r="I4" s="7" t="s">
        <v>8</v>
      </c>
      <c r="J4" s="8">
        <v>245099.95499999999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185" t="s">
        <v>12</v>
      </c>
      <c r="G7" s="182">
        <v>0.25</v>
      </c>
      <c r="H7" s="182">
        <v>0.75</v>
      </c>
      <c r="I7" s="3" t="s">
        <v>6</v>
      </c>
      <c r="J7" s="3">
        <f>J2*H7</f>
        <v>177254.96625</v>
      </c>
      <c r="K7" s="4">
        <f t="shared" ref="K7:K11" si="0">J7/$J$4</f>
        <v>0.72319460952165415</v>
      </c>
    </row>
    <row r="8" spans="1:11" ht="30" x14ac:dyDescent="0.25">
      <c r="A8" s="15" t="s">
        <v>13</v>
      </c>
      <c r="B8" s="16">
        <f>EÓLICA!G19</f>
        <v>73314.240000000005</v>
      </c>
      <c r="C8" s="17">
        <f>B8/B11</f>
        <v>0.88834879371912778</v>
      </c>
      <c r="D8" s="189">
        <f>B13/$J$4</f>
        <v>-9.5649451465627616E-2</v>
      </c>
      <c r="F8" s="183"/>
      <c r="G8" s="183"/>
      <c r="H8" s="183"/>
      <c r="I8" s="3" t="s">
        <v>7</v>
      </c>
      <c r="J8" s="3">
        <f>+J3</f>
        <v>8760</v>
      </c>
      <c r="K8" s="4">
        <f t="shared" si="0"/>
        <v>3.5740520637794489E-2</v>
      </c>
    </row>
    <row r="9" spans="1:11" x14ac:dyDescent="0.25">
      <c r="A9" s="15" t="s">
        <v>14</v>
      </c>
      <c r="B9" s="18">
        <f>SOLAR!F4</f>
        <v>9214.4249999999993</v>
      </c>
      <c r="C9" s="19">
        <f>B9/B11</f>
        <v>0.1116512062808722</v>
      </c>
      <c r="D9" s="183"/>
      <c r="F9" s="183"/>
      <c r="G9" s="183"/>
      <c r="H9" s="183"/>
      <c r="I9" s="20" t="s">
        <v>15</v>
      </c>
      <c r="J9" s="20">
        <f t="shared" ref="J9:J10" si="1">B8</f>
        <v>73314.240000000005</v>
      </c>
      <c r="K9" s="21">
        <f t="shared" si="0"/>
        <v>0.29911976116029892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0.68525048842120495</v>
      </c>
      <c r="D10" s="183"/>
      <c r="F10" s="183"/>
      <c r="G10" s="183"/>
      <c r="H10" s="183"/>
      <c r="I10" s="24" t="s">
        <v>17</v>
      </c>
      <c r="J10" s="24">
        <f t="shared" si="1"/>
        <v>9214.4249999999993</v>
      </c>
      <c r="K10" s="25">
        <f t="shared" si="0"/>
        <v>3.7594560145880078E-2</v>
      </c>
    </row>
    <row r="11" spans="1:11" x14ac:dyDescent="0.25">
      <c r="A11" s="26" t="s">
        <v>18</v>
      </c>
      <c r="B11" s="188">
        <f>SUM(B8:B9)</f>
        <v>82528.665000000008</v>
      </c>
      <c r="C11" s="187"/>
      <c r="D11" s="183"/>
      <c r="F11" s="183"/>
      <c r="G11" s="183"/>
      <c r="H11" s="183"/>
      <c r="I11" s="27" t="s">
        <v>19</v>
      </c>
      <c r="J11" s="27"/>
      <c r="K11" s="29">
        <f t="shared" si="0"/>
        <v>0</v>
      </c>
    </row>
    <row r="12" spans="1:11" x14ac:dyDescent="0.25">
      <c r="A12" s="30" t="s">
        <v>20</v>
      </c>
      <c r="B12" s="188">
        <f>J2*G7</f>
        <v>59084.988749999997</v>
      </c>
      <c r="C12" s="187"/>
      <c r="D12" s="183"/>
      <c r="F12" s="184"/>
      <c r="G12" s="184"/>
      <c r="H12" s="184"/>
      <c r="I12" s="7" t="s">
        <v>18</v>
      </c>
      <c r="J12" s="7">
        <f t="shared" ref="J12:K12" si="2">SUM(J7:J10)</f>
        <v>268543.63124999998</v>
      </c>
      <c r="K12" s="31">
        <f t="shared" si="2"/>
        <v>1.0956494514656276</v>
      </c>
    </row>
    <row r="13" spans="1:11" x14ac:dyDescent="0.25">
      <c r="A13" s="30" t="s">
        <v>21</v>
      </c>
      <c r="B13" s="188">
        <f>B12-B11</f>
        <v>-23443.676250000011</v>
      </c>
      <c r="C13" s="187"/>
      <c r="D13" s="184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EÓLICA!G19</f>
        <v>73314.240000000005</v>
      </c>
      <c r="C15" s="17">
        <f>B15/B18</f>
        <v>0.52713160436544992</v>
      </c>
      <c r="D15" s="189">
        <f>B20/J4</f>
        <v>-0.27817013063099094</v>
      </c>
      <c r="F15" s="185" t="s">
        <v>22</v>
      </c>
      <c r="G15" s="182">
        <v>0.3</v>
      </c>
      <c r="H15" s="182">
        <v>0.7</v>
      </c>
      <c r="I15" s="3" t="s">
        <v>6</v>
      </c>
      <c r="J15" s="3">
        <f>J2*H15</f>
        <v>165437.96849999999</v>
      </c>
      <c r="K15" s="4">
        <f t="shared" ref="K15:K19" si="3">J15/$J$4</f>
        <v>0.67498163555354385</v>
      </c>
    </row>
    <row r="16" spans="1:11" x14ac:dyDescent="0.25">
      <c r="A16" s="35" t="s">
        <v>14</v>
      </c>
      <c r="B16" s="37">
        <f>SOLAR!F4</f>
        <v>9214.4249999999993</v>
      </c>
      <c r="C16" s="38">
        <f>B16/B18</f>
        <v>6.6251994613258078E-2</v>
      </c>
      <c r="D16" s="183"/>
      <c r="F16" s="183"/>
      <c r="G16" s="183"/>
      <c r="H16" s="183"/>
      <c r="I16" s="3" t="s">
        <v>7</v>
      </c>
      <c r="J16" s="3">
        <f>J3</f>
        <v>8760</v>
      </c>
      <c r="K16" s="4">
        <f t="shared" si="3"/>
        <v>3.5740520637794489E-2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0.4066164010212921</v>
      </c>
      <c r="D17" s="183"/>
      <c r="F17" s="183"/>
      <c r="G17" s="183"/>
      <c r="H17" s="183"/>
      <c r="I17" s="20" t="s">
        <v>15</v>
      </c>
      <c r="J17" s="20">
        <f t="shared" ref="J17:J19" si="4">B15</f>
        <v>73314.240000000005</v>
      </c>
      <c r="K17" s="21">
        <f t="shared" si="3"/>
        <v>0.29911976116029892</v>
      </c>
    </row>
    <row r="18" spans="1:11" x14ac:dyDescent="0.25">
      <c r="A18" s="40" t="s">
        <v>18</v>
      </c>
      <c r="B18" s="186">
        <f>SUM(B15:B17)</f>
        <v>139081.473</v>
      </c>
      <c r="C18" s="187"/>
      <c r="D18" s="183"/>
      <c r="F18" s="183"/>
      <c r="G18" s="183"/>
      <c r="H18" s="183"/>
      <c r="I18" s="24" t="s">
        <v>17</v>
      </c>
      <c r="J18" s="24">
        <f t="shared" si="4"/>
        <v>9214.4249999999993</v>
      </c>
      <c r="K18" s="25">
        <f t="shared" si="3"/>
        <v>3.7594560145880078E-2</v>
      </c>
    </row>
    <row r="19" spans="1:11" x14ac:dyDescent="0.25">
      <c r="A19" s="30" t="s">
        <v>23</v>
      </c>
      <c r="B19" s="188">
        <f>J2*G15</f>
        <v>70901.986499999999</v>
      </c>
      <c r="C19" s="187"/>
      <c r="D19" s="183"/>
      <c r="F19" s="183"/>
      <c r="G19" s="183"/>
      <c r="H19" s="183"/>
      <c r="I19" s="27" t="s">
        <v>19</v>
      </c>
      <c r="J19" s="27">
        <f t="shared" si="4"/>
        <v>56552.808000000005</v>
      </c>
      <c r="K19" s="29">
        <f t="shared" si="3"/>
        <v>0.23073365313347369</v>
      </c>
    </row>
    <row r="20" spans="1:11" x14ac:dyDescent="0.25">
      <c r="A20" s="30" t="s">
        <v>21</v>
      </c>
      <c r="B20" s="188">
        <f>B19-B18</f>
        <v>-68179.486499999999</v>
      </c>
      <c r="C20" s="187"/>
      <c r="D20" s="184"/>
      <c r="F20" s="184"/>
      <c r="G20" s="184"/>
      <c r="H20" s="184"/>
      <c r="I20" s="7" t="s">
        <v>18</v>
      </c>
      <c r="J20" s="7">
        <f>SUM(J15:J19)</f>
        <v>313279.44150000002</v>
      </c>
      <c r="K20" s="41">
        <f>SUM(K15:K19)</f>
        <v>1.2781701306309909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EÓLICA!G19</f>
        <v>73314.240000000005</v>
      </c>
      <c r="C23" s="44">
        <f>B23/B26</f>
        <v>0.37475149869055924</v>
      </c>
      <c r="D23" s="189">
        <f>B28/J4</f>
        <v>-0.3160518878920236</v>
      </c>
      <c r="F23" s="185" t="s">
        <v>24</v>
      </c>
      <c r="G23" s="182">
        <v>0.5</v>
      </c>
      <c r="H23" s="182">
        <v>0.5</v>
      </c>
      <c r="I23" s="3" t="s">
        <v>6</v>
      </c>
      <c r="J23" s="3">
        <f>J2*H23</f>
        <v>118169.97749999999</v>
      </c>
      <c r="K23" s="4">
        <f t="shared" ref="K23:K27" si="5">J23/$J$4</f>
        <v>0.48212973968110273</v>
      </c>
    </row>
    <row r="24" spans="1:11" ht="15.75" customHeight="1" x14ac:dyDescent="0.25">
      <c r="A24" s="35" t="s">
        <v>14</v>
      </c>
      <c r="B24" s="37">
        <f>SOLAR!F4</f>
        <v>9214.4249999999993</v>
      </c>
      <c r="C24" s="19">
        <f>B24/B26</f>
        <v>4.7100257444143943E-2</v>
      </c>
      <c r="D24" s="183"/>
      <c r="F24" s="183"/>
      <c r="G24" s="183"/>
      <c r="H24" s="183"/>
      <c r="I24" s="3" t="s">
        <v>7</v>
      </c>
      <c r="J24" s="3">
        <f>J3</f>
        <v>8760</v>
      </c>
      <c r="K24" s="4">
        <f t="shared" si="5"/>
        <v>3.5740520637794489E-2</v>
      </c>
    </row>
    <row r="25" spans="1:11" ht="15.75" customHeight="1" x14ac:dyDescent="0.25">
      <c r="A25" s="15" t="s">
        <v>25</v>
      </c>
      <c r="B25" s="39">
        <f>GLP!H3*2</f>
        <v>113105.61600000001</v>
      </c>
      <c r="C25" s="23">
        <f>B25/B26</f>
        <v>0.57814824386529684</v>
      </c>
      <c r="D25" s="183"/>
      <c r="F25" s="183"/>
      <c r="G25" s="183"/>
      <c r="H25" s="183"/>
      <c r="I25" s="20" t="s">
        <v>15</v>
      </c>
      <c r="J25" s="20">
        <f t="shared" ref="J25:J27" si="6">B23</f>
        <v>73314.240000000005</v>
      </c>
      <c r="K25" s="45">
        <f t="shared" si="5"/>
        <v>0.29911976116029892</v>
      </c>
    </row>
    <row r="26" spans="1:11" ht="15.75" customHeight="1" x14ac:dyDescent="0.25">
      <c r="A26" s="46" t="s">
        <v>18</v>
      </c>
      <c r="B26" s="190">
        <f>SUM(B23:B25)</f>
        <v>195634.28100000002</v>
      </c>
      <c r="C26" s="191"/>
      <c r="D26" s="183"/>
      <c r="F26" s="183"/>
      <c r="G26" s="183"/>
      <c r="H26" s="183"/>
      <c r="I26" s="24" t="s">
        <v>17</v>
      </c>
      <c r="J26" s="24">
        <f t="shared" si="6"/>
        <v>9214.4249999999993</v>
      </c>
      <c r="K26" s="47">
        <f t="shared" si="5"/>
        <v>3.7594560145880078E-2</v>
      </c>
    </row>
    <row r="27" spans="1:11" ht="15.75" customHeight="1" x14ac:dyDescent="0.25">
      <c r="A27" s="30" t="s">
        <v>27</v>
      </c>
      <c r="B27" s="188">
        <f>J2*G23</f>
        <v>118169.97749999999</v>
      </c>
      <c r="C27" s="187"/>
      <c r="D27" s="183"/>
      <c r="F27" s="183"/>
      <c r="G27" s="183"/>
      <c r="H27" s="183"/>
      <c r="I27" s="27" t="s">
        <v>19</v>
      </c>
      <c r="J27" s="27">
        <f t="shared" si="6"/>
        <v>113105.61600000001</v>
      </c>
      <c r="K27" s="48">
        <f t="shared" si="5"/>
        <v>0.46146730626694737</v>
      </c>
    </row>
    <row r="28" spans="1:11" ht="15.75" customHeight="1" x14ac:dyDescent="0.25">
      <c r="A28" s="30" t="s">
        <v>21</v>
      </c>
      <c r="B28" s="188">
        <f>B27-B26</f>
        <v>-77464.303500000024</v>
      </c>
      <c r="C28" s="187"/>
      <c r="D28" s="184"/>
      <c r="F28" s="184"/>
      <c r="G28" s="184"/>
      <c r="H28" s="184"/>
      <c r="I28" s="7" t="s">
        <v>18</v>
      </c>
      <c r="J28" s="7">
        <f>SUM(J23:J27)</f>
        <v>322564.2585</v>
      </c>
      <c r="K28" s="41">
        <f>SUM(K23:K27)</f>
        <v>1.3160518878920235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B26:C26"/>
    <mergeCell ref="B27:C27"/>
    <mergeCell ref="B28:C28"/>
    <mergeCell ref="H2:H4"/>
    <mergeCell ref="H15:H20"/>
    <mergeCell ref="G15:G20"/>
    <mergeCell ref="G2:G4"/>
    <mergeCell ref="F2:F4"/>
    <mergeCell ref="H23:H28"/>
    <mergeCell ref="F7:F12"/>
    <mergeCell ref="F15:F20"/>
    <mergeCell ref="B18:C18"/>
    <mergeCell ref="B19:C19"/>
    <mergeCell ref="H7:H12"/>
    <mergeCell ref="G7:G12"/>
    <mergeCell ref="D8:D13"/>
    <mergeCell ref="G23:G28"/>
    <mergeCell ref="F23:F28"/>
    <mergeCell ref="D23:D28"/>
    <mergeCell ref="D15:D20"/>
    <mergeCell ref="B11:C11"/>
    <mergeCell ref="B12:C12"/>
    <mergeCell ref="B13:C13"/>
    <mergeCell ref="B20:C20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zoomScale="90" zoomScaleNormal="90" workbookViewId="0">
      <selection activeCell="J29" sqref="J29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185" t="s">
        <v>5</v>
      </c>
      <c r="G2" s="182">
        <v>0</v>
      </c>
      <c r="H2" s="182">
        <v>1</v>
      </c>
      <c r="I2" s="3" t="s">
        <v>6</v>
      </c>
      <c r="J2" s="3">
        <f>J4-J3</f>
        <v>246374.03099999999</v>
      </c>
      <c r="K2" s="4">
        <v>0.97030000000000005</v>
      </c>
    </row>
    <row r="3" spans="1:11" x14ac:dyDescent="0.25">
      <c r="F3" s="183"/>
      <c r="G3" s="183"/>
      <c r="H3" s="183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184"/>
      <c r="G4" s="184"/>
      <c r="H4" s="184"/>
      <c r="I4" s="7" t="s">
        <v>8</v>
      </c>
      <c r="J4" s="8">
        <v>255134.03099999999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185" t="s">
        <v>12</v>
      </c>
      <c r="G7" s="182">
        <v>0.25</v>
      </c>
      <c r="H7" s="182">
        <v>0.75</v>
      </c>
      <c r="I7" s="3" t="s">
        <v>6</v>
      </c>
      <c r="J7" s="3">
        <f>J2*H7</f>
        <v>184780.52325</v>
      </c>
      <c r="K7" s="4">
        <f t="shared" ref="K7:K11" si="0">J7/$J$4</f>
        <v>0.72424882923595557</v>
      </c>
    </row>
    <row r="8" spans="1:11" ht="30" x14ac:dyDescent="0.25">
      <c r="A8" s="15" t="s">
        <v>13</v>
      </c>
      <c r="B8" s="16">
        <f>EÓLICA!G19</f>
        <v>73314.240000000005</v>
      </c>
      <c r="C8" s="17">
        <f>B8/B11</f>
        <v>0.88834879371912778</v>
      </c>
      <c r="D8" s="189">
        <f>B13/$J$4</f>
        <v>-8.2055526532248499E-2</v>
      </c>
      <c r="F8" s="183"/>
      <c r="G8" s="183"/>
      <c r="H8" s="183"/>
      <c r="I8" s="3" t="s">
        <v>7</v>
      </c>
      <c r="J8" s="3">
        <f>+J3</f>
        <v>8760</v>
      </c>
      <c r="K8" s="4">
        <f t="shared" si="0"/>
        <v>3.4334894352059213E-2</v>
      </c>
    </row>
    <row r="9" spans="1:11" x14ac:dyDescent="0.25">
      <c r="A9" s="15" t="s">
        <v>14</v>
      </c>
      <c r="B9" s="18">
        <f>SOLAR!F4</f>
        <v>9214.4249999999993</v>
      </c>
      <c r="C9" s="19">
        <f>B9/B11</f>
        <v>0.1116512062808722</v>
      </c>
      <c r="D9" s="183"/>
      <c r="F9" s="183"/>
      <c r="G9" s="183"/>
      <c r="H9" s="183"/>
      <c r="I9" s="20" t="s">
        <v>15</v>
      </c>
      <c r="J9" s="20">
        <f t="shared" ref="J9:J10" si="1">B8</f>
        <v>73314.240000000005</v>
      </c>
      <c r="K9" s="21">
        <f t="shared" si="0"/>
        <v>0.28735578594766142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0.68525048842120495</v>
      </c>
      <c r="D10" s="183"/>
      <c r="F10" s="183"/>
      <c r="G10" s="183"/>
      <c r="H10" s="183"/>
      <c r="I10" s="24" t="s">
        <v>17</v>
      </c>
      <c r="J10" s="24">
        <f t="shared" si="1"/>
        <v>9214.4249999999993</v>
      </c>
      <c r="K10" s="25">
        <f t="shared" si="0"/>
        <v>3.6116016996572284E-2</v>
      </c>
    </row>
    <row r="11" spans="1:11" x14ac:dyDescent="0.25">
      <c r="A11" s="26" t="s">
        <v>18</v>
      </c>
      <c r="B11" s="188">
        <f>SUM(B8:B9)</f>
        <v>82528.665000000008</v>
      </c>
      <c r="C11" s="187"/>
      <c r="D11" s="183"/>
      <c r="F11" s="183"/>
      <c r="G11" s="183"/>
      <c r="H11" s="183"/>
      <c r="I11" s="27" t="s">
        <v>19</v>
      </c>
      <c r="J11" s="27"/>
      <c r="K11" s="29">
        <f t="shared" si="0"/>
        <v>0</v>
      </c>
    </row>
    <row r="12" spans="1:11" x14ac:dyDescent="0.25">
      <c r="A12" s="30" t="s">
        <v>20</v>
      </c>
      <c r="B12" s="188">
        <f>J2*G7</f>
        <v>61593.507749999997</v>
      </c>
      <c r="C12" s="187"/>
      <c r="D12" s="183"/>
      <c r="F12" s="184"/>
      <c r="G12" s="184"/>
      <c r="H12" s="184"/>
      <c r="I12" s="7" t="s">
        <v>18</v>
      </c>
      <c r="J12" s="7">
        <f t="shared" ref="J12:K12" si="2">SUM(J7:J10)</f>
        <v>276069.18825000001</v>
      </c>
      <c r="K12" s="31">
        <f t="shared" si="2"/>
        <v>1.0820555265322482</v>
      </c>
    </row>
    <row r="13" spans="1:11" x14ac:dyDescent="0.25">
      <c r="A13" s="30" t="s">
        <v>21</v>
      </c>
      <c r="B13" s="188">
        <f>B12-B11</f>
        <v>-20935.157250000011</v>
      </c>
      <c r="C13" s="187"/>
      <c r="D13" s="184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EÓLICA!G19</f>
        <v>73314.240000000005</v>
      </c>
      <c r="C15" s="17">
        <f>B15/B18</f>
        <v>0.52713160436544992</v>
      </c>
      <c r="D15" s="189">
        <f>B20/J4</f>
        <v>-0.25543148220787532</v>
      </c>
      <c r="F15" s="185" t="s">
        <v>22</v>
      </c>
      <c r="G15" s="182">
        <v>0.3</v>
      </c>
      <c r="H15" s="182">
        <v>0.7</v>
      </c>
      <c r="I15" s="3" t="s">
        <v>6</v>
      </c>
      <c r="J15" s="3">
        <f>J2*H15</f>
        <v>172461.82169999997</v>
      </c>
      <c r="K15" s="4">
        <f t="shared" ref="K15:K19" si="3">J15/$J$4</f>
        <v>0.6759655739535585</v>
      </c>
    </row>
    <row r="16" spans="1:11" x14ac:dyDescent="0.25">
      <c r="A16" s="35" t="s">
        <v>14</v>
      </c>
      <c r="B16" s="37">
        <f>SOLAR!F4</f>
        <v>9214.4249999999993</v>
      </c>
      <c r="C16" s="38">
        <f>B16/B18</f>
        <v>6.6251994613258078E-2</v>
      </c>
      <c r="D16" s="183"/>
      <c r="F16" s="183"/>
      <c r="G16" s="183"/>
      <c r="H16" s="183"/>
      <c r="I16" s="3" t="s">
        <v>7</v>
      </c>
      <c r="J16" s="3">
        <f>J3</f>
        <v>8760</v>
      </c>
      <c r="K16" s="4">
        <f t="shared" si="3"/>
        <v>3.4334894352059213E-2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0.4066164010212921</v>
      </c>
      <c r="D17" s="183"/>
      <c r="F17" s="183"/>
      <c r="G17" s="183"/>
      <c r="H17" s="183"/>
      <c r="I17" s="20" t="s">
        <v>15</v>
      </c>
      <c r="J17" s="20">
        <f t="shared" ref="J17:J19" si="4">B15</f>
        <v>73314.240000000005</v>
      </c>
      <c r="K17" s="21">
        <f t="shared" si="3"/>
        <v>0.28735578594766142</v>
      </c>
    </row>
    <row r="18" spans="1:11" x14ac:dyDescent="0.25">
      <c r="A18" s="40" t="s">
        <v>18</v>
      </c>
      <c r="B18" s="186">
        <f>SUM(B15:B17)</f>
        <v>139081.473</v>
      </c>
      <c r="C18" s="187"/>
      <c r="D18" s="183"/>
      <c r="F18" s="183"/>
      <c r="G18" s="183"/>
      <c r="H18" s="183"/>
      <c r="I18" s="24" t="s">
        <v>17</v>
      </c>
      <c r="J18" s="24">
        <f t="shared" si="4"/>
        <v>9214.4249999999993</v>
      </c>
      <c r="K18" s="25">
        <f t="shared" si="3"/>
        <v>3.6116016996572284E-2</v>
      </c>
    </row>
    <row r="19" spans="1:11" x14ac:dyDescent="0.25">
      <c r="A19" s="30" t="s">
        <v>23</v>
      </c>
      <c r="B19" s="188">
        <f>J2*G15</f>
        <v>73912.209299999988</v>
      </c>
      <c r="C19" s="187"/>
      <c r="D19" s="183"/>
      <c r="F19" s="183"/>
      <c r="G19" s="183"/>
      <c r="H19" s="183"/>
      <c r="I19" s="27" t="s">
        <v>19</v>
      </c>
      <c r="J19" s="27">
        <f t="shared" si="4"/>
        <v>56552.808000000005</v>
      </c>
      <c r="K19" s="29">
        <f t="shared" si="3"/>
        <v>0.22165921095802388</v>
      </c>
    </row>
    <row r="20" spans="1:11" x14ac:dyDescent="0.25">
      <c r="A20" s="30" t="s">
        <v>21</v>
      </c>
      <c r="B20" s="188">
        <f>B19-B18</f>
        <v>-65169.26370000001</v>
      </c>
      <c r="C20" s="187"/>
      <c r="D20" s="184"/>
      <c r="F20" s="184"/>
      <c r="G20" s="184"/>
      <c r="H20" s="184"/>
      <c r="I20" s="7" t="s">
        <v>18</v>
      </c>
      <c r="J20" s="7">
        <f>SUM(J15:J19)</f>
        <v>320303.29469999997</v>
      </c>
      <c r="K20" s="41">
        <f>SUM(K15:K19)</f>
        <v>1.2554314822078751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EÓLICA!G19</f>
        <v>73314.240000000005</v>
      </c>
      <c r="C23" s="44">
        <f>B23/B26</f>
        <v>0.37475149869055924</v>
      </c>
      <c r="D23" s="189">
        <f>B28/J4</f>
        <v>-0.28395767203631112</v>
      </c>
      <c r="F23" s="185" t="s">
        <v>24</v>
      </c>
      <c r="G23" s="182">
        <v>0.5</v>
      </c>
      <c r="H23" s="182">
        <v>0.5</v>
      </c>
      <c r="I23" s="3" t="s">
        <v>6</v>
      </c>
      <c r="J23" s="3">
        <f>J2*H23</f>
        <v>123187.01549999999</v>
      </c>
      <c r="K23" s="4">
        <f t="shared" ref="K23:K27" si="5">J23/$J$4</f>
        <v>0.48283255282397042</v>
      </c>
    </row>
    <row r="24" spans="1:11" ht="15.75" customHeight="1" x14ac:dyDescent="0.25">
      <c r="A24" s="35" t="s">
        <v>14</v>
      </c>
      <c r="B24" s="37">
        <f>SOLAR!F4</f>
        <v>9214.4249999999993</v>
      </c>
      <c r="C24" s="19">
        <f>B24/B26</f>
        <v>4.7100257444143943E-2</v>
      </c>
      <c r="D24" s="183"/>
      <c r="F24" s="183"/>
      <c r="G24" s="183"/>
      <c r="H24" s="183"/>
      <c r="I24" s="3" t="s">
        <v>7</v>
      </c>
      <c r="J24" s="3">
        <f>J3</f>
        <v>8760</v>
      </c>
      <c r="K24" s="4">
        <f t="shared" si="5"/>
        <v>3.4334894352059213E-2</v>
      </c>
    </row>
    <row r="25" spans="1:11" ht="15.75" customHeight="1" x14ac:dyDescent="0.25">
      <c r="A25" s="15" t="s">
        <v>25</v>
      </c>
      <c r="B25" s="39">
        <f>GLP!H3*2</f>
        <v>113105.61600000001</v>
      </c>
      <c r="C25" s="23">
        <f>B25/B26</f>
        <v>0.57814824386529684</v>
      </c>
      <c r="D25" s="183"/>
      <c r="F25" s="183"/>
      <c r="G25" s="183"/>
      <c r="H25" s="183"/>
      <c r="I25" s="20" t="s">
        <v>15</v>
      </c>
      <c r="J25" s="20">
        <f t="shared" ref="J25:J27" si="6">B23</f>
        <v>73314.240000000005</v>
      </c>
      <c r="K25" s="45">
        <f t="shared" si="5"/>
        <v>0.28735578594766142</v>
      </c>
    </row>
    <row r="26" spans="1:11" ht="15.75" customHeight="1" x14ac:dyDescent="0.25">
      <c r="A26" s="46" t="s">
        <v>18</v>
      </c>
      <c r="B26" s="190">
        <f>SUM(B23:B25)</f>
        <v>195634.28100000002</v>
      </c>
      <c r="C26" s="191"/>
      <c r="D26" s="183"/>
      <c r="F26" s="183"/>
      <c r="G26" s="183"/>
      <c r="H26" s="183"/>
      <c r="I26" s="24" t="s">
        <v>17</v>
      </c>
      <c r="J26" s="24">
        <f t="shared" si="6"/>
        <v>9214.4249999999993</v>
      </c>
      <c r="K26" s="47">
        <f t="shared" si="5"/>
        <v>3.6116016996572284E-2</v>
      </c>
    </row>
    <row r="27" spans="1:11" ht="15.75" customHeight="1" x14ac:dyDescent="0.25">
      <c r="A27" s="30" t="s">
        <v>27</v>
      </c>
      <c r="B27" s="188">
        <f>J2*G23</f>
        <v>123187.01549999999</v>
      </c>
      <c r="C27" s="187"/>
      <c r="D27" s="183"/>
      <c r="F27" s="183"/>
      <c r="G27" s="183"/>
      <c r="H27" s="183"/>
      <c r="I27" s="27" t="s">
        <v>19</v>
      </c>
      <c r="J27" s="27">
        <f t="shared" si="6"/>
        <v>113105.61600000001</v>
      </c>
      <c r="K27" s="48">
        <f t="shared" si="5"/>
        <v>0.44331842191604776</v>
      </c>
    </row>
    <row r="28" spans="1:11" ht="15.75" customHeight="1" x14ac:dyDescent="0.25">
      <c r="A28" s="30" t="s">
        <v>21</v>
      </c>
      <c r="B28" s="188">
        <f>B27-B26</f>
        <v>-72447.265500000023</v>
      </c>
      <c r="C28" s="187"/>
      <c r="D28" s="184"/>
      <c r="F28" s="184"/>
      <c r="G28" s="184"/>
      <c r="H28" s="184"/>
      <c r="I28" s="7" t="s">
        <v>18</v>
      </c>
      <c r="J28" s="7">
        <f>SUM(J23:J27)</f>
        <v>327581.29649999994</v>
      </c>
      <c r="K28" s="41">
        <f>SUM(K23:K27)</f>
        <v>1.2839576720363111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B27:C27"/>
    <mergeCell ref="B28:C28"/>
    <mergeCell ref="B13:C13"/>
    <mergeCell ref="B18:C18"/>
    <mergeCell ref="B19:C19"/>
    <mergeCell ref="B11:C11"/>
    <mergeCell ref="F7:F12"/>
    <mergeCell ref="B12:C12"/>
    <mergeCell ref="F15:F20"/>
    <mergeCell ref="B26:C26"/>
    <mergeCell ref="B20:C20"/>
    <mergeCell ref="G23:G28"/>
    <mergeCell ref="D23:D28"/>
    <mergeCell ref="H2:H4"/>
    <mergeCell ref="H23:H28"/>
    <mergeCell ref="F23:F28"/>
    <mergeCell ref="H15:H20"/>
    <mergeCell ref="G15:G20"/>
    <mergeCell ref="G2:G4"/>
    <mergeCell ref="F2:F4"/>
    <mergeCell ref="H7:H12"/>
    <mergeCell ref="G7:G12"/>
    <mergeCell ref="D8:D13"/>
    <mergeCell ref="D15:D20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opLeftCell="A11" workbookViewId="0">
      <selection activeCell="J29" sqref="J29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185" t="s">
        <v>5</v>
      </c>
      <c r="G2" s="182">
        <v>0</v>
      </c>
      <c r="H2" s="182">
        <v>1</v>
      </c>
      <c r="I2" s="3" t="s">
        <v>6</v>
      </c>
      <c r="J2" s="3">
        <f>J4-J3</f>
        <v>256408.10700000002</v>
      </c>
      <c r="K2" s="4">
        <v>0.97030000000000005</v>
      </c>
    </row>
    <row r="3" spans="1:11" x14ac:dyDescent="0.25">
      <c r="F3" s="183"/>
      <c r="G3" s="183"/>
      <c r="H3" s="183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184"/>
      <c r="G4" s="184"/>
      <c r="H4" s="184"/>
      <c r="I4" s="7" t="s">
        <v>8</v>
      </c>
      <c r="J4" s="8">
        <v>265168.10700000002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185" t="s">
        <v>12</v>
      </c>
      <c r="G7" s="182">
        <v>0.25</v>
      </c>
      <c r="H7" s="182">
        <v>0.75</v>
      </c>
      <c r="I7" s="3" t="s">
        <v>6</v>
      </c>
      <c r="J7" s="3">
        <f>J2*H7</f>
        <v>192306.08025</v>
      </c>
      <c r="K7" s="4">
        <f t="shared" ref="K7:K11" si="0">J7/$J$4</f>
        <v>0.72522326468921838</v>
      </c>
    </row>
    <row r="8" spans="1:11" ht="30" x14ac:dyDescent="0.25">
      <c r="A8" s="15" t="s">
        <v>13</v>
      </c>
      <c r="B8" s="16">
        <f>EÓLICA!G19</f>
        <v>73314.240000000005</v>
      </c>
      <c r="C8" s="17">
        <f>B8/B11</f>
        <v>0.88834879371912778</v>
      </c>
      <c r="D8" s="189">
        <f>B13/$J$4</f>
        <v>-6.9490401611533179E-2</v>
      </c>
      <c r="F8" s="183"/>
      <c r="G8" s="183"/>
      <c r="H8" s="183"/>
      <c r="I8" s="3" t="s">
        <v>7</v>
      </c>
      <c r="J8" s="3">
        <f>+J3</f>
        <v>8760</v>
      </c>
      <c r="K8" s="4">
        <f t="shared" si="0"/>
        <v>3.3035647081042063E-2</v>
      </c>
    </row>
    <row r="9" spans="1:11" x14ac:dyDescent="0.25">
      <c r="A9" s="15" t="s">
        <v>14</v>
      </c>
      <c r="B9" s="18">
        <f>SOLAR!F4</f>
        <v>9214.4249999999993</v>
      </c>
      <c r="C9" s="19">
        <f>B9/B11</f>
        <v>0.1116512062808722</v>
      </c>
      <c r="D9" s="183"/>
      <c r="F9" s="183"/>
      <c r="G9" s="183"/>
      <c r="H9" s="183"/>
      <c r="I9" s="20" t="s">
        <v>15</v>
      </c>
      <c r="J9" s="20">
        <f t="shared" ref="J9:J10" si="1">B8</f>
        <v>73314.240000000005</v>
      </c>
      <c r="K9" s="21">
        <f t="shared" si="0"/>
        <v>0.27648211856790156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0.68525048842120495</v>
      </c>
      <c r="D10" s="183"/>
      <c r="F10" s="183"/>
      <c r="G10" s="183"/>
      <c r="H10" s="183"/>
      <c r="I10" s="24" t="s">
        <v>17</v>
      </c>
      <c r="J10" s="24">
        <f t="shared" si="1"/>
        <v>9214.4249999999993</v>
      </c>
      <c r="K10" s="25">
        <f t="shared" si="0"/>
        <v>3.4749371273371119E-2</v>
      </c>
    </row>
    <row r="11" spans="1:11" x14ac:dyDescent="0.25">
      <c r="A11" s="26" t="s">
        <v>18</v>
      </c>
      <c r="B11" s="188">
        <f>SUM(B8:B9)</f>
        <v>82528.665000000008</v>
      </c>
      <c r="C11" s="187"/>
      <c r="D11" s="183"/>
      <c r="F11" s="183"/>
      <c r="G11" s="183"/>
      <c r="H11" s="183"/>
      <c r="I11" s="27" t="s">
        <v>19</v>
      </c>
      <c r="J11" s="27"/>
      <c r="K11" s="29">
        <f t="shared" si="0"/>
        <v>0</v>
      </c>
    </row>
    <row r="12" spans="1:11" x14ac:dyDescent="0.25">
      <c r="A12" s="30" t="s">
        <v>20</v>
      </c>
      <c r="B12" s="188">
        <f>J2*G7</f>
        <v>64102.026750000005</v>
      </c>
      <c r="C12" s="187"/>
      <c r="D12" s="183"/>
      <c r="F12" s="184"/>
      <c r="G12" s="184"/>
      <c r="H12" s="184"/>
      <c r="I12" s="7" t="s">
        <v>18</v>
      </c>
      <c r="J12" s="7">
        <f t="shared" ref="J12:K12" si="2">SUM(J7:J10)</f>
        <v>283594.74524999998</v>
      </c>
      <c r="K12" s="31">
        <f t="shared" si="2"/>
        <v>1.0694904016115332</v>
      </c>
    </row>
    <row r="13" spans="1:11" x14ac:dyDescent="0.25">
      <c r="A13" s="30" t="s">
        <v>21</v>
      </c>
      <c r="B13" s="188">
        <f>B12-B11</f>
        <v>-18426.638250000004</v>
      </c>
      <c r="C13" s="187"/>
      <c r="D13" s="184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EÓLICA!G19</f>
        <v>73314.240000000005</v>
      </c>
      <c r="C15" s="17">
        <f>B15/B18</f>
        <v>0.52713160436544992</v>
      </c>
      <c r="D15" s="189">
        <f>B20/J4</f>
        <v>-0.23441371439137659</v>
      </c>
      <c r="F15" s="185" t="s">
        <v>22</v>
      </c>
      <c r="G15" s="182">
        <v>0.3</v>
      </c>
      <c r="H15" s="182">
        <v>0.7</v>
      </c>
      <c r="I15" s="3" t="s">
        <v>6</v>
      </c>
      <c r="J15" s="3">
        <f>J2*H15</f>
        <v>179485.67490000001</v>
      </c>
      <c r="K15" s="4">
        <f t="shared" ref="K15:K19" si="3">J15/$J$4</f>
        <v>0.67687504704327051</v>
      </c>
    </row>
    <row r="16" spans="1:11" x14ac:dyDescent="0.25">
      <c r="A16" s="35" t="s">
        <v>14</v>
      </c>
      <c r="B16" s="37">
        <f>SOLAR!F4</f>
        <v>9214.4249999999993</v>
      </c>
      <c r="C16" s="38">
        <f>B16/B18</f>
        <v>6.6251994613258078E-2</v>
      </c>
      <c r="D16" s="183"/>
      <c r="F16" s="183"/>
      <c r="G16" s="183"/>
      <c r="H16" s="183"/>
      <c r="I16" s="3" t="s">
        <v>7</v>
      </c>
      <c r="J16" s="3">
        <f>J3</f>
        <v>8760</v>
      </c>
      <c r="K16" s="4">
        <f t="shared" si="3"/>
        <v>3.3035647081042063E-2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0.4066164010212921</v>
      </c>
      <c r="D17" s="183"/>
      <c r="F17" s="183"/>
      <c r="G17" s="183"/>
      <c r="H17" s="183"/>
      <c r="I17" s="20" t="s">
        <v>15</v>
      </c>
      <c r="J17" s="20">
        <f t="shared" ref="J17:J19" si="4">B15</f>
        <v>73314.240000000005</v>
      </c>
      <c r="K17" s="21">
        <f t="shared" si="3"/>
        <v>0.27648211856790156</v>
      </c>
    </row>
    <row r="18" spans="1:11" x14ac:dyDescent="0.25">
      <c r="A18" s="40" t="s">
        <v>18</v>
      </c>
      <c r="B18" s="186">
        <f>SUM(B15:B17)</f>
        <v>139081.473</v>
      </c>
      <c r="C18" s="187"/>
      <c r="D18" s="183"/>
      <c r="F18" s="183"/>
      <c r="G18" s="183"/>
      <c r="H18" s="183"/>
      <c r="I18" s="24" t="s">
        <v>17</v>
      </c>
      <c r="J18" s="24">
        <f t="shared" si="4"/>
        <v>9214.4249999999993</v>
      </c>
      <c r="K18" s="25">
        <f t="shared" si="3"/>
        <v>3.4749371273371119E-2</v>
      </c>
    </row>
    <row r="19" spans="1:11" x14ac:dyDescent="0.25">
      <c r="A19" s="30" t="s">
        <v>23</v>
      </c>
      <c r="B19" s="188">
        <f>J2*G15</f>
        <v>76922.432100000005</v>
      </c>
      <c r="C19" s="187"/>
      <c r="D19" s="183"/>
      <c r="F19" s="183"/>
      <c r="G19" s="183"/>
      <c r="H19" s="183"/>
      <c r="I19" s="27" t="s">
        <v>19</v>
      </c>
      <c r="J19" s="27">
        <f t="shared" si="4"/>
        <v>56552.808000000005</v>
      </c>
      <c r="K19" s="29">
        <f t="shared" si="3"/>
        <v>0.21327153042579136</v>
      </c>
    </row>
    <row r="20" spans="1:11" x14ac:dyDescent="0.25">
      <c r="A20" s="30" t="s">
        <v>21</v>
      </c>
      <c r="B20" s="188">
        <f>B19-B18</f>
        <v>-62159.040899999993</v>
      </c>
      <c r="C20" s="187"/>
      <c r="D20" s="184"/>
      <c r="F20" s="184"/>
      <c r="G20" s="184"/>
      <c r="H20" s="184"/>
      <c r="I20" s="7" t="s">
        <v>18</v>
      </c>
      <c r="J20" s="7">
        <f>SUM(J15:J19)</f>
        <v>327327.14790000004</v>
      </c>
      <c r="K20" s="41">
        <f>SUM(K15:K19)</f>
        <v>1.2344137143913765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EÓLICA!G19</f>
        <v>73314.240000000005</v>
      </c>
      <c r="C23" s="44">
        <f>B23/B26</f>
        <v>0.37475149869055924</v>
      </c>
      <c r="D23" s="189">
        <f>B28/J4</f>
        <v>-0.25429237423337642</v>
      </c>
      <c r="F23" s="185" t="s">
        <v>24</v>
      </c>
      <c r="G23" s="182">
        <v>0.5</v>
      </c>
      <c r="H23" s="182">
        <v>0.5</v>
      </c>
      <c r="I23" s="3" t="s">
        <v>6</v>
      </c>
      <c r="J23" s="3">
        <f>J2*H23</f>
        <v>128204.05350000001</v>
      </c>
      <c r="K23" s="4">
        <f t="shared" ref="K23:K27" si="5">J23/$J$4</f>
        <v>0.483482176459479</v>
      </c>
    </row>
    <row r="24" spans="1:11" ht="15.75" customHeight="1" x14ac:dyDescent="0.25">
      <c r="A24" s="35" t="s">
        <v>14</v>
      </c>
      <c r="B24" s="37">
        <f>SOLAR!F4</f>
        <v>9214.4249999999993</v>
      </c>
      <c r="C24" s="19">
        <f>B24/B26</f>
        <v>4.7100257444143943E-2</v>
      </c>
      <c r="D24" s="183"/>
      <c r="F24" s="183"/>
      <c r="G24" s="183"/>
      <c r="H24" s="183"/>
      <c r="I24" s="3" t="s">
        <v>7</v>
      </c>
      <c r="J24" s="3">
        <f>J3</f>
        <v>8760</v>
      </c>
      <c r="K24" s="4">
        <f t="shared" si="5"/>
        <v>3.3035647081042063E-2</v>
      </c>
    </row>
    <row r="25" spans="1:11" ht="15.75" customHeight="1" x14ac:dyDescent="0.25">
      <c r="A25" s="15" t="s">
        <v>25</v>
      </c>
      <c r="B25" s="39">
        <f>GLP!H3*2</f>
        <v>113105.61600000001</v>
      </c>
      <c r="C25" s="23">
        <f>B25/B26</f>
        <v>0.57814824386529684</v>
      </c>
      <c r="D25" s="183"/>
      <c r="F25" s="183"/>
      <c r="G25" s="183"/>
      <c r="H25" s="183"/>
      <c r="I25" s="20" t="s">
        <v>15</v>
      </c>
      <c r="J25" s="20">
        <f t="shared" ref="J25:J27" si="6">B23</f>
        <v>73314.240000000005</v>
      </c>
      <c r="K25" s="45">
        <f t="shared" si="5"/>
        <v>0.27648211856790156</v>
      </c>
    </row>
    <row r="26" spans="1:11" ht="15.75" customHeight="1" x14ac:dyDescent="0.25">
      <c r="A26" s="46" t="s">
        <v>18</v>
      </c>
      <c r="B26" s="190">
        <f>SUM(B23:B25)</f>
        <v>195634.28100000002</v>
      </c>
      <c r="C26" s="191"/>
      <c r="D26" s="183"/>
      <c r="F26" s="183"/>
      <c r="G26" s="183"/>
      <c r="H26" s="183"/>
      <c r="I26" s="24" t="s">
        <v>17</v>
      </c>
      <c r="J26" s="24">
        <f t="shared" si="6"/>
        <v>9214.4249999999993</v>
      </c>
      <c r="K26" s="47">
        <f t="shared" si="5"/>
        <v>3.4749371273371119E-2</v>
      </c>
    </row>
    <row r="27" spans="1:11" ht="15.75" customHeight="1" x14ac:dyDescent="0.25">
      <c r="A27" s="30" t="s">
        <v>27</v>
      </c>
      <c r="B27" s="188">
        <f>J2*G23</f>
        <v>128204.05350000001</v>
      </c>
      <c r="C27" s="187"/>
      <c r="D27" s="183"/>
      <c r="F27" s="183"/>
      <c r="G27" s="183"/>
      <c r="H27" s="183"/>
      <c r="I27" s="27" t="s">
        <v>19</v>
      </c>
      <c r="J27" s="27">
        <f t="shared" si="6"/>
        <v>113105.61600000001</v>
      </c>
      <c r="K27" s="48">
        <f t="shared" si="5"/>
        <v>0.42654306085158272</v>
      </c>
    </row>
    <row r="28" spans="1:11" ht="15.75" customHeight="1" x14ac:dyDescent="0.25">
      <c r="A28" s="30" t="s">
        <v>21</v>
      </c>
      <c r="B28" s="188">
        <f>B27-B26</f>
        <v>-67430.227500000008</v>
      </c>
      <c r="C28" s="187"/>
      <c r="D28" s="184"/>
      <c r="F28" s="184"/>
      <c r="G28" s="184"/>
      <c r="H28" s="184"/>
      <c r="I28" s="7" t="s">
        <v>18</v>
      </c>
      <c r="J28" s="7">
        <f>SUM(J23:J27)</f>
        <v>332598.3345</v>
      </c>
      <c r="K28" s="41">
        <f>SUM(K23:K27)</f>
        <v>1.2542923742333765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F23:F28"/>
    <mergeCell ref="F7:F12"/>
    <mergeCell ref="B12:C12"/>
    <mergeCell ref="B26:C26"/>
    <mergeCell ref="B20:C20"/>
    <mergeCell ref="D23:D28"/>
    <mergeCell ref="B27:C27"/>
    <mergeCell ref="B28:C28"/>
    <mergeCell ref="H2:H4"/>
    <mergeCell ref="B13:C13"/>
    <mergeCell ref="G23:G28"/>
    <mergeCell ref="H23:H28"/>
    <mergeCell ref="G2:G4"/>
    <mergeCell ref="F2:F4"/>
    <mergeCell ref="B18:C18"/>
    <mergeCell ref="B19:C19"/>
    <mergeCell ref="H7:H12"/>
    <mergeCell ref="G7:G12"/>
    <mergeCell ref="D8:D13"/>
    <mergeCell ref="D15:D20"/>
    <mergeCell ref="B11:C11"/>
    <mergeCell ref="F15:F20"/>
    <mergeCell ref="H15:H20"/>
    <mergeCell ref="G15:G20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opLeftCell="A14" workbookViewId="0">
      <selection activeCell="J29" sqref="J29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185" t="s">
        <v>5</v>
      </c>
      <c r="G2" s="182">
        <v>0</v>
      </c>
      <c r="H2" s="182">
        <v>1</v>
      </c>
      <c r="I2" s="3" t="s">
        <v>6</v>
      </c>
      <c r="J2" s="3">
        <f>J4-J3</f>
        <v>266442.18400000001</v>
      </c>
      <c r="K2" s="4">
        <v>0.97030000000000005</v>
      </c>
    </row>
    <row r="3" spans="1:11" x14ac:dyDescent="0.25">
      <c r="F3" s="183"/>
      <c r="G3" s="183"/>
      <c r="H3" s="183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184"/>
      <c r="G4" s="184"/>
      <c r="H4" s="184"/>
      <c r="I4" s="7" t="s">
        <v>8</v>
      </c>
      <c r="J4" s="8">
        <v>275202.18400000001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185" t="s">
        <v>12</v>
      </c>
      <c r="G7" s="182">
        <v>0.25</v>
      </c>
      <c r="H7" s="182">
        <v>0.75</v>
      </c>
      <c r="I7" s="3" t="s">
        <v>6</v>
      </c>
      <c r="J7" s="3">
        <f>J2*H7</f>
        <v>199831.63800000001</v>
      </c>
      <c r="K7" s="4">
        <f t="shared" ref="K7:K11" si="0">J7/$J$4</f>
        <v>0.72612664294844409</v>
      </c>
    </row>
    <row r="8" spans="1:11" ht="30" x14ac:dyDescent="0.25">
      <c r="A8" s="15" t="s">
        <v>13</v>
      </c>
      <c r="B8" s="16">
        <f>EÓLICA!G19</f>
        <v>73314.240000000005</v>
      </c>
      <c r="C8" s="17">
        <f>B8/B11</f>
        <v>0.88834879371912778</v>
      </c>
      <c r="D8" s="189">
        <f>B13/$J$4</f>
        <v>-5.7841543147055856E-2</v>
      </c>
      <c r="F8" s="183"/>
      <c r="G8" s="183"/>
      <c r="H8" s="183"/>
      <c r="I8" s="3" t="s">
        <v>7</v>
      </c>
      <c r="J8" s="3">
        <f>+J3</f>
        <v>8760</v>
      </c>
      <c r="K8" s="4">
        <f t="shared" si="0"/>
        <v>3.1831142735407943E-2</v>
      </c>
    </row>
    <row r="9" spans="1:11" x14ac:dyDescent="0.25">
      <c r="A9" s="15" t="s">
        <v>14</v>
      </c>
      <c r="B9" s="18">
        <f>SOLAR!F4</f>
        <v>9214.4249999999993</v>
      </c>
      <c r="C9" s="19">
        <f>B9/B11</f>
        <v>0.1116512062808722</v>
      </c>
      <c r="D9" s="183"/>
      <c r="F9" s="183"/>
      <c r="G9" s="183"/>
      <c r="H9" s="183"/>
      <c r="I9" s="20" t="s">
        <v>15</v>
      </c>
      <c r="J9" s="20">
        <f t="shared" ref="J9:J10" si="1">B8</f>
        <v>73314.240000000005</v>
      </c>
      <c r="K9" s="21">
        <f>J9/$J$4</f>
        <v>0.26640137419839666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0.68525048842120495</v>
      </c>
      <c r="D10" s="183"/>
      <c r="F10" s="183"/>
      <c r="G10" s="183"/>
      <c r="H10" s="183"/>
      <c r="I10" s="24" t="s">
        <v>17</v>
      </c>
      <c r="J10" s="24">
        <f t="shared" si="1"/>
        <v>9214.4249999999993</v>
      </c>
      <c r="K10" s="25">
        <f t="shared" si="0"/>
        <v>3.3482383264807229E-2</v>
      </c>
    </row>
    <row r="11" spans="1:11" x14ac:dyDescent="0.25">
      <c r="A11" s="26" t="s">
        <v>18</v>
      </c>
      <c r="B11" s="188">
        <f>SUM(B8:B9)</f>
        <v>82528.665000000008</v>
      </c>
      <c r="C11" s="187"/>
      <c r="D11" s="183"/>
      <c r="F11" s="183"/>
      <c r="G11" s="183"/>
      <c r="H11" s="183"/>
      <c r="I11" s="27" t="s">
        <v>19</v>
      </c>
      <c r="J11" s="27"/>
      <c r="K11" s="29">
        <f t="shared" si="0"/>
        <v>0</v>
      </c>
    </row>
    <row r="12" spans="1:11" x14ac:dyDescent="0.25">
      <c r="A12" s="30" t="s">
        <v>20</v>
      </c>
      <c r="B12" s="188">
        <f>J2*G7</f>
        <v>66610.546000000002</v>
      </c>
      <c r="C12" s="187"/>
      <c r="D12" s="183"/>
      <c r="F12" s="184"/>
      <c r="G12" s="184"/>
      <c r="H12" s="184"/>
      <c r="I12" s="7" t="s">
        <v>18</v>
      </c>
      <c r="J12" s="7">
        <f t="shared" ref="J12:K12" si="2">SUM(J7:J10)</f>
        <v>291120.30300000001</v>
      </c>
      <c r="K12" s="31">
        <f t="shared" si="2"/>
        <v>1.057841543147056</v>
      </c>
    </row>
    <row r="13" spans="1:11" x14ac:dyDescent="0.25">
      <c r="A13" s="30" t="s">
        <v>21</v>
      </c>
      <c r="B13" s="188">
        <f>B12-B11</f>
        <v>-15918.119000000006</v>
      </c>
      <c r="C13" s="187"/>
      <c r="D13" s="184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EÓLICA!G19</f>
        <v>73314.240000000005</v>
      </c>
      <c r="C15" s="17">
        <f>B15/B18</f>
        <v>0.52713160436544992</v>
      </c>
      <c r="D15" s="189">
        <f>B20/J4</f>
        <v>-0.21492859155507285</v>
      </c>
      <c r="F15" s="185" t="s">
        <v>22</v>
      </c>
      <c r="G15" s="182">
        <v>0.3</v>
      </c>
      <c r="H15" s="182">
        <v>0.7</v>
      </c>
      <c r="I15" s="3" t="s">
        <v>6</v>
      </c>
      <c r="J15" s="3">
        <f>J2*H15</f>
        <v>186509.5288</v>
      </c>
      <c r="K15" s="4">
        <f t="shared" ref="K15:K19" si="3">J15/$J$4</f>
        <v>0.67771820008521444</v>
      </c>
    </row>
    <row r="16" spans="1:11" x14ac:dyDescent="0.25">
      <c r="A16" s="35" t="s">
        <v>14</v>
      </c>
      <c r="B16" s="37">
        <f>SOLAR!F4</f>
        <v>9214.4249999999993</v>
      </c>
      <c r="C16" s="38">
        <f>B16/B18</f>
        <v>6.6251994613258078E-2</v>
      </c>
      <c r="D16" s="183"/>
      <c r="F16" s="183"/>
      <c r="G16" s="183"/>
      <c r="H16" s="183"/>
      <c r="I16" s="3" t="s">
        <v>7</v>
      </c>
      <c r="J16" s="3">
        <f>J3</f>
        <v>8760</v>
      </c>
      <c r="K16" s="4">
        <f t="shared" si="3"/>
        <v>3.1831142735407943E-2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0.4066164010212921</v>
      </c>
      <c r="D17" s="183"/>
      <c r="F17" s="183"/>
      <c r="G17" s="183"/>
      <c r="H17" s="183"/>
      <c r="I17" s="20" t="s">
        <v>15</v>
      </c>
      <c r="J17" s="20">
        <f t="shared" ref="J17:J19" si="4">B15</f>
        <v>73314.240000000005</v>
      </c>
      <c r="K17" s="21">
        <f>J17/$J$4</f>
        <v>0.26640137419839666</v>
      </c>
    </row>
    <row r="18" spans="1:11" x14ac:dyDescent="0.25">
      <c r="A18" s="40" t="s">
        <v>18</v>
      </c>
      <c r="B18" s="186">
        <f>SUM(B15:B17)</f>
        <v>139081.473</v>
      </c>
      <c r="C18" s="187"/>
      <c r="D18" s="183"/>
      <c r="F18" s="183"/>
      <c r="G18" s="183"/>
      <c r="H18" s="183"/>
      <c r="I18" s="24" t="s">
        <v>17</v>
      </c>
      <c r="J18" s="24">
        <f t="shared" si="4"/>
        <v>9214.4249999999993</v>
      </c>
      <c r="K18" s="25">
        <f t="shared" si="3"/>
        <v>3.3482383264807229E-2</v>
      </c>
    </row>
    <row r="19" spans="1:11" x14ac:dyDescent="0.25">
      <c r="A19" s="30" t="s">
        <v>23</v>
      </c>
      <c r="B19" s="188">
        <f>J2*G15</f>
        <v>79932.655199999994</v>
      </c>
      <c r="C19" s="187"/>
      <c r="D19" s="183"/>
      <c r="F19" s="183"/>
      <c r="G19" s="183"/>
      <c r="H19" s="183"/>
      <c r="I19" s="27" t="s">
        <v>19</v>
      </c>
      <c r="J19" s="27">
        <f t="shared" si="4"/>
        <v>56552.808000000005</v>
      </c>
      <c r="K19" s="29">
        <f t="shared" si="3"/>
        <v>0.20549549127124661</v>
      </c>
    </row>
    <row r="20" spans="1:11" x14ac:dyDescent="0.25">
      <c r="A20" s="30" t="s">
        <v>21</v>
      </c>
      <c r="B20" s="188">
        <f>B19-B18</f>
        <v>-59148.817800000004</v>
      </c>
      <c r="C20" s="187"/>
      <c r="D20" s="184"/>
      <c r="F20" s="184"/>
      <c r="G20" s="184"/>
      <c r="H20" s="184"/>
      <c r="I20" s="7" t="s">
        <v>18</v>
      </c>
      <c r="J20" s="7">
        <f>SUM(J15:J19)</f>
        <v>334351.00180000003</v>
      </c>
      <c r="K20" s="41">
        <f>SUM(K15:K19)</f>
        <v>1.2149285915550729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EÓLICA!G19</f>
        <v>73314.240000000005</v>
      </c>
      <c r="C23" s="44">
        <f>B23/B26</f>
        <v>0.37475149869055924</v>
      </c>
      <c r="D23" s="189">
        <f>B28/J4</f>
        <v>-0.22679031137340105</v>
      </c>
      <c r="F23" s="185" t="s">
        <v>24</v>
      </c>
      <c r="G23" s="182">
        <v>0.5</v>
      </c>
      <c r="H23" s="182">
        <v>0.5</v>
      </c>
      <c r="I23" s="3" t="s">
        <v>6</v>
      </c>
      <c r="J23" s="3">
        <f>J2*H23</f>
        <v>133221.092</v>
      </c>
      <c r="K23" s="4">
        <f t="shared" ref="K23:K27" si="5">J23/$J$4</f>
        <v>0.484084428632296</v>
      </c>
    </row>
    <row r="24" spans="1:11" ht="15.75" customHeight="1" x14ac:dyDescent="0.25">
      <c r="A24" s="35" t="s">
        <v>14</v>
      </c>
      <c r="B24" s="37">
        <f>SOLAR!F4</f>
        <v>9214.4249999999993</v>
      </c>
      <c r="C24" s="19">
        <f>B24/B26</f>
        <v>4.7100257444143943E-2</v>
      </c>
      <c r="D24" s="183"/>
      <c r="F24" s="183"/>
      <c r="G24" s="183"/>
      <c r="H24" s="183"/>
      <c r="I24" s="3" t="s">
        <v>7</v>
      </c>
      <c r="J24" s="3">
        <f>J3</f>
        <v>8760</v>
      </c>
      <c r="K24" s="4">
        <f t="shared" si="5"/>
        <v>3.1831142735407943E-2</v>
      </c>
    </row>
    <row r="25" spans="1:11" ht="15.75" customHeight="1" x14ac:dyDescent="0.25">
      <c r="A25" s="15" t="s">
        <v>25</v>
      </c>
      <c r="B25" s="39">
        <f>GLP!H3*2</f>
        <v>113105.61600000001</v>
      </c>
      <c r="C25" s="23">
        <f>B25/B26</f>
        <v>0.57814824386529684</v>
      </c>
      <c r="D25" s="183"/>
      <c r="F25" s="183"/>
      <c r="G25" s="183"/>
      <c r="H25" s="183"/>
      <c r="I25" s="20" t="s">
        <v>15</v>
      </c>
      <c r="J25" s="20">
        <f t="shared" ref="J25:J27" si="6">B23</f>
        <v>73314.240000000005</v>
      </c>
      <c r="K25" s="45">
        <f t="shared" si="5"/>
        <v>0.26640137419839666</v>
      </c>
    </row>
    <row r="26" spans="1:11" ht="15.75" customHeight="1" x14ac:dyDescent="0.25">
      <c r="A26" s="46" t="s">
        <v>18</v>
      </c>
      <c r="B26" s="190">
        <f>SUM(B23:B25)</f>
        <v>195634.28100000002</v>
      </c>
      <c r="C26" s="191"/>
      <c r="D26" s="183"/>
      <c r="F26" s="183"/>
      <c r="G26" s="183"/>
      <c r="H26" s="183"/>
      <c r="I26" s="24" t="s">
        <v>17</v>
      </c>
      <c r="J26" s="24">
        <f t="shared" si="6"/>
        <v>9214.4249999999993</v>
      </c>
      <c r="K26" s="47">
        <f t="shared" si="5"/>
        <v>3.3482383264807229E-2</v>
      </c>
    </row>
    <row r="27" spans="1:11" ht="15.75" customHeight="1" x14ac:dyDescent="0.25">
      <c r="A27" s="30" t="s">
        <v>27</v>
      </c>
      <c r="B27" s="188">
        <f>J2*G23</f>
        <v>133221.092</v>
      </c>
      <c r="C27" s="187"/>
      <c r="D27" s="183"/>
      <c r="F27" s="183"/>
      <c r="G27" s="183"/>
      <c r="H27" s="183"/>
      <c r="I27" s="27" t="s">
        <v>19</v>
      </c>
      <c r="J27" s="27">
        <f t="shared" si="6"/>
        <v>113105.61600000001</v>
      </c>
      <c r="K27" s="48">
        <f t="shared" si="5"/>
        <v>0.41099098254249322</v>
      </c>
    </row>
    <row r="28" spans="1:11" ht="15.75" customHeight="1" x14ac:dyDescent="0.25">
      <c r="A28" s="30" t="s">
        <v>21</v>
      </c>
      <c r="B28" s="188">
        <f>B27-B26</f>
        <v>-62413.189000000013</v>
      </c>
      <c r="C28" s="187"/>
      <c r="D28" s="184"/>
      <c r="F28" s="184"/>
      <c r="G28" s="184"/>
      <c r="H28" s="184"/>
      <c r="I28" s="7" t="s">
        <v>18</v>
      </c>
      <c r="J28" s="7">
        <f>SUM(J23:J27)</f>
        <v>337615.37300000002</v>
      </c>
      <c r="K28" s="41">
        <f>SUM(K23:K27)</f>
        <v>1.2267903113734011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D8:D13"/>
    <mergeCell ref="D15:D20"/>
    <mergeCell ref="B11:C11"/>
    <mergeCell ref="B12:C12"/>
    <mergeCell ref="B26:C26"/>
    <mergeCell ref="B20:C20"/>
    <mergeCell ref="D23:D28"/>
    <mergeCell ref="B27:C27"/>
    <mergeCell ref="B28:C28"/>
    <mergeCell ref="B13:C13"/>
    <mergeCell ref="F23:F28"/>
    <mergeCell ref="G23:G28"/>
    <mergeCell ref="H23:H28"/>
    <mergeCell ref="B18:C18"/>
    <mergeCell ref="B19:C19"/>
    <mergeCell ref="F15:F20"/>
    <mergeCell ref="G15:G20"/>
    <mergeCell ref="H15:H20"/>
    <mergeCell ref="H2:H4"/>
    <mergeCell ref="G2:G4"/>
    <mergeCell ref="F2:F4"/>
    <mergeCell ref="H7:H12"/>
    <mergeCell ref="G7:G12"/>
    <mergeCell ref="F7:F12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opLeftCell="A9" zoomScale="80" zoomScaleNormal="80" workbookViewId="0">
      <selection activeCell="K21" sqref="K21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185" t="s">
        <v>5</v>
      </c>
      <c r="G2" s="182">
        <v>0</v>
      </c>
      <c r="H2" s="182">
        <v>1</v>
      </c>
      <c r="I2" s="3" t="s">
        <v>6</v>
      </c>
      <c r="J2" s="3">
        <f>J4-J3</f>
        <v>276401.63900000002</v>
      </c>
      <c r="K2" s="4">
        <v>0.97030000000000005</v>
      </c>
    </row>
    <row r="3" spans="1:11" x14ac:dyDescent="0.25">
      <c r="F3" s="183"/>
      <c r="G3" s="183"/>
      <c r="H3" s="183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184"/>
      <c r="G4" s="184"/>
      <c r="H4" s="184"/>
      <c r="I4" s="7" t="s">
        <v>8</v>
      </c>
      <c r="J4" s="8">
        <v>285161.63900000002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185" t="s">
        <v>12</v>
      </c>
      <c r="G7" s="182">
        <v>0.25</v>
      </c>
      <c r="H7" s="182">
        <v>0.75</v>
      </c>
      <c r="I7" s="3" t="s">
        <v>6</v>
      </c>
      <c r="J7" s="3">
        <f>J2*H7</f>
        <v>207301.22925000003</v>
      </c>
      <c r="K7" s="4">
        <f t="shared" ref="K7:K11" si="0">J7/$J$4</f>
        <v>0.72696043541115996</v>
      </c>
    </row>
    <row r="8" spans="1:11" ht="30" x14ac:dyDescent="0.25">
      <c r="A8" s="15" t="s">
        <v>13</v>
      </c>
      <c r="B8" s="16">
        <f>EÓLICA!G19</f>
        <v>73314.240000000005</v>
      </c>
      <c r="C8" s="17">
        <f>B8/B11</f>
        <v>0.88834879371912778</v>
      </c>
      <c r="D8" s="189">
        <f>B13/$J$4</f>
        <v>-4.7089977800274886E-2</v>
      </c>
      <c r="F8" s="183"/>
      <c r="G8" s="183"/>
      <c r="H8" s="183"/>
      <c r="I8" s="3" t="s">
        <v>7</v>
      </c>
      <c r="J8" s="3">
        <f>+J3</f>
        <v>8760</v>
      </c>
      <c r="K8" s="4">
        <f t="shared" si="0"/>
        <v>3.0719419451786779E-2</v>
      </c>
    </row>
    <row r="9" spans="1:11" x14ac:dyDescent="0.25">
      <c r="A9" s="15" t="s">
        <v>14</v>
      </c>
      <c r="B9" s="18">
        <f>SOLAR!F4</f>
        <v>9214.4249999999993</v>
      </c>
      <c r="C9" s="19">
        <f>B9/B11</f>
        <v>0.1116512062808722</v>
      </c>
      <c r="D9" s="183"/>
      <c r="F9" s="183"/>
      <c r="G9" s="183"/>
      <c r="H9" s="183"/>
      <c r="I9" s="20" t="s">
        <v>15</v>
      </c>
      <c r="J9" s="20">
        <f t="shared" ref="J9:J10" si="1">B8</f>
        <v>73314.240000000005</v>
      </c>
      <c r="K9" s="21">
        <f t="shared" si="0"/>
        <v>0.25709713360147995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0.68525048842120495</v>
      </c>
      <c r="D10" s="183"/>
      <c r="F10" s="183"/>
      <c r="G10" s="183"/>
      <c r="H10" s="183"/>
      <c r="I10" s="24" t="s">
        <v>17</v>
      </c>
      <c r="J10" s="24">
        <f t="shared" si="1"/>
        <v>9214.4249999999993</v>
      </c>
      <c r="K10" s="25">
        <f t="shared" si="0"/>
        <v>3.2312989335848218E-2</v>
      </c>
    </row>
    <row r="11" spans="1:11" x14ac:dyDescent="0.25">
      <c r="A11" s="26" t="s">
        <v>18</v>
      </c>
      <c r="B11" s="188">
        <f>SUM(B8:B9)</f>
        <v>82528.665000000008</v>
      </c>
      <c r="C11" s="187"/>
      <c r="D11" s="183"/>
      <c r="F11" s="183"/>
      <c r="G11" s="183"/>
      <c r="H11" s="183"/>
      <c r="I11" s="27" t="s">
        <v>19</v>
      </c>
      <c r="J11" s="27"/>
      <c r="K11" s="29">
        <f t="shared" si="0"/>
        <v>0</v>
      </c>
    </row>
    <row r="12" spans="1:11" x14ac:dyDescent="0.25">
      <c r="A12" s="30" t="s">
        <v>20</v>
      </c>
      <c r="B12" s="188">
        <f>J2*G7</f>
        <v>69100.409750000006</v>
      </c>
      <c r="C12" s="187"/>
      <c r="D12" s="183"/>
      <c r="F12" s="184"/>
      <c r="G12" s="184"/>
      <c r="H12" s="184"/>
      <c r="I12" s="7" t="s">
        <v>18</v>
      </c>
      <c r="J12" s="7">
        <f t="shared" ref="J12:K12" si="2">SUM(J7:J10)</f>
        <v>298589.89425000001</v>
      </c>
      <c r="K12" s="31">
        <f t="shared" si="2"/>
        <v>1.0470899778002749</v>
      </c>
    </row>
    <row r="13" spans="1:11" x14ac:dyDescent="0.25">
      <c r="A13" s="30" t="s">
        <v>21</v>
      </c>
      <c r="B13" s="188">
        <f>B12-B11</f>
        <v>-13428.255250000002</v>
      </c>
      <c r="C13" s="187"/>
      <c r="D13" s="184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EÓLICA!G19</f>
        <v>73314.240000000005</v>
      </c>
      <c r="C15" s="17">
        <f>B15/B18</f>
        <v>0.52713160436544992</v>
      </c>
      <c r="D15" s="189">
        <f>B20/J4</f>
        <v>-0.19694437686970931</v>
      </c>
      <c r="F15" s="185" t="s">
        <v>22</v>
      </c>
      <c r="G15" s="182">
        <v>0.3</v>
      </c>
      <c r="H15" s="182">
        <v>0.7</v>
      </c>
      <c r="I15" s="3" t="s">
        <v>6</v>
      </c>
      <c r="J15" s="3">
        <f>J2*H15</f>
        <v>193481.14730000001</v>
      </c>
      <c r="K15" s="4">
        <f t="shared" ref="K15:K19" si="3">J15/$J$4</f>
        <v>0.6784964063837492</v>
      </c>
    </row>
    <row r="16" spans="1:11" x14ac:dyDescent="0.25">
      <c r="A16" s="35" t="s">
        <v>14</v>
      </c>
      <c r="B16" s="37">
        <f>SOLAR!F4</f>
        <v>9214.4249999999993</v>
      </c>
      <c r="C16" s="38">
        <f>B16/B18</f>
        <v>6.6251994613258078E-2</v>
      </c>
      <c r="D16" s="183"/>
      <c r="F16" s="183"/>
      <c r="G16" s="183"/>
      <c r="H16" s="183"/>
      <c r="I16" s="3" t="s">
        <v>7</v>
      </c>
      <c r="J16" s="3">
        <f>J3</f>
        <v>8760</v>
      </c>
      <c r="K16" s="4">
        <f t="shared" si="3"/>
        <v>3.0719419451786779E-2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0.4066164010212921</v>
      </c>
      <c r="D17" s="183"/>
      <c r="F17" s="183"/>
      <c r="G17" s="183"/>
      <c r="H17" s="183"/>
      <c r="I17" s="20" t="s">
        <v>15</v>
      </c>
      <c r="J17" s="20">
        <f t="shared" ref="J17:J19" si="4">B15</f>
        <v>73314.240000000005</v>
      </c>
      <c r="K17" s="21">
        <f t="shared" si="3"/>
        <v>0.25709713360147995</v>
      </c>
    </row>
    <row r="18" spans="1:11" x14ac:dyDescent="0.25">
      <c r="A18" s="40" t="s">
        <v>18</v>
      </c>
      <c r="B18" s="186">
        <f>SUM(B15:B17)</f>
        <v>139081.473</v>
      </c>
      <c r="C18" s="187"/>
      <c r="D18" s="183"/>
      <c r="F18" s="183"/>
      <c r="G18" s="183"/>
      <c r="H18" s="183"/>
      <c r="I18" s="24" t="s">
        <v>17</v>
      </c>
      <c r="J18" s="24">
        <f t="shared" si="4"/>
        <v>9214.4249999999993</v>
      </c>
      <c r="K18" s="25">
        <f t="shared" si="3"/>
        <v>3.2312989335848218E-2</v>
      </c>
    </row>
    <row r="19" spans="1:11" x14ac:dyDescent="0.25">
      <c r="A19" s="30" t="s">
        <v>23</v>
      </c>
      <c r="B19" s="188">
        <f>J2*G15</f>
        <v>82920.491699999999</v>
      </c>
      <c r="C19" s="187"/>
      <c r="D19" s="183"/>
      <c r="F19" s="183"/>
      <c r="G19" s="183"/>
      <c r="H19" s="183"/>
      <c r="I19" s="27" t="s">
        <v>19</v>
      </c>
      <c r="J19" s="27">
        <f t="shared" si="4"/>
        <v>56552.808000000005</v>
      </c>
      <c r="K19" s="29">
        <f t="shared" si="3"/>
        <v>0.19831842809684511</v>
      </c>
    </row>
    <row r="20" spans="1:11" x14ac:dyDescent="0.25">
      <c r="A20" s="30" t="s">
        <v>21</v>
      </c>
      <c r="B20" s="188">
        <f>B19-B18</f>
        <v>-56160.981299999999</v>
      </c>
      <c r="C20" s="187"/>
      <c r="D20" s="184"/>
      <c r="F20" s="184"/>
      <c r="G20" s="184"/>
      <c r="H20" s="184"/>
      <c r="I20" s="7" t="s">
        <v>18</v>
      </c>
      <c r="J20" s="7">
        <f>SUM(J15:J19)</f>
        <v>341322.62030000001</v>
      </c>
      <c r="K20" s="41">
        <f>SUM(K15:K19)</f>
        <v>1.1969443768697092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EÓLICA!G19</f>
        <v>73314.240000000005</v>
      </c>
      <c r="C23" s="44">
        <f>B23/B26</f>
        <v>0.37475149869055924</v>
      </c>
      <c r="D23" s="189">
        <f>B28/J4</f>
        <v>-0.20140668885691179</v>
      </c>
      <c r="F23" s="185" t="s">
        <v>24</v>
      </c>
      <c r="G23" s="182">
        <v>0.5</v>
      </c>
      <c r="H23" s="182">
        <v>0.5</v>
      </c>
      <c r="I23" s="3" t="s">
        <v>6</v>
      </c>
      <c r="J23" s="3">
        <f>J2*H23</f>
        <v>138200.81950000001</v>
      </c>
      <c r="K23" s="4">
        <f t="shared" ref="K23:K27" si="5">J23/$J$4</f>
        <v>0.4846402902741066</v>
      </c>
    </row>
    <row r="24" spans="1:11" ht="15.75" customHeight="1" x14ac:dyDescent="0.25">
      <c r="A24" s="35" t="s">
        <v>14</v>
      </c>
      <c r="B24" s="37">
        <f>SOLAR!F4</f>
        <v>9214.4249999999993</v>
      </c>
      <c r="C24" s="19">
        <f>B24/B26</f>
        <v>4.7100257444143943E-2</v>
      </c>
      <c r="D24" s="183"/>
      <c r="F24" s="183"/>
      <c r="G24" s="183"/>
      <c r="H24" s="183"/>
      <c r="I24" s="3" t="s">
        <v>7</v>
      </c>
      <c r="J24" s="3">
        <f>J3</f>
        <v>8760</v>
      </c>
      <c r="K24" s="4">
        <f t="shared" si="5"/>
        <v>3.0719419451786779E-2</v>
      </c>
    </row>
    <row r="25" spans="1:11" ht="15.75" customHeight="1" x14ac:dyDescent="0.25">
      <c r="A25" s="15" t="s">
        <v>25</v>
      </c>
      <c r="B25" s="39">
        <f>GLP!H3*2</f>
        <v>113105.61600000001</v>
      </c>
      <c r="C25" s="23">
        <f>B25/B26</f>
        <v>0.57814824386529684</v>
      </c>
      <c r="D25" s="183"/>
      <c r="F25" s="183"/>
      <c r="G25" s="183"/>
      <c r="H25" s="183"/>
      <c r="I25" s="20" t="s">
        <v>15</v>
      </c>
      <c r="J25" s="20">
        <f t="shared" ref="J25:J27" si="6">B23</f>
        <v>73314.240000000005</v>
      </c>
      <c r="K25" s="45">
        <f t="shared" si="5"/>
        <v>0.25709713360147995</v>
      </c>
    </row>
    <row r="26" spans="1:11" ht="15.75" customHeight="1" x14ac:dyDescent="0.25">
      <c r="A26" s="46" t="s">
        <v>18</v>
      </c>
      <c r="B26" s="190">
        <f>SUM(B23:B25)</f>
        <v>195634.28100000002</v>
      </c>
      <c r="C26" s="191"/>
      <c r="D26" s="183"/>
      <c r="F26" s="183"/>
      <c r="G26" s="183"/>
      <c r="H26" s="183"/>
      <c r="I26" s="24" t="s">
        <v>17</v>
      </c>
      <c r="J26" s="24">
        <f t="shared" si="6"/>
        <v>9214.4249999999993</v>
      </c>
      <c r="K26" s="47">
        <f t="shared" si="5"/>
        <v>3.2312989335848218E-2</v>
      </c>
    </row>
    <row r="27" spans="1:11" ht="15.75" customHeight="1" x14ac:dyDescent="0.25">
      <c r="A27" s="30" t="s">
        <v>27</v>
      </c>
      <c r="B27" s="188">
        <f>J2*G23</f>
        <v>138200.81950000001</v>
      </c>
      <c r="C27" s="187"/>
      <c r="D27" s="183"/>
      <c r="F27" s="183"/>
      <c r="G27" s="183"/>
      <c r="H27" s="183"/>
      <c r="I27" s="27" t="s">
        <v>19</v>
      </c>
      <c r="J27" s="27">
        <f t="shared" si="6"/>
        <v>113105.61600000001</v>
      </c>
      <c r="K27" s="48">
        <f t="shared" si="5"/>
        <v>0.39663685619369021</v>
      </c>
    </row>
    <row r="28" spans="1:11" ht="15.75" customHeight="1" x14ac:dyDescent="0.25">
      <c r="A28" s="30" t="s">
        <v>21</v>
      </c>
      <c r="B28" s="188">
        <f>B27-B26</f>
        <v>-57433.461500000005</v>
      </c>
      <c r="C28" s="187"/>
      <c r="D28" s="184"/>
      <c r="F28" s="184"/>
      <c r="G28" s="184"/>
      <c r="H28" s="184"/>
      <c r="I28" s="7" t="s">
        <v>18</v>
      </c>
      <c r="J28" s="7">
        <f>SUM(J23:J27)</f>
        <v>342595.10050000006</v>
      </c>
      <c r="K28" s="41">
        <f>SUM(K23:K27)</f>
        <v>1.2014066888569117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D8:D13"/>
    <mergeCell ref="D15:D20"/>
    <mergeCell ref="B11:C11"/>
    <mergeCell ref="B12:C12"/>
    <mergeCell ref="B26:C26"/>
    <mergeCell ref="B20:C20"/>
    <mergeCell ref="D23:D28"/>
    <mergeCell ref="B27:C27"/>
    <mergeCell ref="B28:C28"/>
    <mergeCell ref="B13:C13"/>
    <mergeCell ref="F23:F28"/>
    <mergeCell ref="G23:G28"/>
    <mergeCell ref="H23:H28"/>
    <mergeCell ref="B18:C18"/>
    <mergeCell ref="B19:C19"/>
    <mergeCell ref="F15:F20"/>
    <mergeCell ref="G15:G20"/>
    <mergeCell ref="H15:H20"/>
    <mergeCell ref="H2:H4"/>
    <mergeCell ref="G2:G4"/>
    <mergeCell ref="F2:F4"/>
    <mergeCell ref="H7:H12"/>
    <mergeCell ref="G7:G12"/>
    <mergeCell ref="F7:F12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opLeftCell="B8" zoomScale="90" zoomScaleNormal="90" workbookViewId="0">
      <selection activeCell="K24" sqref="K24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2.85546875" customWidth="1"/>
    <col min="14" max="14" width="22.28515625" customWidth="1"/>
    <col min="15" max="15" width="27.140625" customWidth="1"/>
    <col min="16" max="16" width="15.85546875" customWidth="1"/>
    <col min="17" max="21" width="10.7109375" customWidth="1"/>
  </cols>
  <sheetData>
    <row r="1" spans="1:15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5" x14ac:dyDescent="0.25">
      <c r="F2" s="185" t="s">
        <v>5</v>
      </c>
      <c r="G2" s="182">
        <v>0</v>
      </c>
      <c r="H2" s="182">
        <v>1</v>
      </c>
      <c r="I2" s="3" t="s">
        <v>6</v>
      </c>
      <c r="J2" s="3">
        <v>286266.49099999998</v>
      </c>
      <c r="K2" s="4">
        <v>0.97030000000000005</v>
      </c>
      <c r="N2" s="5"/>
      <c r="O2" s="5"/>
    </row>
    <row r="3" spans="1:15" x14ac:dyDescent="0.25">
      <c r="F3" s="183"/>
      <c r="G3" s="183"/>
      <c r="H3" s="183"/>
      <c r="I3" s="3" t="s">
        <v>7</v>
      </c>
      <c r="J3" s="3">
        <f>1*24*365</f>
        <v>8760</v>
      </c>
      <c r="K3" s="4">
        <f>K4-K2</f>
        <v>2.9699999999999949E-2</v>
      </c>
      <c r="M3" s="5"/>
      <c r="N3" s="6"/>
    </row>
    <row r="4" spans="1:15" x14ac:dyDescent="0.25">
      <c r="F4" s="184"/>
      <c r="G4" s="184"/>
      <c r="H4" s="184"/>
      <c r="I4" s="7" t="s">
        <v>8</v>
      </c>
      <c r="J4" s="7">
        <f>SUM(J2:J3)</f>
        <v>295026.49099999998</v>
      </c>
      <c r="K4" s="9">
        <v>1</v>
      </c>
      <c r="M4" s="5"/>
      <c r="N4" s="6"/>
    </row>
    <row r="5" spans="1:15" x14ac:dyDescent="0.25">
      <c r="G5" s="10"/>
      <c r="H5" s="10"/>
      <c r="I5" s="10"/>
      <c r="J5" s="10"/>
      <c r="K5" s="10"/>
    </row>
    <row r="6" spans="1:15" x14ac:dyDescent="0.25">
      <c r="G6" s="10"/>
      <c r="H6" s="10"/>
      <c r="I6" s="10"/>
      <c r="J6" s="10"/>
      <c r="K6" s="10"/>
    </row>
    <row r="7" spans="1:15" ht="60" x14ac:dyDescent="0.25">
      <c r="A7" s="11"/>
      <c r="B7" s="12" t="s">
        <v>9</v>
      </c>
      <c r="C7" s="13" t="s">
        <v>10</v>
      </c>
      <c r="D7" s="14" t="s">
        <v>11</v>
      </c>
      <c r="F7" s="185" t="s">
        <v>12</v>
      </c>
      <c r="G7" s="182">
        <v>0.25</v>
      </c>
      <c r="H7" s="182">
        <v>0.75</v>
      </c>
      <c r="I7" s="3" t="s">
        <v>6</v>
      </c>
      <c r="J7" s="3">
        <f>J2*H7</f>
        <v>214699.86825</v>
      </c>
      <c r="K7" s="4">
        <f t="shared" ref="K7:K11" si="0">J7/$J$4</f>
        <v>0.72773081333228484</v>
      </c>
    </row>
    <row r="8" spans="1:15" ht="30" x14ac:dyDescent="0.25">
      <c r="A8" s="15" t="s">
        <v>13</v>
      </c>
      <c r="B8" s="16">
        <f>EÓLICA!G19</f>
        <v>73314.240000000005</v>
      </c>
      <c r="C8" s="17">
        <f>B8/B11</f>
        <v>0.88834879371912778</v>
      </c>
      <c r="D8" s="189">
        <f>B13/$J$4</f>
        <v>-3.715612863388601E-2</v>
      </c>
      <c r="F8" s="183"/>
      <c r="G8" s="183"/>
      <c r="H8" s="183"/>
      <c r="I8" s="3" t="s">
        <v>7</v>
      </c>
      <c r="J8" s="3">
        <f>+J3</f>
        <v>8760</v>
      </c>
      <c r="K8" s="4">
        <f t="shared" si="0"/>
        <v>2.9692248890286942E-2</v>
      </c>
    </row>
    <row r="9" spans="1:15" x14ac:dyDescent="0.25">
      <c r="A9" s="15" t="s">
        <v>14</v>
      </c>
      <c r="B9" s="18">
        <f>SOLAR!F4</f>
        <v>9214.4249999999993</v>
      </c>
      <c r="C9" s="19">
        <f>B9/B11</f>
        <v>0.1116512062808722</v>
      </c>
      <c r="D9" s="183"/>
      <c r="F9" s="183"/>
      <c r="G9" s="183"/>
      <c r="H9" s="183"/>
      <c r="I9" s="20" t="s">
        <v>15</v>
      </c>
      <c r="J9" s="20">
        <f t="shared" ref="J9:J10" si="1">B8</f>
        <v>73314.240000000005</v>
      </c>
      <c r="K9" s="21">
        <f t="shared" si="0"/>
        <v>0.24850053210984369</v>
      </c>
    </row>
    <row r="10" spans="1:15" x14ac:dyDescent="0.25">
      <c r="A10" s="15" t="s">
        <v>16</v>
      </c>
      <c r="B10" s="22"/>
      <c r="C10" s="23">
        <f>B10/B11</f>
        <v>0</v>
      </c>
      <c r="D10" s="183"/>
      <c r="F10" s="183"/>
      <c r="G10" s="183"/>
      <c r="H10" s="183"/>
      <c r="I10" s="24" t="s">
        <v>17</v>
      </c>
      <c r="J10" s="24">
        <f t="shared" si="1"/>
        <v>9214.4249999999993</v>
      </c>
      <c r="K10" s="25">
        <f t="shared" si="0"/>
        <v>3.1232534301470573E-2</v>
      </c>
    </row>
    <row r="11" spans="1:15" x14ac:dyDescent="0.25">
      <c r="A11" s="26" t="s">
        <v>18</v>
      </c>
      <c r="B11" s="188">
        <f>SUM(B8:B9)</f>
        <v>82528.665000000008</v>
      </c>
      <c r="C11" s="187"/>
      <c r="D11" s="183"/>
      <c r="F11" s="183"/>
      <c r="G11" s="183"/>
      <c r="H11" s="183"/>
      <c r="I11" s="27" t="s">
        <v>19</v>
      </c>
      <c r="J11" s="27"/>
      <c r="K11" s="29">
        <f t="shared" si="0"/>
        <v>0</v>
      </c>
    </row>
    <row r="12" spans="1:15" x14ac:dyDescent="0.25">
      <c r="A12" s="30" t="s">
        <v>20</v>
      </c>
      <c r="B12" s="188">
        <f>J2*G7</f>
        <v>71566.622749999995</v>
      </c>
      <c r="C12" s="187"/>
      <c r="D12" s="183"/>
      <c r="F12" s="184"/>
      <c r="G12" s="184"/>
      <c r="H12" s="184"/>
      <c r="I12" s="7" t="s">
        <v>18</v>
      </c>
      <c r="J12" s="7">
        <f t="shared" ref="J12:K12" si="2">SUM(J7:J10)</f>
        <v>305988.53324999998</v>
      </c>
      <c r="K12" s="31">
        <f t="shared" si="2"/>
        <v>1.037156128633886</v>
      </c>
    </row>
    <row r="13" spans="1:15" x14ac:dyDescent="0.25">
      <c r="A13" s="30" t="s">
        <v>21</v>
      </c>
      <c r="B13" s="188">
        <f>B12-B11</f>
        <v>-10962.042250000013</v>
      </c>
      <c r="C13" s="187"/>
      <c r="D13" s="184"/>
      <c r="G13" s="10"/>
      <c r="H13" s="10"/>
      <c r="I13" s="10"/>
      <c r="J13" s="10"/>
      <c r="K13" s="10"/>
    </row>
    <row r="14" spans="1:15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5" ht="30" x14ac:dyDescent="0.25">
      <c r="A15" s="35" t="s">
        <v>13</v>
      </c>
      <c r="B15" s="36">
        <f>EÓLICA!G19</f>
        <v>73314.240000000005</v>
      </c>
      <c r="C15" s="17">
        <f>B15/B18</f>
        <v>0.52713160436544992</v>
      </c>
      <c r="D15" s="189">
        <f>B20/J4</f>
        <v>-0.18032796146431479</v>
      </c>
      <c r="F15" s="185" t="s">
        <v>22</v>
      </c>
      <c r="G15" s="182">
        <v>0.3</v>
      </c>
      <c r="H15" s="182">
        <v>0.7</v>
      </c>
      <c r="I15" s="3" t="s">
        <v>6</v>
      </c>
      <c r="J15" s="3">
        <f>J2*H15</f>
        <v>200386.54369999998</v>
      </c>
      <c r="K15" s="4">
        <f t="shared" ref="K15:K18" si="3">J15/$J$4</f>
        <v>0.67921542577679916</v>
      </c>
    </row>
    <row r="16" spans="1:15" x14ac:dyDescent="0.25">
      <c r="A16" s="35" t="s">
        <v>14</v>
      </c>
      <c r="B16" s="37">
        <f>SOLAR!F4</f>
        <v>9214.4249999999993</v>
      </c>
      <c r="C16" s="38">
        <f>B16/B18</f>
        <v>6.6251994613258078E-2</v>
      </c>
      <c r="D16" s="183"/>
      <c r="F16" s="183"/>
      <c r="G16" s="183"/>
      <c r="H16" s="183"/>
      <c r="I16" s="3" t="s">
        <v>7</v>
      </c>
      <c r="J16" s="3">
        <f>J3</f>
        <v>8760</v>
      </c>
      <c r="K16" s="4">
        <f t="shared" si="3"/>
        <v>2.9692248890286942E-2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0.4066164010212921</v>
      </c>
      <c r="D17" s="183"/>
      <c r="F17" s="183"/>
      <c r="G17" s="183"/>
      <c r="H17" s="183"/>
      <c r="I17" s="20" t="s">
        <v>15</v>
      </c>
      <c r="J17" s="20">
        <f t="shared" ref="J17:J19" si="4">B15</f>
        <v>73314.240000000005</v>
      </c>
      <c r="K17" s="21">
        <f t="shared" si="3"/>
        <v>0.24850053210984369</v>
      </c>
    </row>
    <row r="18" spans="1:11" x14ac:dyDescent="0.25">
      <c r="A18" s="40" t="s">
        <v>18</v>
      </c>
      <c r="B18" s="186">
        <f>SUM(B15:B17)</f>
        <v>139081.473</v>
      </c>
      <c r="C18" s="187"/>
      <c r="D18" s="183"/>
      <c r="F18" s="183"/>
      <c r="G18" s="183"/>
      <c r="H18" s="183"/>
      <c r="I18" s="24" t="s">
        <v>17</v>
      </c>
      <c r="J18" s="24">
        <f t="shared" si="4"/>
        <v>9214.4249999999993</v>
      </c>
      <c r="K18" s="25">
        <f t="shared" si="3"/>
        <v>3.1232534301470573E-2</v>
      </c>
    </row>
    <row r="19" spans="1:11" x14ac:dyDescent="0.25">
      <c r="A19" s="30" t="s">
        <v>23</v>
      </c>
      <c r="B19" s="188">
        <f>J2*G15</f>
        <v>85879.947299999985</v>
      </c>
      <c r="C19" s="187"/>
      <c r="D19" s="183"/>
      <c r="F19" s="183"/>
      <c r="G19" s="183"/>
      <c r="H19" s="183"/>
      <c r="I19" s="27" t="s">
        <v>19</v>
      </c>
      <c r="J19" s="27">
        <f t="shared" si="4"/>
        <v>56552.808000000005</v>
      </c>
      <c r="K19" s="29">
        <f>J19/$J$4</f>
        <v>0.19168722038591446</v>
      </c>
    </row>
    <row r="20" spans="1:11" x14ac:dyDescent="0.25">
      <c r="A20" s="30" t="s">
        <v>21</v>
      </c>
      <c r="B20" s="188">
        <f>B19-B18</f>
        <v>-53201.525700000013</v>
      </c>
      <c r="C20" s="187"/>
      <c r="D20" s="184"/>
      <c r="F20" s="184"/>
      <c r="G20" s="184"/>
      <c r="H20" s="184"/>
      <c r="I20" s="7" t="s">
        <v>18</v>
      </c>
      <c r="J20" s="7">
        <f>SUM(J15:J19)</f>
        <v>348228.01669999998</v>
      </c>
      <c r="K20" s="41">
        <f>SUM(K15:K19)</f>
        <v>1.180327961464315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EÓLICA!G19</f>
        <v>73314.240000000005</v>
      </c>
      <c r="C23" s="44">
        <f>B23/B26</f>
        <v>0.37475149869055924</v>
      </c>
      <c r="D23" s="189">
        <f>B28/J4</f>
        <v>-0.17795363162828667</v>
      </c>
      <c r="F23" s="185" t="s">
        <v>24</v>
      </c>
      <c r="G23" s="182">
        <v>0.5</v>
      </c>
      <c r="H23" s="182">
        <v>0.5</v>
      </c>
      <c r="I23" s="3" t="s">
        <v>6</v>
      </c>
      <c r="J23" s="3">
        <f>J2*H23</f>
        <v>143133.24549999999</v>
      </c>
      <c r="K23" s="4">
        <f t="shared" ref="K23:K26" si="5">J23/$J$4</f>
        <v>0.48515387555485651</v>
      </c>
    </row>
    <row r="24" spans="1:11" ht="15.75" customHeight="1" x14ac:dyDescent="0.25">
      <c r="A24" s="35" t="s">
        <v>14</v>
      </c>
      <c r="B24" s="37">
        <f>SOLAR!F4</f>
        <v>9214.4249999999993</v>
      </c>
      <c r="C24" s="19">
        <f>B24/B26</f>
        <v>4.7100257444143943E-2</v>
      </c>
      <c r="D24" s="183"/>
      <c r="F24" s="183"/>
      <c r="G24" s="183"/>
      <c r="H24" s="183"/>
      <c r="I24" s="3" t="s">
        <v>7</v>
      </c>
      <c r="J24" s="3">
        <f>J3</f>
        <v>8760</v>
      </c>
      <c r="K24" s="4">
        <f t="shared" si="5"/>
        <v>2.9692248890286942E-2</v>
      </c>
    </row>
    <row r="25" spans="1:11" ht="15.75" customHeight="1" x14ac:dyDescent="0.25">
      <c r="A25" s="15" t="s">
        <v>25</v>
      </c>
      <c r="B25" s="39">
        <f>GLP!H3*2</f>
        <v>113105.61600000001</v>
      </c>
      <c r="C25" s="23">
        <f>B25/B26</f>
        <v>0.57814824386529684</v>
      </c>
      <c r="D25" s="183"/>
      <c r="F25" s="183"/>
      <c r="G25" s="183"/>
      <c r="H25" s="183"/>
      <c r="I25" s="20" t="s">
        <v>15</v>
      </c>
      <c r="J25" s="20">
        <f t="shared" ref="J25:J27" si="6">B23</f>
        <v>73314.240000000005</v>
      </c>
      <c r="K25" s="45">
        <f t="shared" si="5"/>
        <v>0.24850053210984369</v>
      </c>
    </row>
    <row r="26" spans="1:11" ht="15.75" customHeight="1" x14ac:dyDescent="0.25">
      <c r="A26" s="46" t="s">
        <v>18</v>
      </c>
      <c r="B26" s="190">
        <f>SUM(B23:B25)</f>
        <v>195634.28100000002</v>
      </c>
      <c r="C26" s="191"/>
      <c r="D26" s="183"/>
      <c r="F26" s="183"/>
      <c r="G26" s="183"/>
      <c r="H26" s="183"/>
      <c r="I26" s="24" t="s">
        <v>17</v>
      </c>
      <c r="J26" s="24">
        <f t="shared" si="6"/>
        <v>9214.4249999999993</v>
      </c>
      <c r="K26" s="47">
        <f t="shared" si="5"/>
        <v>3.1232534301470573E-2</v>
      </c>
    </row>
    <row r="27" spans="1:11" ht="15.75" customHeight="1" x14ac:dyDescent="0.25">
      <c r="A27" s="30" t="s">
        <v>27</v>
      </c>
      <c r="B27" s="188">
        <f>J2*G23</f>
        <v>143133.24549999999</v>
      </c>
      <c r="C27" s="187"/>
      <c r="D27" s="183"/>
      <c r="F27" s="183"/>
      <c r="G27" s="183"/>
      <c r="H27" s="183"/>
      <c r="I27" s="27" t="s">
        <v>19</v>
      </c>
      <c r="J27" s="27">
        <f t="shared" si="6"/>
        <v>113105.61600000001</v>
      </c>
      <c r="K27" s="48">
        <f>J27/$J$4</f>
        <v>0.38337444077182892</v>
      </c>
    </row>
    <row r="28" spans="1:11" ht="15.75" customHeight="1" x14ac:dyDescent="0.25">
      <c r="A28" s="30" t="s">
        <v>21</v>
      </c>
      <c r="B28" s="188">
        <f>B27-B26</f>
        <v>-52501.035500000027</v>
      </c>
      <c r="C28" s="187"/>
      <c r="D28" s="184"/>
      <c r="F28" s="184"/>
      <c r="G28" s="184"/>
      <c r="H28" s="184"/>
      <c r="I28" s="7" t="s">
        <v>18</v>
      </c>
      <c r="J28" s="7">
        <f>SUM(J23:J27)</f>
        <v>347527.52650000004</v>
      </c>
      <c r="K28" s="41">
        <f>SUM(K23:K27)</f>
        <v>1.1779536316282866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D23:D28"/>
    <mergeCell ref="B26:C26"/>
    <mergeCell ref="B27:C27"/>
    <mergeCell ref="B28:C28"/>
    <mergeCell ref="D8:D13"/>
    <mergeCell ref="D15:D20"/>
    <mergeCell ref="B11:C11"/>
    <mergeCell ref="B12:C12"/>
    <mergeCell ref="B18:C18"/>
    <mergeCell ref="B13:C13"/>
    <mergeCell ref="B19:C19"/>
    <mergeCell ref="B20:C20"/>
    <mergeCell ref="F2:F4"/>
    <mergeCell ref="H23:H28"/>
    <mergeCell ref="G23:G28"/>
    <mergeCell ref="G7:G12"/>
    <mergeCell ref="F7:F12"/>
    <mergeCell ref="F23:F28"/>
    <mergeCell ref="F15:F20"/>
    <mergeCell ref="H2:H4"/>
    <mergeCell ref="H7:H12"/>
    <mergeCell ref="H15:H20"/>
    <mergeCell ref="G15:G20"/>
    <mergeCell ref="G2:G4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zoomScale="90" zoomScaleNormal="90" workbookViewId="0">
      <selection activeCell="A22" sqref="A22"/>
    </sheetView>
  </sheetViews>
  <sheetFormatPr baseColWidth="10" defaultColWidth="14.42578125" defaultRowHeight="15" customHeight="1" x14ac:dyDescent="0.25"/>
  <cols>
    <col min="1" max="1" width="8.7109375" customWidth="1"/>
    <col min="2" max="2" width="10.7109375" customWidth="1"/>
    <col min="3" max="3" width="21.85546875" customWidth="1"/>
    <col min="4" max="4" width="11.140625" customWidth="1"/>
    <col min="5" max="5" width="12.85546875" customWidth="1"/>
    <col min="6" max="6" width="21" customWidth="1"/>
    <col min="7" max="7" width="37.140625" customWidth="1"/>
    <col min="8" max="8" width="15.140625" customWidth="1"/>
    <col min="9" max="26" width="10.7109375" customWidth="1"/>
  </cols>
  <sheetData>
    <row r="1" spans="2:7" ht="60" x14ac:dyDescent="0.25">
      <c r="B1" s="64" t="s">
        <v>29</v>
      </c>
      <c r="C1" s="64" t="s">
        <v>30</v>
      </c>
      <c r="D1" s="64" t="s">
        <v>31</v>
      </c>
      <c r="E1" s="64" t="s">
        <v>145</v>
      </c>
      <c r="F1" s="55" t="s">
        <v>150</v>
      </c>
      <c r="G1" s="64" t="s">
        <v>146</v>
      </c>
    </row>
    <row r="2" spans="2:7" x14ac:dyDescent="0.25">
      <c r="B2" s="51" t="s">
        <v>32</v>
      </c>
      <c r="C2" s="52">
        <v>11</v>
      </c>
      <c r="D2" s="52">
        <v>31</v>
      </c>
      <c r="E2" s="52">
        <f t="shared" ref="E2:E13" si="0">24*D2</f>
        <v>744</v>
      </c>
      <c r="F2" s="52">
        <v>1675</v>
      </c>
      <c r="G2" s="52">
        <f t="shared" ref="G2:G13" si="1">F2*E2</f>
        <v>1246200</v>
      </c>
    </row>
    <row r="3" spans="2:7" x14ac:dyDescent="0.25">
      <c r="B3" s="53" t="s">
        <v>33</v>
      </c>
      <c r="C3" s="54">
        <v>12</v>
      </c>
      <c r="D3" s="54">
        <v>28</v>
      </c>
      <c r="E3" s="54">
        <f t="shared" si="0"/>
        <v>672</v>
      </c>
      <c r="F3" s="54">
        <v>2004</v>
      </c>
      <c r="G3" s="54">
        <f t="shared" si="1"/>
        <v>1346688</v>
      </c>
    </row>
    <row r="4" spans="2:7" x14ac:dyDescent="0.25">
      <c r="B4" s="51" t="s">
        <v>34</v>
      </c>
      <c r="C4" s="52">
        <v>8</v>
      </c>
      <c r="D4" s="52">
        <v>31</v>
      </c>
      <c r="E4" s="52">
        <f t="shared" si="0"/>
        <v>744</v>
      </c>
      <c r="F4" s="52">
        <v>667</v>
      </c>
      <c r="G4" s="52">
        <f t="shared" si="1"/>
        <v>496248</v>
      </c>
    </row>
    <row r="5" spans="2:7" x14ac:dyDescent="0.25">
      <c r="B5" s="53" t="s">
        <v>35</v>
      </c>
      <c r="C5" s="54">
        <v>10</v>
      </c>
      <c r="D5" s="54">
        <v>30</v>
      </c>
      <c r="E5" s="54">
        <f t="shared" si="0"/>
        <v>720</v>
      </c>
      <c r="F5" s="54">
        <v>1319</v>
      </c>
      <c r="G5" s="54">
        <f t="shared" si="1"/>
        <v>949680</v>
      </c>
    </row>
    <row r="6" spans="2:7" x14ac:dyDescent="0.25">
      <c r="B6" s="51" t="s">
        <v>36</v>
      </c>
      <c r="C6" s="52">
        <v>8</v>
      </c>
      <c r="D6" s="52">
        <v>31</v>
      </c>
      <c r="E6" s="52">
        <f t="shared" si="0"/>
        <v>744</v>
      </c>
      <c r="F6" s="52">
        <v>667</v>
      </c>
      <c r="G6" s="52">
        <f t="shared" si="1"/>
        <v>496248</v>
      </c>
    </row>
    <row r="7" spans="2:7" x14ac:dyDescent="0.25">
      <c r="B7" s="53" t="s">
        <v>37</v>
      </c>
      <c r="C7" s="54">
        <v>9</v>
      </c>
      <c r="D7" s="54">
        <v>30</v>
      </c>
      <c r="E7" s="54">
        <f t="shared" si="0"/>
        <v>720</v>
      </c>
      <c r="F7" s="54">
        <v>974</v>
      </c>
      <c r="G7" s="54">
        <f t="shared" si="1"/>
        <v>701280</v>
      </c>
    </row>
    <row r="8" spans="2:7" x14ac:dyDescent="0.25">
      <c r="B8" s="51" t="s">
        <v>38</v>
      </c>
      <c r="C8" s="52">
        <v>10</v>
      </c>
      <c r="D8" s="52">
        <v>31</v>
      </c>
      <c r="E8" s="52">
        <f t="shared" si="0"/>
        <v>744</v>
      </c>
      <c r="F8" s="52">
        <v>1319</v>
      </c>
      <c r="G8" s="52">
        <f t="shared" si="1"/>
        <v>981336</v>
      </c>
    </row>
    <row r="9" spans="2:7" x14ac:dyDescent="0.25">
      <c r="B9" s="53" t="s">
        <v>39</v>
      </c>
      <c r="C9" s="54">
        <v>8</v>
      </c>
      <c r="D9" s="54">
        <v>31</v>
      </c>
      <c r="E9" s="54">
        <f t="shared" si="0"/>
        <v>744</v>
      </c>
      <c r="F9" s="54">
        <v>667</v>
      </c>
      <c r="G9" s="54">
        <f t="shared" si="1"/>
        <v>496248</v>
      </c>
    </row>
    <row r="10" spans="2:7" x14ac:dyDescent="0.25">
      <c r="B10" s="51" t="s">
        <v>40</v>
      </c>
      <c r="C10" s="52">
        <v>6</v>
      </c>
      <c r="D10" s="52">
        <v>30</v>
      </c>
      <c r="E10" s="52">
        <f t="shared" si="0"/>
        <v>720</v>
      </c>
      <c r="F10" s="52">
        <v>251</v>
      </c>
      <c r="G10" s="52">
        <f t="shared" si="1"/>
        <v>180720</v>
      </c>
    </row>
    <row r="11" spans="2:7" x14ac:dyDescent="0.25">
      <c r="B11" s="53" t="s">
        <v>41</v>
      </c>
      <c r="C11" s="54">
        <v>7</v>
      </c>
      <c r="D11" s="54">
        <v>31</v>
      </c>
      <c r="E11" s="54">
        <f t="shared" si="0"/>
        <v>744</v>
      </c>
      <c r="F11" s="54">
        <v>433</v>
      </c>
      <c r="G11" s="54">
        <f t="shared" si="1"/>
        <v>322152</v>
      </c>
    </row>
    <row r="12" spans="2:7" x14ac:dyDescent="0.25">
      <c r="B12" s="51" t="s">
        <v>42</v>
      </c>
      <c r="C12" s="52">
        <v>9</v>
      </c>
      <c r="D12" s="52">
        <v>30</v>
      </c>
      <c r="E12" s="52">
        <f t="shared" si="0"/>
        <v>720</v>
      </c>
      <c r="F12" s="52">
        <v>974</v>
      </c>
      <c r="G12" s="52">
        <f t="shared" si="1"/>
        <v>701280</v>
      </c>
    </row>
    <row r="13" spans="2:7" x14ac:dyDescent="0.25">
      <c r="B13" s="53" t="s">
        <v>43</v>
      </c>
      <c r="C13" s="54">
        <v>11</v>
      </c>
      <c r="D13" s="54">
        <v>31</v>
      </c>
      <c r="E13" s="54">
        <f t="shared" si="0"/>
        <v>744</v>
      </c>
      <c r="F13" s="54">
        <v>1675</v>
      </c>
      <c r="G13" s="54">
        <f t="shared" si="1"/>
        <v>1246200</v>
      </c>
    </row>
    <row r="17" spans="1:8" ht="30" x14ac:dyDescent="0.25">
      <c r="F17" s="55" t="s">
        <v>44</v>
      </c>
      <c r="G17" s="56">
        <f>SUM(G2:G13)/1000</f>
        <v>9164.2800000000007</v>
      </c>
    </row>
    <row r="18" spans="1:8" x14ac:dyDescent="0.25">
      <c r="F18" s="57"/>
      <c r="G18" s="57"/>
    </row>
    <row r="19" spans="1:8" ht="45" x14ac:dyDescent="0.25">
      <c r="F19" s="55" t="s">
        <v>45</v>
      </c>
      <c r="G19" s="56">
        <f>G17*8</f>
        <v>73314.240000000005</v>
      </c>
    </row>
    <row r="21" spans="1:8" ht="15.75" customHeight="1" x14ac:dyDescent="0.25">
      <c r="F21" s="58" t="s">
        <v>46</v>
      </c>
      <c r="G21" s="162">
        <v>15</v>
      </c>
      <c r="H21" s="163">
        <f>G21/1000000000</f>
        <v>1.4999999999999999E-8</v>
      </c>
    </row>
    <row r="22" spans="1:8" ht="15.75" customHeight="1" x14ac:dyDescent="0.25">
      <c r="A22" s="6" t="s">
        <v>50</v>
      </c>
    </row>
    <row r="23" spans="1:8" ht="15.75" customHeight="1" x14ac:dyDescent="0.25">
      <c r="A23" s="6"/>
    </row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F16"/>
  <sheetViews>
    <sheetView tabSelected="1" workbookViewId="0">
      <selection activeCell="C12" sqref="C12"/>
    </sheetView>
  </sheetViews>
  <sheetFormatPr baseColWidth="10" defaultColWidth="14.42578125" defaultRowHeight="15" customHeight="1" x14ac:dyDescent="0.25"/>
  <cols>
    <col min="1" max="1" width="25" customWidth="1"/>
    <col min="3" max="3" width="19.28515625" customWidth="1"/>
    <col min="4" max="4" width="21" customWidth="1"/>
    <col min="5" max="5" width="23.140625" customWidth="1"/>
  </cols>
  <sheetData>
    <row r="3" spans="1:6" ht="32.25" customHeight="1" x14ac:dyDescent="0.25">
      <c r="C3" s="55" t="s">
        <v>47</v>
      </c>
      <c r="D3" s="55" t="s">
        <v>48</v>
      </c>
      <c r="E3" s="55" t="s">
        <v>49</v>
      </c>
      <c r="F3" s="55" t="s">
        <v>9</v>
      </c>
    </row>
    <row r="4" spans="1:6" x14ac:dyDescent="0.25">
      <c r="C4" s="60">
        <v>6600</v>
      </c>
      <c r="D4" s="56">
        <f>B10*365</f>
        <v>1642.5</v>
      </c>
      <c r="E4" s="60">
        <v>0.85</v>
      </c>
      <c r="F4" s="56">
        <f>(C4*D4*E4)/1000</f>
        <v>9214.4249999999993</v>
      </c>
    </row>
    <row r="8" spans="1:6" ht="27" customHeight="1" x14ac:dyDescent="0.25">
      <c r="A8" s="55" t="s">
        <v>139</v>
      </c>
      <c r="B8" s="60">
        <v>4.5</v>
      </c>
    </row>
    <row r="9" spans="1:6" ht="28.5" customHeight="1" x14ac:dyDescent="0.25">
      <c r="A9" s="55" t="s">
        <v>51</v>
      </c>
      <c r="B9" s="60">
        <v>1</v>
      </c>
    </row>
    <row r="10" spans="1:6" x14ac:dyDescent="0.25">
      <c r="A10" s="50" t="s">
        <v>52</v>
      </c>
      <c r="B10" s="52">
        <f>B8/B9</f>
        <v>4.5</v>
      </c>
    </row>
    <row r="12" spans="1:6" ht="45" x14ac:dyDescent="0.25">
      <c r="A12" s="55" t="s">
        <v>53</v>
      </c>
      <c r="B12" s="59">
        <v>50</v>
      </c>
      <c r="C12" s="61">
        <f>B12/1000000000</f>
        <v>4.9999999999999998E-8</v>
      </c>
    </row>
    <row r="14" spans="1:6" x14ac:dyDescent="0.25">
      <c r="A14" s="192" t="s">
        <v>54</v>
      </c>
      <c r="B14" s="191"/>
      <c r="C14" s="191"/>
    </row>
    <row r="15" spans="1:6" x14ac:dyDescent="0.25">
      <c r="A15" s="192" t="s">
        <v>55</v>
      </c>
      <c r="B15" s="191"/>
      <c r="C15" s="191"/>
    </row>
    <row r="16" spans="1:6" x14ac:dyDescent="0.25">
      <c r="A16" s="192" t="s">
        <v>56</v>
      </c>
      <c r="B16" s="191"/>
      <c r="C16" s="191"/>
      <c r="D16" s="191"/>
      <c r="E16" s="191"/>
    </row>
  </sheetData>
  <mergeCells count="3">
    <mergeCell ref="A14:C14"/>
    <mergeCell ref="A15:C15"/>
    <mergeCell ref="A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2020</vt:lpstr>
      <vt:lpstr>2025</vt:lpstr>
      <vt:lpstr>2030</vt:lpstr>
      <vt:lpstr>2035</vt:lpstr>
      <vt:lpstr>2040</vt:lpstr>
      <vt:lpstr>2045</vt:lpstr>
      <vt:lpstr>2050</vt:lpstr>
      <vt:lpstr>EÓLICA</vt:lpstr>
      <vt:lpstr>SOLAR</vt:lpstr>
      <vt:lpstr>GLP</vt:lpstr>
      <vt:lpstr>DIÉSEL</vt:lpstr>
      <vt:lpstr>Poder calorífico </vt:lpstr>
      <vt:lpstr>Factor de Consumo</vt:lpstr>
      <vt:lpstr>Factor de Emisiones</vt:lpstr>
      <vt:lpstr>EMISIONES</vt:lpstr>
      <vt:lpstr>RESULTADOS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Liza Acevedo</cp:lastModifiedBy>
  <dcterms:modified xsi:type="dcterms:W3CDTF">2018-09-25T18:25:36Z</dcterms:modified>
</cp:coreProperties>
</file>