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prof.crai\Downloads\"/>
    </mc:Choice>
  </mc:AlternateContent>
  <xr:revisionPtr revIDLastSave="0" documentId="13_ncr:1_{D66C50DF-DFEB-4381-A3AE-45FC4C4FB42E}" xr6:coauthVersionLast="47" xr6:coauthVersionMax="47" xr10:uidLastSave="{00000000-0000-0000-0000-000000000000}"/>
  <workbookProtection workbookAlgorithmName="SHA-512" workbookHashValue="tyt7WNn/TfQxud7tLAoLxvXLgrQkkszsBluJr8wBRSgT5MSIDq12DP6yyNOVa8bDJGs1eG4XNP8+YWwfwpx4Vg==" workbookSaltValue="Fn56O2QdcO2Rh5q1K/vgkg==" workbookSpinCount="100000" lockStructure="1"/>
  <bookViews>
    <workbookView xWindow="-120" yWindow="-120" windowWidth="29040" windowHeight="15720" tabRatio="841" firstSheet="1" activeTab="1" xr2:uid="{693542E3-5D88-4DE4-A7C6-6A74C8EC9396}"/>
  </bookViews>
  <sheets>
    <sheet name="Datos" sheetId="5" state="hidden" r:id="rId1"/>
    <sheet name="índice" sheetId="6" r:id="rId2"/>
    <sheet name="Egresos" sheetId="3" state="hidden" r:id="rId3"/>
    <sheet name="C. Prod." sheetId="4" r:id="rId4"/>
    <sheet name="G. AyV" sheetId="7" r:id="rId5"/>
    <sheet name="Inver." sheetId="8" r:id="rId6"/>
    <sheet name="$ Producto" sheetId="9" r:id="rId7"/>
    <sheet name="Presu." sheetId="11" r:id="rId8"/>
    <sheet name="Flujo" sheetId="12" r:id="rId9"/>
    <sheet name="Estados finan." sheetId="15" r:id="rId10"/>
    <sheet name="Indicadores" sheetId="13" r:id="rId11"/>
    <sheet name="Razones" sheetId="14" r:id="rId12"/>
    <sheet name="Pto. Equi." sheetId="17" r:id="rId13"/>
    <sheet name="Resumen" sheetId="1" state="hidden" r:id="rId14"/>
  </sheets>
  <definedNames>
    <definedName name="_xlnm._FilterDatabase" localSheetId="2" hidden="1">Egresos!$B$8:$P$59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7" l="1"/>
  <c r="M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4" i="17"/>
  <c r="G37" i="4"/>
  <c r="F29" i="12" l="1"/>
  <c r="AM6" i="17" l="1"/>
  <c r="AI6" i="17"/>
  <c r="AH6" i="17"/>
  <c r="AM4" i="17"/>
  <c r="AK4" i="17"/>
  <c r="AI4" i="17"/>
  <c r="AJ4" i="17"/>
  <c r="AH4" i="17"/>
  <c r="AC15" i="17"/>
  <c r="AA15" i="17"/>
  <c r="Z15" i="17"/>
  <c r="AC13" i="17"/>
  <c r="Z14" i="17"/>
  <c r="AA13" i="17"/>
  <c r="Z13" i="17"/>
  <c r="AD12" i="17"/>
  <c r="AC12" i="17"/>
  <c r="AB12" i="17"/>
  <c r="AD11" i="17"/>
  <c r="AC11" i="17"/>
  <c r="AB11" i="17"/>
  <c r="Z11" i="17"/>
  <c r="AF10" i="17"/>
  <c r="AE10" i="17"/>
  <c r="AD10" i="17"/>
  <c r="AC10" i="17"/>
  <c r="AB10" i="17"/>
  <c r="Z10" i="17"/>
  <c r="AG9" i="17"/>
  <c r="AF9" i="17"/>
  <c r="AE9" i="17"/>
  <c r="AB9" i="17"/>
  <c r="N5" i="17" a="1"/>
  <c r="N5" i="17" s="1"/>
  <c r="D28" i="15"/>
  <c r="E28" i="15"/>
  <c r="F28" i="15"/>
  <c r="G28" i="15"/>
  <c r="D23" i="15"/>
  <c r="E23" i="15"/>
  <c r="F23" i="15"/>
  <c r="G23" i="15"/>
  <c r="C23" i="15"/>
  <c r="D9" i="9"/>
  <c r="D10" i="9"/>
  <c r="D11" i="9"/>
  <c r="D12" i="9"/>
  <c r="D8" i="9"/>
  <c r="D5" i="9"/>
  <c r="D6" i="9"/>
  <c r="D7" i="9"/>
  <c r="D4" i="9"/>
  <c r="D208" i="9"/>
  <c r="D16" i="9"/>
  <c r="D7" i="15"/>
  <c r="E7" i="15" s="1"/>
  <c r="F7" i="15" s="1"/>
  <c r="G7" i="15" s="1"/>
  <c r="C4" i="15"/>
  <c r="D3" i="15"/>
  <c r="E3" i="15" s="1"/>
  <c r="F3" i="15" s="1"/>
  <c r="G3" i="15" s="1"/>
  <c r="D2" i="15"/>
  <c r="D1" i="15"/>
  <c r="E1" i="15" s="1"/>
  <c r="F1" i="15" s="1"/>
  <c r="G1" i="15" s="1"/>
  <c r="D34" i="15"/>
  <c r="E34" i="15" s="1"/>
  <c r="F34" i="15" s="1"/>
  <c r="G34" i="15" s="1"/>
  <c r="C39" i="15"/>
  <c r="D14" i="9"/>
  <c r="D13" i="9"/>
  <c r="G22" i="7"/>
  <c r="G20" i="7"/>
  <c r="G21" i="7"/>
  <c r="G23" i="7"/>
  <c r="G19" i="7"/>
  <c r="G18" i="7"/>
  <c r="G16" i="7"/>
  <c r="G15" i="7"/>
  <c r="G14" i="7"/>
  <c r="G13" i="7"/>
  <c r="D4" i="15" l="1"/>
  <c r="E2" i="15"/>
  <c r="D41" i="15" l="1"/>
  <c r="D39" i="15"/>
  <c r="F2" i="15"/>
  <c r="E4" i="15"/>
  <c r="E39" i="15" l="1"/>
  <c r="E41" i="15"/>
  <c r="F4" i="15"/>
  <c r="G2" i="15"/>
  <c r="G4" i="15" s="1"/>
  <c r="F41" i="15" l="1"/>
  <c r="G41" i="15" s="1"/>
  <c r="F39" i="15"/>
  <c r="G39" i="15" s="1"/>
  <c r="C35" i="15" l="1"/>
  <c r="D35" i="15" s="1"/>
  <c r="E35" i="15" s="1"/>
  <c r="F35" i="15" s="1"/>
  <c r="G35" i="15" s="1"/>
  <c r="N246" i="9"/>
  <c r="N231" i="9"/>
  <c r="N216" i="9"/>
  <c r="N201" i="9"/>
  <c r="N186" i="9"/>
  <c r="N171" i="9"/>
  <c r="N156" i="9"/>
  <c r="N141" i="9"/>
  <c r="N126" i="9"/>
  <c r="N111" i="9"/>
  <c r="N96" i="9"/>
  <c r="N81" i="9"/>
  <c r="N66" i="9"/>
  <c r="N51" i="9"/>
  <c r="N36" i="9"/>
  <c r="I30" i="11"/>
  <c r="H30" i="11"/>
  <c r="G30" i="11"/>
  <c r="F30" i="11"/>
  <c r="H22" i="11"/>
  <c r="G22" i="11"/>
  <c r="F22" i="11"/>
  <c r="N2" i="11"/>
  <c r="M2" i="11"/>
  <c r="L2" i="11"/>
  <c r="K2" i="11"/>
  <c r="J2" i="11"/>
  <c r="I2" i="11"/>
  <c r="H2" i="11"/>
  <c r="G2" i="11"/>
  <c r="F2" i="11"/>
  <c r="J144" i="9"/>
  <c r="J114" i="9"/>
  <c r="J99" i="9"/>
  <c r="D17" i="9"/>
  <c r="J204" i="9" s="1"/>
  <c r="D18" i="9"/>
  <c r="J219" i="9" s="1"/>
  <c r="D19" i="9"/>
  <c r="J234" i="9" s="1"/>
  <c r="J189" i="9"/>
  <c r="D15" i="9"/>
  <c r="J174" i="9" s="1"/>
  <c r="J159" i="9"/>
  <c r="J84" i="9"/>
  <c r="J129" i="9"/>
  <c r="J69" i="9"/>
  <c r="J24" i="9"/>
  <c r="J39" i="9"/>
  <c r="J54" i="9"/>
  <c r="J9" i="9"/>
  <c r="B4" i="9" a="1"/>
  <c r="B4" i="9" s="1"/>
  <c r="B4" i="17" l="1" a="1"/>
  <c r="AB4" i="11"/>
  <c r="AB5" i="11"/>
  <c r="AB6" i="11"/>
  <c r="AB7" i="11"/>
  <c r="AB8" i="11"/>
  <c r="AB9" i="11"/>
  <c r="AB10" i="11"/>
  <c r="AB11" i="11"/>
  <c r="AB12" i="11"/>
  <c r="AB13" i="11"/>
  <c r="AB14" i="11"/>
  <c r="AB15" i="11"/>
  <c r="AB16" i="11"/>
  <c r="AB17" i="11"/>
  <c r="AB18" i="11"/>
  <c r="AB19" i="11"/>
  <c r="AB3" i="11"/>
  <c r="C14" i="15"/>
  <c r="C13" i="15" l="1"/>
  <c r="C28" i="15" s="1"/>
  <c r="D14" i="15"/>
  <c r="B4" i="17"/>
  <c r="E32" i="11"/>
  <c r="E33" i="11"/>
  <c r="E34" i="11"/>
  <c r="E31" i="11"/>
  <c r="F21" i="11"/>
  <c r="C32" i="11"/>
  <c r="D32" i="11"/>
  <c r="Q32" i="11" s="1"/>
  <c r="C33" i="11"/>
  <c r="D33" i="11"/>
  <c r="Q33" i="11" s="1"/>
  <c r="C34" i="11"/>
  <c r="D34" i="11"/>
  <c r="Q34" i="11" s="1"/>
  <c r="D31" i="11"/>
  <c r="Q31" i="11" s="1"/>
  <c r="C31" i="11"/>
  <c r="C24" i="11"/>
  <c r="D24" i="11"/>
  <c r="Q24" i="11" s="1"/>
  <c r="C25" i="11"/>
  <c r="D25" i="11"/>
  <c r="Q25" i="11" s="1"/>
  <c r="C26" i="11"/>
  <c r="D26" i="11"/>
  <c r="Q26" i="11" s="1"/>
  <c r="C27" i="11"/>
  <c r="D27" i="11"/>
  <c r="Q27" i="11" s="1"/>
  <c r="D23" i="11"/>
  <c r="Q23" i="11" s="1"/>
  <c r="C2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3" i="11"/>
  <c r="C3" i="11"/>
  <c r="E24" i="11"/>
  <c r="E25" i="11"/>
  <c r="E26" i="11"/>
  <c r="E27" i="11"/>
  <c r="E23" i="1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3" i="11"/>
  <c r="I40" i="12"/>
  <c r="H40" i="12"/>
  <c r="I39" i="12"/>
  <c r="H39" i="12"/>
  <c r="J6" i="9"/>
  <c r="J5" i="9"/>
  <c r="J4" i="9"/>
  <c r="H44" i="4"/>
  <c r="H42" i="4"/>
  <c r="H43" i="4"/>
  <c r="H41" i="4"/>
  <c r="E14" i="15" l="1"/>
  <c r="D13" i="15"/>
  <c r="J40" i="9"/>
  <c r="G21" i="11"/>
  <c r="J175" i="9"/>
  <c r="J145" i="9"/>
  <c r="J85" i="9"/>
  <c r="J70" i="9"/>
  <c r="J10" i="9"/>
  <c r="C5" i="13"/>
  <c r="J25" i="9"/>
  <c r="G17" i="7"/>
  <c r="G6" i="7"/>
  <c r="G7" i="7"/>
  <c r="G8" i="7"/>
  <c r="G5" i="7"/>
  <c r="C38" i="15" s="1"/>
  <c r="D38" i="15" s="1"/>
  <c r="E38" i="15" s="1"/>
  <c r="F38" i="15" s="1"/>
  <c r="G38" i="15" s="1"/>
  <c r="E31" i="12"/>
  <c r="F34" i="12"/>
  <c r="G29" i="12"/>
  <c r="H29" i="12" s="1"/>
  <c r="I29" i="12" s="1"/>
  <c r="J29" i="12" s="1"/>
  <c r="K29" i="12" s="1"/>
  <c r="H28" i="12"/>
  <c r="I28" i="12" s="1"/>
  <c r="J28" i="12" s="1"/>
  <c r="K28" i="12" s="1"/>
  <c r="H1" i="12"/>
  <c r="I1" i="12" s="1"/>
  <c r="J1" i="12" s="1"/>
  <c r="K1" i="12" s="1"/>
  <c r="G4" i="12"/>
  <c r="H3" i="12"/>
  <c r="I3" i="12" s="1"/>
  <c r="J3" i="12" s="1"/>
  <c r="K3" i="12" s="1"/>
  <c r="H2" i="12"/>
  <c r="I2" i="12" s="1"/>
  <c r="H7" i="12"/>
  <c r="I7" i="12" s="1"/>
  <c r="J7" i="12" s="1"/>
  <c r="K7" i="12" s="1"/>
  <c r="B8" i="12" a="1"/>
  <c r="B8" i="12" s="1"/>
  <c r="Q4" i="11"/>
  <c r="Q5" i="11"/>
  <c r="Q6" i="11"/>
  <c r="Q7" i="11"/>
  <c r="Q8" i="11"/>
  <c r="Q9" i="11"/>
  <c r="Q10" i="11"/>
  <c r="Q11" i="11"/>
  <c r="Q12" i="11"/>
  <c r="Q13" i="11"/>
  <c r="Q14" i="11"/>
  <c r="Q15" i="11"/>
  <c r="Q16" i="11"/>
  <c r="Q17" i="11"/>
  <c r="Q18" i="11"/>
  <c r="Q19" i="11"/>
  <c r="Q3" i="11"/>
  <c r="H10" i="9"/>
  <c r="H21" i="9"/>
  <c r="K243" i="9"/>
  <c r="K242" i="9"/>
  <c r="K241" i="9"/>
  <c r="K240" i="9"/>
  <c r="K239" i="9"/>
  <c r="K238" i="9"/>
  <c r="K237" i="9"/>
  <c r="K236" i="9"/>
  <c r="K235" i="9"/>
  <c r="I235" i="9"/>
  <c r="K234" i="9"/>
  <c r="K228" i="9"/>
  <c r="K227" i="9"/>
  <c r="K226" i="9"/>
  <c r="K225" i="9"/>
  <c r="K224" i="9"/>
  <c r="K223" i="9"/>
  <c r="K222" i="9"/>
  <c r="K221" i="9"/>
  <c r="K220" i="9"/>
  <c r="I220" i="9"/>
  <c r="K219" i="9"/>
  <c r="K213" i="9"/>
  <c r="K212" i="9"/>
  <c r="K211" i="9"/>
  <c r="K210" i="9"/>
  <c r="K209" i="9"/>
  <c r="K208" i="9"/>
  <c r="K207" i="9"/>
  <c r="K206" i="9"/>
  <c r="K205" i="9"/>
  <c r="I205" i="9"/>
  <c r="K204" i="9"/>
  <c r="K198" i="9"/>
  <c r="K197" i="9"/>
  <c r="K196" i="9"/>
  <c r="K195" i="9"/>
  <c r="K194" i="9"/>
  <c r="K193" i="9"/>
  <c r="K192" i="9"/>
  <c r="K191" i="9"/>
  <c r="K190" i="9"/>
  <c r="I190" i="9"/>
  <c r="K189" i="9"/>
  <c r="K183" i="9"/>
  <c r="K182" i="9"/>
  <c r="K181" i="9"/>
  <c r="K180" i="9"/>
  <c r="K179" i="9"/>
  <c r="K178" i="9"/>
  <c r="K177" i="9"/>
  <c r="K176" i="9"/>
  <c r="K175" i="9"/>
  <c r="I175" i="9"/>
  <c r="K174" i="9"/>
  <c r="K168" i="9"/>
  <c r="K167" i="9"/>
  <c r="K166" i="9"/>
  <c r="K165" i="9"/>
  <c r="K164" i="9"/>
  <c r="K163" i="9"/>
  <c r="K162" i="9"/>
  <c r="K161" i="9"/>
  <c r="K160" i="9"/>
  <c r="I160" i="9"/>
  <c r="K159" i="9"/>
  <c r="K151" i="9"/>
  <c r="K152" i="9"/>
  <c r="K153" i="9"/>
  <c r="N138" i="9"/>
  <c r="K137" i="9"/>
  <c r="K136" i="9"/>
  <c r="K135" i="9"/>
  <c r="K134" i="9"/>
  <c r="K133" i="9"/>
  <c r="K132" i="9"/>
  <c r="K131" i="9"/>
  <c r="K130" i="9"/>
  <c r="I130" i="9"/>
  <c r="K129" i="9"/>
  <c r="N123" i="9"/>
  <c r="K122" i="9"/>
  <c r="K121" i="9"/>
  <c r="K120" i="9"/>
  <c r="K119" i="9"/>
  <c r="K118" i="9"/>
  <c r="K117" i="9"/>
  <c r="K116" i="9"/>
  <c r="K115" i="9"/>
  <c r="I115" i="9"/>
  <c r="K114" i="9"/>
  <c r="N108" i="9"/>
  <c r="K107" i="9"/>
  <c r="K106" i="9"/>
  <c r="K105" i="9"/>
  <c r="K104" i="9"/>
  <c r="K103" i="9"/>
  <c r="K102" i="9"/>
  <c r="K101" i="9"/>
  <c r="K100" i="9"/>
  <c r="K99" i="9"/>
  <c r="N93" i="9"/>
  <c r="K92" i="9"/>
  <c r="K91" i="9"/>
  <c r="K90" i="9"/>
  <c r="K89" i="9"/>
  <c r="K88" i="9"/>
  <c r="K87" i="9"/>
  <c r="K86" i="9"/>
  <c r="K85" i="9"/>
  <c r="K84" i="9"/>
  <c r="N78" i="9"/>
  <c r="K77" i="9"/>
  <c r="K76" i="9"/>
  <c r="K75" i="9"/>
  <c r="K74" i="9"/>
  <c r="K73" i="9"/>
  <c r="K72" i="9"/>
  <c r="K71" i="9"/>
  <c r="K70" i="9"/>
  <c r="K69" i="9"/>
  <c r="I100" i="9"/>
  <c r="I85" i="9"/>
  <c r="K59" i="9"/>
  <c r="N63" i="9"/>
  <c r="K62" i="9"/>
  <c r="K61" i="9"/>
  <c r="K60" i="9"/>
  <c r="K58" i="9"/>
  <c r="K57" i="9"/>
  <c r="K56" i="9"/>
  <c r="K55" i="9"/>
  <c r="K54" i="9"/>
  <c r="K48" i="9"/>
  <c r="K47" i="9"/>
  <c r="K46" i="9"/>
  <c r="K45" i="9"/>
  <c r="K44" i="9"/>
  <c r="K43" i="9"/>
  <c r="K42" i="9"/>
  <c r="K41" i="9"/>
  <c r="K40" i="9"/>
  <c r="K39" i="9"/>
  <c r="K33" i="9"/>
  <c r="K32" i="9"/>
  <c r="K31" i="9"/>
  <c r="K30" i="9"/>
  <c r="K29" i="9"/>
  <c r="K28" i="9"/>
  <c r="K27" i="9"/>
  <c r="K26" i="9"/>
  <c r="K25" i="9"/>
  <c r="K24" i="9"/>
  <c r="K12" i="9"/>
  <c r="K13" i="9"/>
  <c r="K14" i="9"/>
  <c r="K15" i="9"/>
  <c r="K16" i="9"/>
  <c r="K17" i="9"/>
  <c r="K150" i="9"/>
  <c r="K149" i="9"/>
  <c r="K148" i="9"/>
  <c r="K147" i="9"/>
  <c r="K146" i="9"/>
  <c r="K145" i="9"/>
  <c r="I145" i="9"/>
  <c r="K144" i="9"/>
  <c r="I70" i="9"/>
  <c r="I55" i="9"/>
  <c r="H24" i="9"/>
  <c r="I40" i="9"/>
  <c r="I25" i="9"/>
  <c r="K10" i="9"/>
  <c r="K11" i="9"/>
  <c r="K18" i="9"/>
  <c r="K9" i="9"/>
  <c r="I10" i="9"/>
  <c r="F14" i="15" l="1"/>
  <c r="E13" i="15"/>
  <c r="E32" i="12"/>
  <c r="G32" i="12" s="1"/>
  <c r="H32" i="12" s="1"/>
  <c r="I32" i="12" s="1"/>
  <c r="J32" i="12" s="1"/>
  <c r="K32" i="12" s="1"/>
  <c r="H11" i="9"/>
  <c r="J11" i="9"/>
  <c r="J71" i="9"/>
  <c r="J86" i="9"/>
  <c r="J235" i="9"/>
  <c r="O21" i="9"/>
  <c r="J146" i="9"/>
  <c r="J160" i="9"/>
  <c r="I116" i="9"/>
  <c r="I176" i="9"/>
  <c r="I161" i="9"/>
  <c r="I86" i="9"/>
  <c r="I56" i="9"/>
  <c r="I71" i="9"/>
  <c r="I146" i="9"/>
  <c r="I221" i="9"/>
  <c r="I236" i="9"/>
  <c r="J26" i="9"/>
  <c r="J190" i="9"/>
  <c r="I26" i="9"/>
  <c r="J41" i="9"/>
  <c r="I41" i="9"/>
  <c r="H25" i="9"/>
  <c r="I101" i="9"/>
  <c r="I11" i="9"/>
  <c r="I206" i="9"/>
  <c r="I131" i="9"/>
  <c r="I191" i="9"/>
  <c r="J220" i="9"/>
  <c r="J205" i="9"/>
  <c r="N212" i="9"/>
  <c r="N33" i="9"/>
  <c r="N228" i="9"/>
  <c r="N197" i="9"/>
  <c r="N182" i="9"/>
  <c r="N207" i="9"/>
  <c r="N192" i="9"/>
  <c r="N208" i="9"/>
  <c r="N224" i="9"/>
  <c r="N239" i="9"/>
  <c r="N196" i="9"/>
  <c r="N165" i="9"/>
  <c r="N181" i="9"/>
  <c r="N166" i="9"/>
  <c r="N198" i="9"/>
  <c r="N153" i="9"/>
  <c r="N17" i="9"/>
  <c r="N193" i="9"/>
  <c r="N209" i="9"/>
  <c r="N225" i="9"/>
  <c r="N240" i="9"/>
  <c r="N164" i="9"/>
  <c r="N213" i="9"/>
  <c r="N167" i="9"/>
  <c r="N183" i="9"/>
  <c r="N152" i="9"/>
  <c r="N168" i="9"/>
  <c r="N151" i="9"/>
  <c r="N222" i="9"/>
  <c r="N223" i="9"/>
  <c r="N48" i="9"/>
  <c r="N194" i="9"/>
  <c r="N210" i="9"/>
  <c r="N226" i="9"/>
  <c r="N241" i="9"/>
  <c r="N180" i="9"/>
  <c r="N243" i="9"/>
  <c r="N18" i="9"/>
  <c r="N62" i="9"/>
  <c r="N237" i="9"/>
  <c r="N238" i="9"/>
  <c r="N32" i="9"/>
  <c r="N179" i="9"/>
  <c r="N195" i="9"/>
  <c r="N211" i="9"/>
  <c r="N227" i="9"/>
  <c r="N242" i="9"/>
  <c r="H21" i="11"/>
  <c r="J176" i="9"/>
  <c r="C6" i="13"/>
  <c r="C7" i="13" s="1"/>
  <c r="F36" i="12"/>
  <c r="H26" i="9"/>
  <c r="H36" i="9"/>
  <c r="N204" i="9"/>
  <c r="Q203" i="9" s="1"/>
  <c r="R203" i="9" s="1"/>
  <c r="H39" i="9"/>
  <c r="J2" i="12"/>
  <c r="I4" i="12"/>
  <c r="H4" i="12"/>
  <c r="N221" i="9"/>
  <c r="N122" i="9"/>
  <c r="N107" i="9"/>
  <c r="N92" i="9"/>
  <c r="N77" i="9"/>
  <c r="N150" i="9"/>
  <c r="N149" i="9"/>
  <c r="J36" i="4"/>
  <c r="J37" i="4"/>
  <c r="J35" i="4"/>
  <c r="G31" i="12" s="1"/>
  <c r="H31" i="12" s="1"/>
  <c r="I31" i="12" s="1"/>
  <c r="J31" i="12" s="1"/>
  <c r="K31" i="12" s="1"/>
  <c r="J7" i="4"/>
  <c r="N40" i="9" s="1"/>
  <c r="J8" i="4"/>
  <c r="N56" i="9" s="1"/>
  <c r="J9" i="4"/>
  <c r="N12" i="9" s="1"/>
  <c r="J10" i="4"/>
  <c r="N13" i="9" s="1"/>
  <c r="J11" i="4"/>
  <c r="N28" i="9" s="1"/>
  <c r="J12" i="4"/>
  <c r="N73" i="9" s="1"/>
  <c r="J13" i="4"/>
  <c r="N72" i="9" s="1"/>
  <c r="J14" i="4"/>
  <c r="N87" i="9" s="1"/>
  <c r="J15" i="4"/>
  <c r="N27" i="9" s="1"/>
  <c r="J16" i="4"/>
  <c r="N42" i="9" s="1"/>
  <c r="J17" i="4"/>
  <c r="N57" i="9" s="1"/>
  <c r="J18" i="4"/>
  <c r="N43" i="9" s="1"/>
  <c r="J19" i="4"/>
  <c r="J20" i="4"/>
  <c r="N102" i="9" s="1"/>
  <c r="J21" i="4"/>
  <c r="N117" i="9" s="1"/>
  <c r="J22" i="4"/>
  <c r="N132" i="9" s="1"/>
  <c r="J23" i="4"/>
  <c r="N159" i="9" s="1"/>
  <c r="J24" i="4"/>
  <c r="N146" i="9" s="1"/>
  <c r="J25" i="4"/>
  <c r="N161" i="9" s="1"/>
  <c r="J26" i="4"/>
  <c r="N176" i="9" s="1"/>
  <c r="J27" i="4"/>
  <c r="N145" i="9" s="1"/>
  <c r="J28" i="4"/>
  <c r="N189" i="9" s="1"/>
  <c r="Q188" i="9" s="1"/>
  <c r="R188" i="9" s="1"/>
  <c r="J29" i="4"/>
  <c r="J30" i="4"/>
  <c r="N219" i="9" s="1"/>
  <c r="Q218" i="9" s="1"/>
  <c r="R218" i="9" s="1"/>
  <c r="J31" i="4"/>
  <c r="N234" i="9" s="1"/>
  <c r="Q233" i="9" s="1"/>
  <c r="R233" i="9" s="1"/>
  <c r="J6" i="4"/>
  <c r="N54" i="9" s="1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H53" i="3"/>
  <c r="H52" i="3"/>
  <c r="I52" i="3" s="1"/>
  <c r="I51" i="3"/>
  <c r="I50" i="3"/>
  <c r="I49" i="3"/>
  <c r="I48" i="3"/>
  <c r="I47" i="3"/>
  <c r="I46" i="3"/>
  <c r="I45" i="3"/>
  <c r="H44" i="3"/>
  <c r="I44" i="3" s="1"/>
  <c r="I43" i="3"/>
  <c r="L43" i="3" s="1"/>
  <c r="H42" i="3"/>
  <c r="I42" i="3" s="1"/>
  <c r="H41" i="3"/>
  <c r="I41" i="3" s="1"/>
  <c r="K40" i="3"/>
  <c r="J40" i="3"/>
  <c r="I40" i="3"/>
  <c r="H40" i="3"/>
  <c r="H39" i="3"/>
  <c r="I39" i="3" s="1"/>
  <c r="I38" i="3"/>
  <c r="N38" i="3" s="1"/>
  <c r="H37" i="3"/>
  <c r="I37" i="3" s="1"/>
  <c r="I36" i="3"/>
  <c r="J36" i="3" s="1"/>
  <c r="P35" i="3"/>
  <c r="O35" i="3"/>
  <c r="N35" i="3"/>
  <c r="M35" i="3"/>
  <c r="L35" i="3"/>
  <c r="K35" i="3"/>
  <c r="J35" i="3"/>
  <c r="H35" i="3"/>
  <c r="G35" i="3"/>
  <c r="K34" i="3"/>
  <c r="J34" i="3"/>
  <c r="I34" i="3"/>
  <c r="I33" i="3"/>
  <c r="P33" i="3" s="1"/>
  <c r="I32" i="3"/>
  <c r="P32" i="3" s="1"/>
  <c r="I31" i="3"/>
  <c r="P31" i="3" s="1"/>
  <c r="I30" i="3"/>
  <c r="P30" i="3" s="1"/>
  <c r="I29" i="3"/>
  <c r="M29" i="3" s="1"/>
  <c r="H28" i="3"/>
  <c r="I28" i="3" s="1"/>
  <c r="M28" i="3" s="1"/>
  <c r="I27" i="3"/>
  <c r="O27" i="3" s="1"/>
  <c r="I26" i="3"/>
  <c r="O26" i="3" s="1"/>
  <c r="I25" i="3"/>
  <c r="K25" i="3" s="1"/>
  <c r="K24" i="3"/>
  <c r="I24" i="3"/>
  <c r="I23" i="3"/>
  <c r="K23" i="3" s="1"/>
  <c r="I22" i="3"/>
  <c r="L22" i="3" s="1"/>
  <c r="I21" i="3"/>
  <c r="L21" i="3" s="1"/>
  <c r="L20" i="3"/>
  <c r="I20" i="3"/>
  <c r="K20" i="3" s="1"/>
  <c r="K19" i="3"/>
  <c r="J19" i="3"/>
  <c r="G19" i="3"/>
  <c r="I18" i="3"/>
  <c r="K18" i="3" s="1"/>
  <c r="H17" i="3"/>
  <c r="I17" i="3" s="1"/>
  <c r="I16" i="3"/>
  <c r="L16" i="3" s="1"/>
  <c r="I15" i="3"/>
  <c r="J15" i="3" s="1"/>
  <c r="H15" i="3"/>
  <c r="H14" i="3"/>
  <c r="I14" i="3" s="1"/>
  <c r="H13" i="3"/>
  <c r="I13" i="3" s="1"/>
  <c r="L12" i="3"/>
  <c r="I12" i="3"/>
  <c r="K12" i="3" s="1"/>
  <c r="I11" i="3"/>
  <c r="L11" i="3" s="1"/>
  <c r="H10" i="3"/>
  <c r="I10" i="3" s="1"/>
  <c r="H9" i="3"/>
  <c r="I9" i="3" s="1"/>
  <c r="Q6" i="3"/>
  <c r="O5" i="3"/>
  <c r="P4" i="3"/>
  <c r="P3" i="3"/>
  <c r="L2" i="3"/>
  <c r="L19" i="3" s="1"/>
  <c r="G14" i="15" l="1"/>
  <c r="G13" i="15" s="1"/>
  <c r="F13" i="15"/>
  <c r="H12" i="9"/>
  <c r="I192" i="9"/>
  <c r="I42" i="9"/>
  <c r="I237" i="9"/>
  <c r="I162" i="9"/>
  <c r="J236" i="9"/>
  <c r="I132" i="9"/>
  <c r="J42" i="9"/>
  <c r="I222" i="9"/>
  <c r="I177" i="9"/>
  <c r="I207" i="9"/>
  <c r="I27" i="9"/>
  <c r="I147" i="9"/>
  <c r="I117" i="9"/>
  <c r="J87" i="9"/>
  <c r="I12" i="9"/>
  <c r="J191" i="9"/>
  <c r="I72" i="9"/>
  <c r="J161" i="9"/>
  <c r="J55" i="9"/>
  <c r="I102" i="9"/>
  <c r="J27" i="9"/>
  <c r="I57" i="9"/>
  <c r="J72" i="9"/>
  <c r="J206" i="9"/>
  <c r="J147" i="9"/>
  <c r="O36" i="9"/>
  <c r="J221" i="9"/>
  <c r="J100" i="9"/>
  <c r="I87" i="9"/>
  <c r="J12" i="9"/>
  <c r="F29" i="11"/>
  <c r="J177" i="9"/>
  <c r="N177" i="9" s="1"/>
  <c r="N205" i="9"/>
  <c r="N191" i="9"/>
  <c r="N220" i="9"/>
  <c r="N147" i="9"/>
  <c r="N175" i="9"/>
  <c r="N160" i="9"/>
  <c r="Q158" i="9" s="1"/>
  <c r="R158" i="9" s="1"/>
  <c r="N25" i="9"/>
  <c r="N100" i="9"/>
  <c r="N144" i="9"/>
  <c r="Q143" i="9" s="1"/>
  <c r="R143" i="9" s="1"/>
  <c r="N174" i="9"/>
  <c r="N133" i="9"/>
  <c r="N118" i="9"/>
  <c r="N103" i="9"/>
  <c r="N58" i="9"/>
  <c r="N44" i="9"/>
  <c r="N88" i="9"/>
  <c r="N115" i="9"/>
  <c r="N163" i="9"/>
  <c r="N39" i="9"/>
  <c r="N41" i="9"/>
  <c r="N11" i="9"/>
  <c r="N190" i="9"/>
  <c r="H27" i="9"/>
  <c r="N26" i="9"/>
  <c r="N24" i="9"/>
  <c r="Q23" i="9" s="1"/>
  <c r="R23" i="9" s="1"/>
  <c r="N71" i="9"/>
  <c r="N99" i="9"/>
  <c r="N130" i="9"/>
  <c r="N131" i="9"/>
  <c r="N85" i="9"/>
  <c r="H51" i="9"/>
  <c r="H40" i="9"/>
  <c r="H54" i="9"/>
  <c r="N55" i="9"/>
  <c r="Q53" i="9" s="1"/>
  <c r="R53" i="9" s="1"/>
  <c r="N114" i="9"/>
  <c r="N86" i="9"/>
  <c r="N9" i="9"/>
  <c r="N101" i="9"/>
  <c r="N129" i="9"/>
  <c r="N116" i="9"/>
  <c r="N69" i="9"/>
  <c r="N236" i="9"/>
  <c r="N70" i="9"/>
  <c r="N206" i="9"/>
  <c r="N235" i="9"/>
  <c r="N84" i="9"/>
  <c r="N10" i="9"/>
  <c r="N148" i="9"/>
  <c r="K2" i="12"/>
  <c r="K4" i="12" s="1"/>
  <c r="J4" i="12"/>
  <c r="N137" i="9"/>
  <c r="L13" i="3"/>
  <c r="K13" i="3"/>
  <c r="J13" i="3"/>
  <c r="L14" i="3"/>
  <c r="K14" i="3"/>
  <c r="J14" i="3"/>
  <c r="N44" i="3"/>
  <c r="P44" i="3"/>
  <c r="O44" i="3"/>
  <c r="M44" i="3"/>
  <c r="L44" i="3"/>
  <c r="K44" i="3"/>
  <c r="J44" i="3"/>
  <c r="O37" i="3"/>
  <c r="M37" i="3"/>
  <c r="L37" i="3"/>
  <c r="J37" i="3"/>
  <c r="P37" i="3"/>
  <c r="N37" i="3"/>
  <c r="K37" i="3"/>
  <c r="K17" i="3"/>
  <c r="L17" i="3"/>
  <c r="J17" i="3"/>
  <c r="L39" i="3"/>
  <c r="K39" i="3"/>
  <c r="J39" i="3"/>
  <c r="L9" i="3"/>
  <c r="J9" i="3"/>
  <c r="K9" i="3"/>
  <c r="L10" i="3"/>
  <c r="K10" i="3"/>
  <c r="J10" i="3"/>
  <c r="J41" i="3"/>
  <c r="L41" i="3"/>
  <c r="K41" i="3"/>
  <c r="K42" i="3"/>
  <c r="L42" i="3"/>
  <c r="J42" i="3"/>
  <c r="M2" i="3"/>
  <c r="K15" i="3"/>
  <c r="J18" i="3"/>
  <c r="J21" i="3"/>
  <c r="N29" i="3"/>
  <c r="L34" i="3"/>
  <c r="K36" i="3"/>
  <c r="M38" i="3"/>
  <c r="J43" i="3"/>
  <c r="L15" i="3"/>
  <c r="K21" i="3"/>
  <c r="L36" i="3"/>
  <c r="K43" i="3"/>
  <c r="L18" i="3"/>
  <c r="N26" i="3"/>
  <c r="O38" i="3"/>
  <c r="J16" i="3"/>
  <c r="J11" i="3"/>
  <c r="K16" i="3"/>
  <c r="J22" i="3"/>
  <c r="K11" i="3"/>
  <c r="K22" i="3"/>
  <c r="N27" i="3"/>
  <c r="J12" i="3"/>
  <c r="J20" i="3"/>
  <c r="L40" i="3"/>
  <c r="Q113" i="9" l="1"/>
  <c r="R113" i="9" s="1"/>
  <c r="Q38" i="9"/>
  <c r="R38" i="9" s="1"/>
  <c r="Q98" i="9"/>
  <c r="R98" i="9" s="1"/>
  <c r="Q173" i="9"/>
  <c r="R173" i="9" s="1"/>
  <c r="Q128" i="9"/>
  <c r="R128" i="9" s="1"/>
  <c r="Q68" i="9"/>
  <c r="R68" i="9" s="1"/>
  <c r="Q83" i="9"/>
  <c r="R83" i="9" s="1"/>
  <c r="Q8" i="9"/>
  <c r="R8" i="9" s="1"/>
  <c r="H13" i="9"/>
  <c r="E9" i="12"/>
  <c r="I88" i="9"/>
  <c r="I133" i="9"/>
  <c r="J101" i="9"/>
  <c r="J73" i="9"/>
  <c r="I73" i="9"/>
  <c r="I28" i="9"/>
  <c r="J148" i="9"/>
  <c r="I118" i="9"/>
  <c r="I43" i="9"/>
  <c r="J13" i="9"/>
  <c r="J43" i="9"/>
  <c r="J115" i="9"/>
  <c r="I58" i="9"/>
  <c r="J192" i="9"/>
  <c r="I208" i="9"/>
  <c r="J237" i="9"/>
  <c r="J222" i="9"/>
  <c r="J28" i="9"/>
  <c r="I13" i="9"/>
  <c r="I163" i="9"/>
  <c r="I178" i="9"/>
  <c r="I103" i="9"/>
  <c r="J88" i="9"/>
  <c r="I238" i="9"/>
  <c r="H41" i="9"/>
  <c r="J56" i="9"/>
  <c r="I223" i="9"/>
  <c r="O51" i="9"/>
  <c r="J207" i="9"/>
  <c r="J162" i="9"/>
  <c r="I148" i="9"/>
  <c r="I193" i="9"/>
  <c r="N199" i="9"/>
  <c r="N229" i="9"/>
  <c r="N214" i="9"/>
  <c r="J178" i="9"/>
  <c r="G29" i="11"/>
  <c r="N154" i="9"/>
  <c r="N244" i="9"/>
  <c r="H66" i="9"/>
  <c r="H55" i="9"/>
  <c r="H69" i="9"/>
  <c r="H28" i="9"/>
  <c r="D17" i="1"/>
  <c r="D16" i="1"/>
  <c r="D14" i="1"/>
  <c r="D15" i="1"/>
  <c r="D20" i="1"/>
  <c r="D19" i="1"/>
  <c r="D18" i="1"/>
  <c r="D13" i="1"/>
  <c r="D12" i="1"/>
  <c r="F12" i="1" s="1"/>
  <c r="H14" i="9" l="1"/>
  <c r="J163" i="9"/>
  <c r="N162" i="9"/>
  <c r="J57" i="9"/>
  <c r="J14" i="9"/>
  <c r="I209" i="9"/>
  <c r="J193" i="9"/>
  <c r="I74" i="9"/>
  <c r="I179" i="9"/>
  <c r="J208" i="9"/>
  <c r="I29" i="9"/>
  <c r="I164" i="9"/>
  <c r="H42" i="9"/>
  <c r="I44" i="9"/>
  <c r="I59" i="9"/>
  <c r="I119" i="9"/>
  <c r="O66" i="9"/>
  <c r="E11" i="12" s="1"/>
  <c r="I239" i="9"/>
  <c r="J29" i="9"/>
  <c r="J102" i="9"/>
  <c r="I194" i="9"/>
  <c r="J130" i="9"/>
  <c r="J149" i="9"/>
  <c r="I14" i="9"/>
  <c r="J74" i="9"/>
  <c r="H56" i="9"/>
  <c r="J89" i="9"/>
  <c r="J223" i="9"/>
  <c r="I134" i="9"/>
  <c r="I149" i="9"/>
  <c r="I224" i="9"/>
  <c r="J238" i="9"/>
  <c r="J44" i="9"/>
  <c r="J116" i="9"/>
  <c r="I104" i="9"/>
  <c r="E10" i="12"/>
  <c r="I89" i="9"/>
  <c r="N215" i="9"/>
  <c r="N230" i="9"/>
  <c r="N200" i="9"/>
  <c r="N155" i="9"/>
  <c r="N245" i="9"/>
  <c r="J179" i="9"/>
  <c r="N178" i="9"/>
  <c r="H29" i="11"/>
  <c r="H81" i="9"/>
  <c r="H84" i="9"/>
  <c r="H70" i="9"/>
  <c r="H29" i="9"/>
  <c r="D96" i="1"/>
  <c r="I89" i="1"/>
  <c r="H89" i="1"/>
  <c r="G89" i="1"/>
  <c r="F89" i="1"/>
  <c r="I100" i="1"/>
  <c r="I103" i="1" s="1"/>
  <c r="H100" i="1"/>
  <c r="H103" i="1" s="1"/>
  <c r="G100" i="1"/>
  <c r="G103" i="1" s="1"/>
  <c r="F100" i="1"/>
  <c r="F103" i="1" s="1"/>
  <c r="E100" i="1"/>
  <c r="E103" i="1" s="1"/>
  <c r="D100" i="1"/>
  <c r="D103" i="1" s="1"/>
  <c r="I86" i="1"/>
  <c r="H86" i="1"/>
  <c r="G86" i="1"/>
  <c r="F86" i="1"/>
  <c r="E86" i="1"/>
  <c r="E89" i="1" s="1"/>
  <c r="D86" i="1"/>
  <c r="D89" i="1" s="1"/>
  <c r="I93" i="1"/>
  <c r="I96" i="1" s="1"/>
  <c r="H93" i="1"/>
  <c r="H96" i="1" s="1"/>
  <c r="G93" i="1"/>
  <c r="G96" i="1" s="1"/>
  <c r="F93" i="1"/>
  <c r="F96" i="1" s="1"/>
  <c r="E93" i="1"/>
  <c r="D93" i="1"/>
  <c r="I79" i="1"/>
  <c r="I82" i="1" s="1"/>
  <c r="H79" i="1"/>
  <c r="H82" i="1" s="1"/>
  <c r="G79" i="1"/>
  <c r="G82" i="1" s="1"/>
  <c r="F79" i="1"/>
  <c r="F82" i="1" s="1"/>
  <c r="E79" i="1"/>
  <c r="E82" i="1" s="1"/>
  <c r="D79" i="1"/>
  <c r="D82" i="1" s="1"/>
  <c r="I72" i="1"/>
  <c r="I75" i="1" s="1"/>
  <c r="H72" i="1"/>
  <c r="H75" i="1" s="1"/>
  <c r="G72" i="1"/>
  <c r="G75" i="1" s="1"/>
  <c r="F72" i="1"/>
  <c r="F75" i="1" s="1"/>
  <c r="E72" i="1"/>
  <c r="E75" i="1" s="1"/>
  <c r="D72" i="1"/>
  <c r="D75" i="1" s="1"/>
  <c r="I65" i="1"/>
  <c r="I68" i="1" s="1"/>
  <c r="H65" i="1"/>
  <c r="H68" i="1" s="1"/>
  <c r="G65" i="1"/>
  <c r="G68" i="1" s="1"/>
  <c r="F65" i="1"/>
  <c r="F68" i="1" s="1"/>
  <c r="E65" i="1"/>
  <c r="E68" i="1" s="1"/>
  <c r="D65" i="1"/>
  <c r="D68" i="1" s="1"/>
  <c r="I58" i="1"/>
  <c r="I61" i="1" s="1"/>
  <c r="H58" i="1"/>
  <c r="H61" i="1" s="1"/>
  <c r="G58" i="1"/>
  <c r="G61" i="1" s="1"/>
  <c r="F58" i="1"/>
  <c r="F61" i="1" s="1"/>
  <c r="E58" i="1"/>
  <c r="E61" i="1" s="1"/>
  <c r="D58" i="1"/>
  <c r="D61" i="1" s="1"/>
  <c r="I51" i="1"/>
  <c r="H51" i="1"/>
  <c r="G51" i="1"/>
  <c r="F51" i="1"/>
  <c r="F54" i="1" s="1"/>
  <c r="E51" i="1"/>
  <c r="E54" i="1" s="1"/>
  <c r="D51" i="1"/>
  <c r="D54" i="1" s="1"/>
  <c r="B98" i="1"/>
  <c r="B91" i="1"/>
  <c r="B84" i="1"/>
  <c r="B77" i="1"/>
  <c r="B70" i="1"/>
  <c r="B63" i="1"/>
  <c r="B56" i="1"/>
  <c r="B49" i="1"/>
  <c r="I44" i="1"/>
  <c r="H44" i="1"/>
  <c r="G44" i="1"/>
  <c r="F44" i="1"/>
  <c r="E44" i="1"/>
  <c r="D44" i="1"/>
  <c r="D47" i="1" s="1"/>
  <c r="I37" i="1"/>
  <c r="H37" i="1"/>
  <c r="G37" i="1"/>
  <c r="F37" i="1"/>
  <c r="E37" i="1"/>
  <c r="D37" i="1"/>
  <c r="B35" i="1"/>
  <c r="B42" i="1"/>
  <c r="E38" i="1"/>
  <c r="F38" i="1" s="1"/>
  <c r="G38" i="1" s="1"/>
  <c r="H38" i="1" s="1"/>
  <c r="I38" i="1" s="1"/>
  <c r="E110" i="1"/>
  <c r="F110" i="1"/>
  <c r="G110" i="1"/>
  <c r="H110" i="1"/>
  <c r="I110" i="1"/>
  <c r="D110" i="1"/>
  <c r="E158" i="1"/>
  <c r="E159" i="1"/>
  <c r="E160" i="1"/>
  <c r="E156" i="1"/>
  <c r="I156" i="1" s="1"/>
  <c r="D157" i="1"/>
  <c r="E157" i="1" s="1"/>
  <c r="E33" i="1"/>
  <c r="F33" i="1"/>
  <c r="G33" i="1"/>
  <c r="H33" i="1"/>
  <c r="I33" i="1"/>
  <c r="D33" i="1"/>
  <c r="E101" i="1"/>
  <c r="F101" i="1" s="1"/>
  <c r="G101" i="1" s="1"/>
  <c r="H101" i="1" s="1"/>
  <c r="I101" i="1" s="1"/>
  <c r="E45" i="1"/>
  <c r="E52" i="1"/>
  <c r="F52" i="1" s="1"/>
  <c r="E59" i="1"/>
  <c r="F59" i="1" s="1"/>
  <c r="G59" i="1" s="1"/>
  <c r="H59" i="1" s="1"/>
  <c r="I59" i="1" s="1"/>
  <c r="E66" i="1"/>
  <c r="F66" i="1" s="1"/>
  <c r="G66" i="1" s="1"/>
  <c r="H66" i="1" s="1"/>
  <c r="I66" i="1" s="1"/>
  <c r="E73" i="1"/>
  <c r="F73" i="1" s="1"/>
  <c r="G73" i="1" s="1"/>
  <c r="H73" i="1" s="1"/>
  <c r="I73" i="1" s="1"/>
  <c r="E80" i="1"/>
  <c r="F80" i="1" s="1"/>
  <c r="G80" i="1" s="1"/>
  <c r="H80" i="1" s="1"/>
  <c r="I80" i="1" s="1"/>
  <c r="E87" i="1"/>
  <c r="F87" i="1" s="1"/>
  <c r="G87" i="1" s="1"/>
  <c r="H87" i="1" s="1"/>
  <c r="I87" i="1" s="1"/>
  <c r="E94" i="1"/>
  <c r="F94" i="1" s="1"/>
  <c r="G94" i="1" s="1"/>
  <c r="H94" i="1" s="1"/>
  <c r="I94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12" i="1"/>
  <c r="H12" i="1" s="1"/>
  <c r="F13" i="1"/>
  <c r="F14" i="1"/>
  <c r="F15" i="1"/>
  <c r="F16" i="1"/>
  <c r="F17" i="1"/>
  <c r="F18" i="1"/>
  <c r="F19" i="1"/>
  <c r="F20" i="1"/>
  <c r="G5" i="1"/>
  <c r="H5" i="1" s="1"/>
  <c r="I5" i="1" s="1"/>
  <c r="G4" i="1"/>
  <c r="H4" i="1" s="1"/>
  <c r="G286" i="1"/>
  <c r="G285" i="1"/>
  <c r="G284" i="1"/>
  <c r="G274" i="1"/>
  <c r="G273" i="1"/>
  <c r="G270" i="1"/>
  <c r="G269" i="1"/>
  <c r="G268" i="1"/>
  <c r="G267" i="1"/>
  <c r="G266" i="1"/>
  <c r="C212" i="1"/>
  <c r="N211" i="1"/>
  <c r="C211" i="1"/>
  <c r="C210" i="1"/>
  <c r="C209" i="1"/>
  <c r="C208" i="1"/>
  <c r="C207" i="1"/>
  <c r="C206" i="1"/>
  <c r="C205" i="1"/>
  <c r="D204" i="1"/>
  <c r="D205" i="1" s="1"/>
  <c r="D206" i="1" s="1"/>
  <c r="D207" i="1" s="1"/>
  <c r="D208" i="1" s="1"/>
  <c r="D209" i="1" s="1"/>
  <c r="D210" i="1" s="1"/>
  <c r="D211" i="1" s="1"/>
  <c r="C204" i="1"/>
  <c r="E203" i="1"/>
  <c r="C203" i="1"/>
  <c r="Q202" i="1"/>
  <c r="P202" i="1"/>
  <c r="O202" i="1"/>
  <c r="N202" i="1"/>
  <c r="M202" i="1"/>
  <c r="L202" i="1"/>
  <c r="K202" i="1"/>
  <c r="C198" i="1"/>
  <c r="C197" i="1"/>
  <c r="C196" i="1"/>
  <c r="C195" i="1"/>
  <c r="C194" i="1"/>
  <c r="C193" i="1"/>
  <c r="C192" i="1"/>
  <c r="C191" i="1"/>
  <c r="C190" i="1"/>
  <c r="C189" i="1"/>
  <c r="K185" i="1"/>
  <c r="H185" i="1"/>
  <c r="L185" i="1" s="1"/>
  <c r="G185" i="1"/>
  <c r="C185" i="1"/>
  <c r="K184" i="1"/>
  <c r="H184" i="1"/>
  <c r="L184" i="1" s="1"/>
  <c r="G184" i="1"/>
  <c r="C184" i="1"/>
  <c r="K183" i="1"/>
  <c r="H183" i="1"/>
  <c r="L183" i="1" s="1"/>
  <c r="G183" i="1"/>
  <c r="C183" i="1"/>
  <c r="K182" i="1"/>
  <c r="H182" i="1"/>
  <c r="L182" i="1" s="1"/>
  <c r="G182" i="1"/>
  <c r="C182" i="1"/>
  <c r="K181" i="1"/>
  <c r="H181" i="1"/>
  <c r="L181" i="1" s="1"/>
  <c r="G181" i="1"/>
  <c r="C181" i="1"/>
  <c r="K180" i="1"/>
  <c r="H180" i="1"/>
  <c r="L180" i="1" s="1"/>
  <c r="G180" i="1"/>
  <c r="C180" i="1"/>
  <c r="K179" i="1"/>
  <c r="H179" i="1"/>
  <c r="L179" i="1" s="1"/>
  <c r="G179" i="1"/>
  <c r="C179" i="1"/>
  <c r="K178" i="1"/>
  <c r="H178" i="1"/>
  <c r="L178" i="1" s="1"/>
  <c r="G178" i="1"/>
  <c r="C178" i="1"/>
  <c r="K177" i="1"/>
  <c r="H177" i="1"/>
  <c r="L177" i="1" s="1"/>
  <c r="G177" i="1"/>
  <c r="C177" i="1"/>
  <c r="K176" i="1"/>
  <c r="H176" i="1"/>
  <c r="L176" i="1" s="1"/>
  <c r="G176" i="1"/>
  <c r="C176" i="1"/>
  <c r="E172" i="1"/>
  <c r="E171" i="1"/>
  <c r="E170" i="1"/>
  <c r="E169" i="1"/>
  <c r="E168" i="1"/>
  <c r="E167" i="1"/>
  <c r="E166" i="1"/>
  <c r="E165" i="1"/>
  <c r="E164" i="1"/>
  <c r="F6" i="1"/>
  <c r="G3" i="1"/>
  <c r="H3" i="1" s="1"/>
  <c r="I3" i="1" s="1"/>
  <c r="J3" i="1" s="1"/>
  <c r="H15" i="9" l="1"/>
  <c r="I135" i="9"/>
  <c r="J45" i="9"/>
  <c r="J224" i="9"/>
  <c r="I240" i="9"/>
  <c r="I75" i="9"/>
  <c r="I165" i="9"/>
  <c r="I45" i="9"/>
  <c r="J117" i="9"/>
  <c r="J30" i="9"/>
  <c r="N29" i="9"/>
  <c r="I180" i="9"/>
  <c r="J150" i="9"/>
  <c r="I210" i="9"/>
  <c r="J131" i="9"/>
  <c r="I90" i="9"/>
  <c r="J239" i="9"/>
  <c r="I120" i="9"/>
  <c r="I30" i="9"/>
  <c r="H30" i="9"/>
  <c r="I195" i="9"/>
  <c r="J58" i="9"/>
  <c r="I15" i="9"/>
  <c r="H43" i="9"/>
  <c r="J194" i="9"/>
  <c r="N169" i="9"/>
  <c r="J90" i="9"/>
  <c r="N89" i="9"/>
  <c r="H71" i="9"/>
  <c r="H57" i="9"/>
  <c r="J103" i="9"/>
  <c r="I60" i="9"/>
  <c r="J15" i="9"/>
  <c r="N14" i="9"/>
  <c r="I225" i="9"/>
  <c r="O81" i="9"/>
  <c r="E12" i="12" s="1"/>
  <c r="I105" i="9"/>
  <c r="I150" i="9"/>
  <c r="J75" i="9"/>
  <c r="N74" i="9"/>
  <c r="J209" i="9"/>
  <c r="J164" i="9"/>
  <c r="N184" i="9"/>
  <c r="J180" i="9"/>
  <c r="I29" i="11"/>
  <c r="H96" i="9"/>
  <c r="H99" i="9"/>
  <c r="H85" i="9"/>
  <c r="E96" i="1"/>
  <c r="E47" i="1"/>
  <c r="G40" i="1"/>
  <c r="E40" i="1"/>
  <c r="I40" i="1"/>
  <c r="H40" i="1"/>
  <c r="F40" i="1"/>
  <c r="D40" i="1"/>
  <c r="G157" i="1"/>
  <c r="I157" i="1" s="1"/>
  <c r="G52" i="1"/>
  <c r="G54" i="1" s="1"/>
  <c r="F45" i="1"/>
  <c r="F47" i="1" s="1"/>
  <c r="I4" i="1"/>
  <c r="J4" i="1" s="1"/>
  <c r="J5" i="1"/>
  <c r="H6" i="1"/>
  <c r="G6" i="1"/>
  <c r="K203" i="1"/>
  <c r="F203" i="1"/>
  <c r="E204" i="1"/>
  <c r="E205" i="1" s="1"/>
  <c r="E206" i="1" s="1"/>
  <c r="E207" i="1" s="1"/>
  <c r="E208" i="1" s="1"/>
  <c r="E209" i="1" s="1"/>
  <c r="E210" i="1" s="1"/>
  <c r="E211" i="1" s="1"/>
  <c r="H16" i="9" l="1"/>
  <c r="I31" i="9"/>
  <c r="I121" i="9"/>
  <c r="J118" i="9"/>
  <c r="J165" i="9"/>
  <c r="H72" i="9"/>
  <c r="H44" i="9"/>
  <c r="I91" i="9"/>
  <c r="J210" i="9"/>
  <c r="J46" i="9"/>
  <c r="N45" i="9"/>
  <c r="J104" i="9"/>
  <c r="J91" i="9"/>
  <c r="N90" i="9"/>
  <c r="I16" i="9"/>
  <c r="H31" i="9"/>
  <c r="J132" i="9"/>
  <c r="I226" i="9"/>
  <c r="J31" i="9"/>
  <c r="N30" i="9"/>
  <c r="J151" i="9"/>
  <c r="J76" i="9"/>
  <c r="N75" i="9"/>
  <c r="J195" i="9"/>
  <c r="I151" i="9"/>
  <c r="J16" i="9"/>
  <c r="N15" i="9"/>
  <c r="I196" i="9"/>
  <c r="I46" i="9"/>
  <c r="I241" i="9"/>
  <c r="J240" i="9"/>
  <c r="I181" i="9"/>
  <c r="I106" i="9"/>
  <c r="I166" i="9"/>
  <c r="J225" i="9"/>
  <c r="I61" i="9"/>
  <c r="N170" i="9"/>
  <c r="I136" i="9"/>
  <c r="I76" i="9"/>
  <c r="H58" i="9"/>
  <c r="O96" i="9"/>
  <c r="E13" i="12" s="1"/>
  <c r="J59" i="9"/>
  <c r="I211" i="9"/>
  <c r="J181" i="9"/>
  <c r="J182" i="9" s="1"/>
  <c r="N185" i="9"/>
  <c r="H86" i="9"/>
  <c r="H114" i="9"/>
  <c r="H100" i="9"/>
  <c r="H111" i="9"/>
  <c r="H52" i="1"/>
  <c r="H54" i="1" s="1"/>
  <c r="G45" i="1"/>
  <c r="J6" i="1"/>
  <c r="K4" i="1"/>
  <c r="I6" i="1"/>
  <c r="K5" i="1"/>
  <c r="F204" i="1"/>
  <c r="F205" i="1" s="1"/>
  <c r="F206" i="1" s="1"/>
  <c r="F207" i="1" s="1"/>
  <c r="F208" i="1" s="1"/>
  <c r="F209" i="1" s="1"/>
  <c r="F210" i="1" s="1"/>
  <c r="F211" i="1" s="1"/>
  <c r="G203" i="1"/>
  <c r="L203" i="1"/>
  <c r="H17" i="9" l="1"/>
  <c r="I137" i="9"/>
  <c r="I107" i="9"/>
  <c r="J196" i="9"/>
  <c r="J211" i="9"/>
  <c r="J119" i="9"/>
  <c r="J60" i="9"/>
  <c r="N59" i="9"/>
  <c r="J241" i="9"/>
  <c r="I227" i="9"/>
  <c r="J105" i="9"/>
  <c r="N104" i="9"/>
  <c r="I92" i="9"/>
  <c r="I122" i="9"/>
  <c r="J133" i="9"/>
  <c r="H45" i="9"/>
  <c r="H101" i="9"/>
  <c r="J47" i="9"/>
  <c r="N46" i="9"/>
  <c r="J77" i="9"/>
  <c r="N76" i="9"/>
  <c r="H32" i="9"/>
  <c r="I32" i="9"/>
  <c r="I77" i="9"/>
  <c r="I167" i="9"/>
  <c r="I197" i="9"/>
  <c r="J17" i="9"/>
  <c r="N16" i="9"/>
  <c r="J166" i="9"/>
  <c r="I212" i="9"/>
  <c r="I182" i="9"/>
  <c r="J32" i="9"/>
  <c r="N31" i="9"/>
  <c r="J92" i="9"/>
  <c r="N91" i="9"/>
  <c r="I152" i="9"/>
  <c r="I62" i="9"/>
  <c r="I242" i="9"/>
  <c r="O111" i="9"/>
  <c r="E14" i="12" s="1"/>
  <c r="H59" i="9"/>
  <c r="J226" i="9"/>
  <c r="I47" i="9"/>
  <c r="J152" i="9"/>
  <c r="I17" i="9"/>
  <c r="H73" i="9"/>
  <c r="H87" i="9"/>
  <c r="H126" i="9"/>
  <c r="H115" i="9"/>
  <c r="H129" i="9"/>
  <c r="G47" i="1"/>
  <c r="H45" i="1"/>
  <c r="H47" i="1" s="1"/>
  <c r="I52" i="1"/>
  <c r="I54" i="1" s="1"/>
  <c r="K6" i="1"/>
  <c r="K171" i="1" s="1"/>
  <c r="M203" i="1"/>
  <c r="G204" i="1"/>
  <c r="G205" i="1" s="1"/>
  <c r="G206" i="1" s="1"/>
  <c r="G207" i="1" s="1"/>
  <c r="G208" i="1" s="1"/>
  <c r="G209" i="1" s="1"/>
  <c r="G210" i="1" s="1"/>
  <c r="G211" i="1" s="1"/>
  <c r="H203" i="1"/>
  <c r="H18" i="9" l="1"/>
  <c r="N79" i="9"/>
  <c r="N80" i="9" s="1"/>
  <c r="N94" i="9"/>
  <c r="H102" i="9"/>
  <c r="J153" i="9"/>
  <c r="O126" i="9"/>
  <c r="E15" i="12" s="1"/>
  <c r="J212" i="9"/>
  <c r="I63" i="9"/>
  <c r="H46" i="9"/>
  <c r="I183" i="9"/>
  <c r="J134" i="9"/>
  <c r="I168" i="9"/>
  <c r="I138" i="9"/>
  <c r="N19" i="9"/>
  <c r="I123" i="9"/>
  <c r="N34" i="9"/>
  <c r="J120" i="9"/>
  <c r="N119" i="9"/>
  <c r="H116" i="9"/>
  <c r="I243" i="9"/>
  <c r="H33" i="9"/>
  <c r="J106" i="9"/>
  <c r="N105" i="9"/>
  <c r="I48" i="9"/>
  <c r="I198" i="9"/>
  <c r="J197" i="9"/>
  <c r="J78" i="9"/>
  <c r="I108" i="9"/>
  <c r="H74" i="9"/>
  <c r="I153" i="9"/>
  <c r="J242" i="9"/>
  <c r="J167" i="9"/>
  <c r="I78" i="9"/>
  <c r="I33" i="9"/>
  <c r="J48" i="9"/>
  <c r="N47" i="9"/>
  <c r="J61" i="9"/>
  <c r="N60" i="9"/>
  <c r="J33" i="9"/>
  <c r="I228" i="9"/>
  <c r="J227" i="9"/>
  <c r="I213" i="9"/>
  <c r="H60" i="9"/>
  <c r="I18" i="9"/>
  <c r="J93" i="9"/>
  <c r="J18" i="9"/>
  <c r="I93" i="9"/>
  <c r="J183" i="9"/>
  <c r="H144" i="9"/>
  <c r="H130" i="9"/>
  <c r="H141" i="9"/>
  <c r="H88" i="9"/>
  <c r="I45" i="1"/>
  <c r="I47" i="1" s="1"/>
  <c r="H171" i="1"/>
  <c r="I171" i="1"/>
  <c r="J171" i="1"/>
  <c r="N203" i="1"/>
  <c r="H204" i="1"/>
  <c r="H205" i="1" s="1"/>
  <c r="H206" i="1" s="1"/>
  <c r="H207" i="1" s="1"/>
  <c r="H208" i="1" s="1"/>
  <c r="H209" i="1" s="1"/>
  <c r="H210" i="1" s="1"/>
  <c r="H211" i="1" s="1"/>
  <c r="I203" i="1"/>
  <c r="N95" i="9" l="1"/>
  <c r="H19" i="9"/>
  <c r="J19" i="9"/>
  <c r="H61" i="9"/>
  <c r="I109" i="9"/>
  <c r="I124" i="9"/>
  <c r="H47" i="9"/>
  <c r="J154" i="9"/>
  <c r="I214" i="9"/>
  <c r="H34" i="9"/>
  <c r="O141" i="9"/>
  <c r="J49" i="9"/>
  <c r="J198" i="9"/>
  <c r="I139" i="9"/>
  <c r="I229" i="9"/>
  <c r="I34" i="9"/>
  <c r="H117" i="9"/>
  <c r="H75" i="9"/>
  <c r="I184" i="9"/>
  <c r="J107" i="9"/>
  <c r="N106" i="9"/>
  <c r="I64" i="9"/>
  <c r="I244" i="9"/>
  <c r="I199" i="9"/>
  <c r="I169" i="9"/>
  <c r="H103" i="9"/>
  <c r="I19" i="9"/>
  <c r="J94" i="9"/>
  <c r="J62" i="9"/>
  <c r="N61" i="9"/>
  <c r="I79" i="9"/>
  <c r="N49" i="9"/>
  <c r="J168" i="9"/>
  <c r="J79" i="9"/>
  <c r="H131" i="9"/>
  <c r="J228" i="9"/>
  <c r="J243" i="9"/>
  <c r="J213" i="9"/>
  <c r="I94" i="9"/>
  <c r="J34" i="9"/>
  <c r="N35" i="9"/>
  <c r="I154" i="9"/>
  <c r="I49" i="9"/>
  <c r="J121" i="9"/>
  <c r="N120" i="9"/>
  <c r="J135" i="9"/>
  <c r="N134" i="9"/>
  <c r="J184" i="9"/>
  <c r="H89" i="9"/>
  <c r="H156" i="9"/>
  <c r="H159" i="9"/>
  <c r="H145" i="9"/>
  <c r="O203" i="1"/>
  <c r="I204" i="1"/>
  <c r="I205" i="1" s="1"/>
  <c r="I206" i="1" s="1"/>
  <c r="I207" i="1" s="1"/>
  <c r="I208" i="1" s="1"/>
  <c r="I209" i="1" s="1"/>
  <c r="I210" i="1" s="1"/>
  <c r="I211" i="1" s="1"/>
  <c r="H20" i="9" l="1"/>
  <c r="N64" i="9"/>
  <c r="I200" i="9"/>
  <c r="H76" i="9"/>
  <c r="I245" i="9"/>
  <c r="H118" i="9"/>
  <c r="J136" i="9"/>
  <c r="N135" i="9"/>
  <c r="I110" i="9"/>
  <c r="I95" i="9"/>
  <c r="I20" i="9"/>
  <c r="I230" i="9"/>
  <c r="H146" i="9"/>
  <c r="J122" i="9"/>
  <c r="N121" i="9"/>
  <c r="J244" i="9"/>
  <c r="I170" i="9"/>
  <c r="J108" i="9"/>
  <c r="I140" i="9"/>
  <c r="J20" i="9"/>
  <c r="I155" i="9"/>
  <c r="H48" i="9"/>
  <c r="J95" i="9"/>
  <c r="H132" i="9"/>
  <c r="J169" i="9"/>
  <c r="J35" i="9"/>
  <c r="N50" i="9"/>
  <c r="I65" i="9"/>
  <c r="I35" i="9"/>
  <c r="H35" i="9"/>
  <c r="J214" i="9"/>
  <c r="H104" i="9"/>
  <c r="I80" i="9"/>
  <c r="I215" i="9"/>
  <c r="O156" i="9"/>
  <c r="I50" i="9"/>
  <c r="N109" i="9"/>
  <c r="J155" i="9"/>
  <c r="J229" i="9"/>
  <c r="J80" i="9"/>
  <c r="J50" i="9"/>
  <c r="I125" i="9"/>
  <c r="E16" i="12"/>
  <c r="H62" i="9"/>
  <c r="J63" i="9"/>
  <c r="I185" i="9"/>
  <c r="J199" i="9"/>
  <c r="J185" i="9"/>
  <c r="H174" i="9"/>
  <c r="H160" i="9"/>
  <c r="H171" i="9"/>
  <c r="H90" i="9"/>
  <c r="P203" i="1"/>
  <c r="N65" i="9" l="1"/>
  <c r="N124" i="9"/>
  <c r="N110" i="9"/>
  <c r="I66" i="9"/>
  <c r="H49" i="9"/>
  <c r="J245" i="9"/>
  <c r="I21" i="9"/>
  <c r="J51" i="9"/>
  <c r="J170" i="9"/>
  <c r="I141" i="9"/>
  <c r="H147" i="9"/>
  <c r="I201" i="9"/>
  <c r="J200" i="9"/>
  <c r="J156" i="9"/>
  <c r="I81" i="9"/>
  <c r="I36" i="9"/>
  <c r="J96" i="9"/>
  <c r="I171" i="9"/>
  <c r="I231" i="9"/>
  <c r="H119" i="9"/>
  <c r="H91" i="9"/>
  <c r="I186" i="9"/>
  <c r="O171" i="9"/>
  <c r="H161" i="9"/>
  <c r="J64" i="9"/>
  <c r="I51" i="9"/>
  <c r="I156" i="9"/>
  <c r="J21" i="9"/>
  <c r="J123" i="9"/>
  <c r="H77" i="9"/>
  <c r="H63" i="9"/>
  <c r="J81" i="9"/>
  <c r="I111" i="9"/>
  <c r="J230" i="9"/>
  <c r="I216" i="9"/>
  <c r="H105" i="9"/>
  <c r="I246" i="9"/>
  <c r="I126" i="9"/>
  <c r="J215" i="9"/>
  <c r="I96" i="9"/>
  <c r="J36" i="9"/>
  <c r="H133" i="9"/>
  <c r="J109" i="9"/>
  <c r="J137" i="9"/>
  <c r="N136" i="9"/>
  <c r="C17" i="12"/>
  <c r="J186" i="9"/>
  <c r="H175" i="9"/>
  <c r="H189" i="9"/>
  <c r="H186" i="9"/>
  <c r="N125" i="9" l="1"/>
  <c r="D9" i="17"/>
  <c r="D13" i="12"/>
  <c r="G13" i="12" s="1"/>
  <c r="H13" i="12" s="1"/>
  <c r="I13" i="12" s="1"/>
  <c r="J13" i="12" s="1"/>
  <c r="K13" i="12" s="1"/>
  <c r="D8" i="12"/>
  <c r="D4" i="17"/>
  <c r="H148" i="9"/>
  <c r="J216" i="9"/>
  <c r="C14" i="12"/>
  <c r="N139" i="9"/>
  <c r="C9" i="12"/>
  <c r="C5" i="17"/>
  <c r="F5" i="17" s="1"/>
  <c r="J246" i="9"/>
  <c r="C15" i="12"/>
  <c r="J138" i="9"/>
  <c r="D12" i="12"/>
  <c r="G12" i="12" s="1"/>
  <c r="H12" i="12" s="1"/>
  <c r="I12" i="12" s="1"/>
  <c r="J12" i="12" s="1"/>
  <c r="K12" i="12" s="1"/>
  <c r="D8" i="17"/>
  <c r="H92" i="9"/>
  <c r="C8" i="17"/>
  <c r="C12" i="12"/>
  <c r="J171" i="9"/>
  <c r="H50" i="9"/>
  <c r="C10" i="17"/>
  <c r="C11" i="17"/>
  <c r="J110" i="9"/>
  <c r="H64" i="9"/>
  <c r="C10" i="12"/>
  <c r="C6" i="17"/>
  <c r="H120" i="9"/>
  <c r="C7" i="17"/>
  <c r="C11" i="12"/>
  <c r="O186" i="9"/>
  <c r="H106" i="9"/>
  <c r="D17" i="12"/>
  <c r="H134" i="9"/>
  <c r="H78" i="9"/>
  <c r="J65" i="9"/>
  <c r="J201" i="9"/>
  <c r="H176" i="9"/>
  <c r="D9" i="12"/>
  <c r="G9" i="12" s="1"/>
  <c r="H9" i="12" s="1"/>
  <c r="I9" i="12" s="1"/>
  <c r="J9" i="12" s="1"/>
  <c r="K9" i="12" s="1"/>
  <c r="D5" i="17"/>
  <c r="D6" i="17"/>
  <c r="D10" i="12"/>
  <c r="G10" i="12" s="1"/>
  <c r="H10" i="12" s="1"/>
  <c r="I10" i="12" s="1"/>
  <c r="J10" i="12" s="1"/>
  <c r="K10" i="12" s="1"/>
  <c r="J124" i="9"/>
  <c r="H162" i="9"/>
  <c r="C9" i="17"/>
  <c r="C13" i="12"/>
  <c r="J231" i="9"/>
  <c r="C8" i="12"/>
  <c r="C4" i="17"/>
  <c r="H201" i="9"/>
  <c r="H190" i="9"/>
  <c r="H204" i="9"/>
  <c r="G4" i="17" l="1"/>
  <c r="F4" i="17"/>
  <c r="J139" i="9"/>
  <c r="H107" i="9"/>
  <c r="H163" i="9"/>
  <c r="E8" i="17"/>
  <c r="F8" i="17"/>
  <c r="H191" i="9"/>
  <c r="O201" i="9"/>
  <c r="F7" i="17"/>
  <c r="E4" i="17"/>
  <c r="F10" i="17"/>
  <c r="H135" i="9"/>
  <c r="J111" i="9"/>
  <c r="E5" i="17"/>
  <c r="J125" i="9"/>
  <c r="F11" i="17"/>
  <c r="J66" i="9"/>
  <c r="H93" i="9"/>
  <c r="N140" i="9"/>
  <c r="E6" i="17"/>
  <c r="F6" i="17"/>
  <c r="E9" i="17"/>
  <c r="F9" i="17"/>
  <c r="H65" i="9"/>
  <c r="H177" i="9"/>
  <c r="H149" i="9"/>
  <c r="H79" i="9"/>
  <c r="H121" i="9"/>
  <c r="H216" i="9"/>
  <c r="H219" i="9"/>
  <c r="H205" i="9"/>
  <c r="O6" i="17" l="1"/>
  <c r="O10" i="17"/>
  <c r="O17" i="17"/>
  <c r="O21" i="17"/>
  <c r="O24" i="17"/>
  <c r="O28" i="17"/>
  <c r="O31" i="17"/>
  <c r="O35" i="17"/>
  <c r="O38" i="17"/>
  <c r="O42" i="17"/>
  <c r="O49" i="17"/>
  <c r="O53" i="17"/>
  <c r="O56" i="17"/>
  <c r="O60" i="17"/>
  <c r="O63" i="17"/>
  <c r="O67" i="17"/>
  <c r="O70" i="17"/>
  <c r="O74" i="17"/>
  <c r="O81" i="17"/>
  <c r="O85" i="17"/>
  <c r="O88" i="17"/>
  <c r="O92" i="17"/>
  <c r="O95" i="17"/>
  <c r="O99" i="17"/>
  <c r="O102" i="17"/>
  <c r="O106" i="17"/>
  <c r="O113" i="17"/>
  <c r="O117" i="17"/>
  <c r="O120" i="17"/>
  <c r="O130" i="17"/>
  <c r="O133" i="17"/>
  <c r="O140" i="17"/>
  <c r="O153" i="17"/>
  <c r="O160" i="17"/>
  <c r="O163" i="17"/>
  <c r="O166" i="17"/>
  <c r="O173" i="17"/>
  <c r="O183" i="17"/>
  <c r="O186" i="17"/>
  <c r="O199" i="17"/>
  <c r="O202" i="17"/>
  <c r="O215" i="17"/>
  <c r="O218" i="17"/>
  <c r="O231" i="17"/>
  <c r="O234" i="17"/>
  <c r="K4" i="17"/>
  <c r="O124" i="17"/>
  <c r="O137" i="17"/>
  <c r="O144" i="17"/>
  <c r="O147" i="17"/>
  <c r="O150" i="17"/>
  <c r="O157" i="17"/>
  <c r="O170" i="17"/>
  <c r="O177" i="17"/>
  <c r="O180" i="17"/>
  <c r="O193" i="17"/>
  <c r="O196" i="17"/>
  <c r="O209" i="17"/>
  <c r="O212" i="17"/>
  <c r="O225" i="17"/>
  <c r="O228" i="17"/>
  <c r="O241" i="17"/>
  <c r="O244" i="17"/>
  <c r="O7" i="17"/>
  <c r="O11" i="17"/>
  <c r="O14" i="17"/>
  <c r="O18" i="17"/>
  <c r="O25" i="17"/>
  <c r="O29" i="17"/>
  <c r="O32" i="17"/>
  <c r="O36" i="17"/>
  <c r="O39" i="17"/>
  <c r="O43" i="17"/>
  <c r="O46" i="17"/>
  <c r="O50" i="17"/>
  <c r="O57" i="17"/>
  <c r="O61" i="17"/>
  <c r="O64" i="17"/>
  <c r="O68" i="17"/>
  <c r="O71" i="17"/>
  <c r="O75" i="17"/>
  <c r="O78" i="17"/>
  <c r="O82" i="17"/>
  <c r="O89" i="17"/>
  <c r="O93" i="17"/>
  <c r="O96" i="17"/>
  <c r="O100" i="17"/>
  <c r="O103" i="17"/>
  <c r="O107" i="17"/>
  <c r="O110" i="17"/>
  <c r="O114" i="17"/>
  <c r="O121" i="17"/>
  <c r="O128" i="17"/>
  <c r="O131" i="17"/>
  <c r="O134" i="17"/>
  <c r="O141" i="17"/>
  <c r="O154" i="17"/>
  <c r="O161" i="17"/>
  <c r="O167" i="17"/>
  <c r="O174" i="17"/>
  <c r="O187" i="17"/>
  <c r="O190" i="17"/>
  <c r="O203" i="17"/>
  <c r="O206" i="17"/>
  <c r="O219" i="17"/>
  <c r="O222" i="17"/>
  <c r="O235" i="17"/>
  <c r="O238" i="17"/>
  <c r="O125" i="17"/>
  <c r="O138" i="17"/>
  <c r="O145" i="17"/>
  <c r="O151" i="17"/>
  <c r="O158" i="17"/>
  <c r="O181" i="17"/>
  <c r="O184" i="17"/>
  <c r="O197" i="17"/>
  <c r="O200" i="17"/>
  <c r="O213" i="17"/>
  <c r="O216" i="17"/>
  <c r="O229" i="17"/>
  <c r="O232" i="17"/>
  <c r="O5" i="17"/>
  <c r="O8" i="17"/>
  <c r="O12" i="17"/>
  <c r="O15" i="17"/>
  <c r="O19" i="17"/>
  <c r="O22" i="17"/>
  <c r="O26" i="17"/>
  <c r="O33" i="17"/>
  <c r="O37" i="17"/>
  <c r="O40" i="17"/>
  <c r="O44" i="17"/>
  <c r="O47" i="17"/>
  <c r="O51" i="17"/>
  <c r="O54" i="17"/>
  <c r="O58" i="17"/>
  <c r="O65" i="17"/>
  <c r="O69" i="17"/>
  <c r="O72" i="17"/>
  <c r="O76" i="17"/>
  <c r="O79" i="17"/>
  <c r="O83" i="17"/>
  <c r="O86" i="17"/>
  <c r="O90" i="17"/>
  <c r="O97" i="17"/>
  <c r="O101" i="17"/>
  <c r="O104" i="17"/>
  <c r="O108" i="17"/>
  <c r="O111" i="17"/>
  <c r="O115" i="17"/>
  <c r="O118" i="17"/>
  <c r="O122" i="17"/>
  <c r="O129" i="17"/>
  <c r="O135" i="17"/>
  <c r="O142" i="17"/>
  <c r="O164" i="17"/>
  <c r="O168" i="17"/>
  <c r="O171" i="17"/>
  <c r="O175" i="17"/>
  <c r="O178" i="17"/>
  <c r="O191" i="17"/>
  <c r="O194" i="17"/>
  <c r="O207" i="17"/>
  <c r="O210" i="17"/>
  <c r="O223" i="17"/>
  <c r="O226" i="17"/>
  <c r="O239" i="17"/>
  <c r="O242" i="17"/>
  <c r="O126" i="17"/>
  <c r="O148" i="17"/>
  <c r="O152" i="17"/>
  <c r="O155" i="17"/>
  <c r="O159" i="17"/>
  <c r="O185" i="17"/>
  <c r="O188" i="17"/>
  <c r="O201" i="17"/>
  <c r="O204" i="17"/>
  <c r="O217" i="17"/>
  <c r="O220" i="17"/>
  <c r="O233" i="17"/>
  <c r="O236" i="17"/>
  <c r="L4" i="17"/>
  <c r="O9" i="17"/>
  <c r="O13" i="17"/>
  <c r="O16" i="17"/>
  <c r="O20" i="17"/>
  <c r="O23" i="17"/>
  <c r="O27" i="17"/>
  <c r="O30" i="17"/>
  <c r="O34" i="17"/>
  <c r="O41" i="17"/>
  <c r="O45" i="17"/>
  <c r="O48" i="17"/>
  <c r="O52" i="17"/>
  <c r="O55" i="17"/>
  <c r="O59" i="17"/>
  <c r="O62" i="17"/>
  <c r="O66" i="17"/>
  <c r="O73" i="17"/>
  <c r="O77" i="17"/>
  <c r="O80" i="17"/>
  <c r="O84" i="17"/>
  <c r="O87" i="17"/>
  <c r="O91" i="17"/>
  <c r="O94" i="17"/>
  <c r="O98" i="17"/>
  <c r="O105" i="17"/>
  <c r="O109" i="17"/>
  <c r="O112" i="17"/>
  <c r="O116" i="17"/>
  <c r="O119" i="17"/>
  <c r="O132" i="17"/>
  <c r="O136" i="17"/>
  <c r="O139" i="17"/>
  <c r="O143" i="17"/>
  <c r="O162" i="17"/>
  <c r="O165" i="17"/>
  <c r="O172" i="17"/>
  <c r="O179" i="17"/>
  <c r="O182" i="17"/>
  <c r="O195" i="17"/>
  <c r="O198" i="17"/>
  <c r="O211" i="17"/>
  <c r="O214" i="17"/>
  <c r="O227" i="17"/>
  <c r="O230" i="17"/>
  <c r="O243" i="17"/>
  <c r="O4" i="17"/>
  <c r="O123" i="17"/>
  <c r="O127" i="17"/>
  <c r="O146" i="17"/>
  <c r="O149" i="17"/>
  <c r="O156" i="17"/>
  <c r="O169" i="17"/>
  <c r="O176" i="17"/>
  <c r="O189" i="17"/>
  <c r="O192" i="17"/>
  <c r="O205" i="17"/>
  <c r="O208" i="17"/>
  <c r="O221" i="17"/>
  <c r="O224" i="17"/>
  <c r="O237" i="17"/>
  <c r="O240" i="17"/>
  <c r="P123" i="17"/>
  <c r="P127" i="17"/>
  <c r="P146" i="17"/>
  <c r="P149" i="17"/>
  <c r="P156" i="17"/>
  <c r="Q156" i="17" s="1"/>
  <c r="R156" i="17" s="1"/>
  <c r="P169" i="17"/>
  <c r="P176" i="17"/>
  <c r="P189" i="17"/>
  <c r="Q189" i="17" s="1"/>
  <c r="R189" i="17" s="1"/>
  <c r="P192" i="17"/>
  <c r="P205" i="17"/>
  <c r="P208" i="17"/>
  <c r="P221" i="17"/>
  <c r="P224" i="17"/>
  <c r="Q224" i="17" s="1"/>
  <c r="R224" i="17" s="1"/>
  <c r="P237" i="17"/>
  <c r="P240" i="17"/>
  <c r="P6" i="17"/>
  <c r="Q6" i="17" s="1"/>
  <c r="R6" i="17" s="1"/>
  <c r="P10" i="17"/>
  <c r="Q10" i="17" s="1"/>
  <c r="R10" i="17" s="1"/>
  <c r="P17" i="17"/>
  <c r="P21" i="17"/>
  <c r="P24" i="17"/>
  <c r="Q24" i="17" s="1"/>
  <c r="R24" i="17" s="1"/>
  <c r="P28" i="17"/>
  <c r="Q28" i="17" s="1"/>
  <c r="R28" i="17" s="1"/>
  <c r="P31" i="17"/>
  <c r="P35" i="17"/>
  <c r="P38" i="17"/>
  <c r="Q38" i="17" s="1"/>
  <c r="R38" i="17" s="1"/>
  <c r="P42" i="17"/>
  <c r="Q42" i="17" s="1"/>
  <c r="R42" i="17" s="1"/>
  <c r="P49" i="17"/>
  <c r="P53" i="17"/>
  <c r="P56" i="17"/>
  <c r="Q56" i="17" s="1"/>
  <c r="R56" i="17" s="1"/>
  <c r="P60" i="17"/>
  <c r="Q60" i="17" s="1"/>
  <c r="R60" i="17" s="1"/>
  <c r="P63" i="17"/>
  <c r="P67" i="17"/>
  <c r="P70" i="17"/>
  <c r="Q70" i="17" s="1"/>
  <c r="R70" i="17" s="1"/>
  <c r="P74" i="17"/>
  <c r="Q74" i="17" s="1"/>
  <c r="R74" i="17" s="1"/>
  <c r="P81" i="17"/>
  <c r="P85" i="17"/>
  <c r="P88" i="17"/>
  <c r="Q88" i="17" s="1"/>
  <c r="R88" i="17" s="1"/>
  <c r="P92" i="17"/>
  <c r="Q92" i="17" s="1"/>
  <c r="R92" i="17" s="1"/>
  <c r="P95" i="17"/>
  <c r="P99" i="17"/>
  <c r="P102" i="17"/>
  <c r="Q102" i="17" s="1"/>
  <c r="R102" i="17" s="1"/>
  <c r="P106" i="17"/>
  <c r="Q106" i="17" s="1"/>
  <c r="R106" i="17" s="1"/>
  <c r="P113" i="17"/>
  <c r="P117" i="17"/>
  <c r="P120" i="17"/>
  <c r="Q120" i="17" s="1"/>
  <c r="R120" i="17" s="1"/>
  <c r="P130" i="17"/>
  <c r="Q130" i="17" s="1"/>
  <c r="R130" i="17" s="1"/>
  <c r="P133" i="17"/>
  <c r="P140" i="17"/>
  <c r="P153" i="17"/>
  <c r="Q153" i="17" s="1"/>
  <c r="R153" i="17" s="1"/>
  <c r="P160" i="17"/>
  <c r="Q160" i="17" s="1"/>
  <c r="R160" i="17" s="1"/>
  <c r="P163" i="17"/>
  <c r="P166" i="17"/>
  <c r="P173" i="17"/>
  <c r="Q173" i="17" s="1"/>
  <c r="R173" i="17" s="1"/>
  <c r="P183" i="17"/>
  <c r="Q183" i="17" s="1"/>
  <c r="R183" i="17" s="1"/>
  <c r="P186" i="17"/>
  <c r="P199" i="17"/>
  <c r="P202" i="17"/>
  <c r="P215" i="17"/>
  <c r="Q215" i="17" s="1"/>
  <c r="R215" i="17" s="1"/>
  <c r="P218" i="17"/>
  <c r="P231" i="17"/>
  <c r="P234" i="17"/>
  <c r="Q234" i="17" s="1"/>
  <c r="R234" i="17" s="1"/>
  <c r="P124" i="17"/>
  <c r="Q124" i="17" s="1"/>
  <c r="R124" i="17" s="1"/>
  <c r="P137" i="17"/>
  <c r="P144" i="17"/>
  <c r="Q144" i="17" s="1"/>
  <c r="R144" i="17" s="1"/>
  <c r="P147" i="17"/>
  <c r="Q147" i="17" s="1"/>
  <c r="R147" i="17" s="1"/>
  <c r="P150" i="17"/>
  <c r="P157" i="17"/>
  <c r="P170" i="17"/>
  <c r="Q170" i="17" s="1"/>
  <c r="R170" i="17" s="1"/>
  <c r="P177" i="17"/>
  <c r="Q177" i="17" s="1"/>
  <c r="R177" i="17" s="1"/>
  <c r="P180" i="17"/>
  <c r="P193" i="17"/>
  <c r="P196" i="17"/>
  <c r="P209" i="17"/>
  <c r="Q209" i="17" s="1"/>
  <c r="R209" i="17" s="1"/>
  <c r="P212" i="17"/>
  <c r="P225" i="17"/>
  <c r="P228" i="17"/>
  <c r="Q228" i="17" s="1"/>
  <c r="R228" i="17" s="1"/>
  <c r="P241" i="17"/>
  <c r="Q241" i="17" s="1"/>
  <c r="R241" i="17" s="1"/>
  <c r="P244" i="17"/>
  <c r="Q244" i="17" s="1"/>
  <c r="R244" i="17" s="1"/>
  <c r="P7" i="17"/>
  <c r="P11" i="17"/>
  <c r="Q11" i="17" s="1"/>
  <c r="R11" i="17" s="1"/>
  <c r="P14" i="17"/>
  <c r="Q14" i="17" s="1"/>
  <c r="R14" i="17" s="1"/>
  <c r="P18" i="17"/>
  <c r="P25" i="17"/>
  <c r="P29" i="17"/>
  <c r="Q29" i="17" s="1"/>
  <c r="R29" i="17" s="1"/>
  <c r="P32" i="17"/>
  <c r="Q32" i="17" s="1"/>
  <c r="R32" i="17" s="1"/>
  <c r="P36" i="17"/>
  <c r="P39" i="17"/>
  <c r="P43" i="17"/>
  <c r="Q43" i="17" s="1"/>
  <c r="R43" i="17" s="1"/>
  <c r="P46" i="17"/>
  <c r="Q46" i="17" s="1"/>
  <c r="R46" i="17" s="1"/>
  <c r="P50" i="17"/>
  <c r="P57" i="17"/>
  <c r="P61" i="17"/>
  <c r="Q61" i="17" s="1"/>
  <c r="R61" i="17" s="1"/>
  <c r="P64" i="17"/>
  <c r="Q64" i="17" s="1"/>
  <c r="R64" i="17" s="1"/>
  <c r="P68" i="17"/>
  <c r="Q68" i="17" s="1"/>
  <c r="R68" i="17" s="1"/>
  <c r="P71" i="17"/>
  <c r="P75" i="17"/>
  <c r="Q75" i="17" s="1"/>
  <c r="R75" i="17" s="1"/>
  <c r="P78" i="17"/>
  <c r="Q78" i="17" s="1"/>
  <c r="R78" i="17" s="1"/>
  <c r="P82" i="17"/>
  <c r="P89" i="17"/>
  <c r="P93" i="17"/>
  <c r="Q93" i="17" s="1"/>
  <c r="R93" i="17" s="1"/>
  <c r="P96" i="17"/>
  <c r="Q96" i="17" s="1"/>
  <c r="R96" i="17" s="1"/>
  <c r="P100" i="17"/>
  <c r="Q100" i="17" s="1"/>
  <c r="R100" i="17" s="1"/>
  <c r="P103" i="17"/>
  <c r="P107" i="17"/>
  <c r="Q107" i="17" s="1"/>
  <c r="R107" i="17" s="1"/>
  <c r="P110" i="17"/>
  <c r="Q110" i="17" s="1"/>
  <c r="R110" i="17" s="1"/>
  <c r="P114" i="17"/>
  <c r="P121" i="17"/>
  <c r="P128" i="17"/>
  <c r="Q128" i="17" s="1"/>
  <c r="R128" i="17" s="1"/>
  <c r="P131" i="17"/>
  <c r="Q131" i="17" s="1"/>
  <c r="R131" i="17" s="1"/>
  <c r="P134" i="17"/>
  <c r="Q134" i="17" s="1"/>
  <c r="R134" i="17" s="1"/>
  <c r="P141" i="17"/>
  <c r="P154" i="17"/>
  <c r="Q154" i="17" s="1"/>
  <c r="R154" i="17" s="1"/>
  <c r="P161" i="17"/>
  <c r="Q161" i="17" s="1"/>
  <c r="R161" i="17" s="1"/>
  <c r="P167" i="17"/>
  <c r="P174" i="17"/>
  <c r="P187" i="17"/>
  <c r="Q187" i="17" s="1"/>
  <c r="R187" i="17" s="1"/>
  <c r="P190" i="17"/>
  <c r="P203" i="17"/>
  <c r="Q203" i="17" s="1"/>
  <c r="R203" i="17" s="1"/>
  <c r="P206" i="17"/>
  <c r="P219" i="17"/>
  <c r="Q219" i="17" s="1"/>
  <c r="R219" i="17" s="1"/>
  <c r="P222" i="17"/>
  <c r="Q222" i="17" s="1"/>
  <c r="R222" i="17" s="1"/>
  <c r="P235" i="17"/>
  <c r="P238" i="17"/>
  <c r="P125" i="17"/>
  <c r="Q125" i="17" s="1"/>
  <c r="R125" i="17" s="1"/>
  <c r="P138" i="17"/>
  <c r="Q138" i="17" s="1"/>
  <c r="R138" i="17" s="1"/>
  <c r="P145" i="17"/>
  <c r="Q145" i="17" s="1"/>
  <c r="R145" i="17" s="1"/>
  <c r="P151" i="17"/>
  <c r="P158" i="17"/>
  <c r="Q158" i="17" s="1"/>
  <c r="R158" i="17" s="1"/>
  <c r="P181" i="17"/>
  <c r="Q181" i="17" s="1"/>
  <c r="R181" i="17" s="1"/>
  <c r="P184" i="17"/>
  <c r="P197" i="17"/>
  <c r="P200" i="17"/>
  <c r="P213" i="17"/>
  <c r="Q213" i="17" s="1"/>
  <c r="R213" i="17" s="1"/>
  <c r="P216" i="17"/>
  <c r="Q216" i="17" s="1"/>
  <c r="R216" i="17" s="1"/>
  <c r="P229" i="17"/>
  <c r="P232" i="17"/>
  <c r="Q232" i="17" s="1"/>
  <c r="R232" i="17" s="1"/>
  <c r="P5" i="17"/>
  <c r="Q5" i="17" s="1"/>
  <c r="P8" i="17"/>
  <c r="P12" i="17"/>
  <c r="P15" i="17"/>
  <c r="Q15" i="17" s="1"/>
  <c r="R15" i="17" s="1"/>
  <c r="P19" i="17"/>
  <c r="Q19" i="17" s="1"/>
  <c r="R19" i="17" s="1"/>
  <c r="P22" i="17"/>
  <c r="Q22" i="17" s="1"/>
  <c r="R22" i="17" s="1"/>
  <c r="P26" i="17"/>
  <c r="P33" i="17"/>
  <c r="Q33" i="17" s="1"/>
  <c r="R33" i="17" s="1"/>
  <c r="P37" i="17"/>
  <c r="Q37" i="17" s="1"/>
  <c r="R37" i="17" s="1"/>
  <c r="P40" i="17"/>
  <c r="P44" i="17"/>
  <c r="P47" i="17"/>
  <c r="Q47" i="17" s="1"/>
  <c r="R47" i="17" s="1"/>
  <c r="P51" i="17"/>
  <c r="Q51" i="17" s="1"/>
  <c r="R51" i="17" s="1"/>
  <c r="P54" i="17"/>
  <c r="Q54" i="17" s="1"/>
  <c r="R54" i="17" s="1"/>
  <c r="P58" i="17"/>
  <c r="P65" i="17"/>
  <c r="Q65" i="17" s="1"/>
  <c r="R65" i="17" s="1"/>
  <c r="P69" i="17"/>
  <c r="Q69" i="17" s="1"/>
  <c r="R69" i="17" s="1"/>
  <c r="P72" i="17"/>
  <c r="P76" i="17"/>
  <c r="P79" i="17"/>
  <c r="Q79" i="17" s="1"/>
  <c r="R79" i="17" s="1"/>
  <c r="P83" i="17"/>
  <c r="Q83" i="17" s="1"/>
  <c r="R83" i="17" s="1"/>
  <c r="P86" i="17"/>
  <c r="Q86" i="17" s="1"/>
  <c r="R86" i="17" s="1"/>
  <c r="P90" i="17"/>
  <c r="P97" i="17"/>
  <c r="Q97" i="17" s="1"/>
  <c r="R97" i="17" s="1"/>
  <c r="P101" i="17"/>
  <c r="Q101" i="17" s="1"/>
  <c r="R101" i="17" s="1"/>
  <c r="P104" i="17"/>
  <c r="P108" i="17"/>
  <c r="P111" i="17"/>
  <c r="Q111" i="17" s="1"/>
  <c r="R111" i="17" s="1"/>
  <c r="P115" i="17"/>
  <c r="Q115" i="17" s="1"/>
  <c r="R115" i="17" s="1"/>
  <c r="P118" i="17"/>
  <c r="Q118" i="17" s="1"/>
  <c r="R118" i="17" s="1"/>
  <c r="P122" i="17"/>
  <c r="P129" i="17"/>
  <c r="Q129" i="17" s="1"/>
  <c r="R129" i="17" s="1"/>
  <c r="P135" i="17"/>
  <c r="P142" i="17"/>
  <c r="P164" i="17"/>
  <c r="P168" i="17"/>
  <c r="Q168" i="17" s="1"/>
  <c r="R168" i="17" s="1"/>
  <c r="P171" i="17"/>
  <c r="P175" i="17"/>
  <c r="Q175" i="17" s="1"/>
  <c r="R175" i="17" s="1"/>
  <c r="P178" i="17"/>
  <c r="P191" i="17"/>
  <c r="Q191" i="17" s="1"/>
  <c r="R191" i="17" s="1"/>
  <c r="P194" i="17"/>
  <c r="P207" i="17"/>
  <c r="P210" i="17"/>
  <c r="P223" i="17"/>
  <c r="Q223" i="17" s="1"/>
  <c r="R223" i="17" s="1"/>
  <c r="P226" i="17"/>
  <c r="Q226" i="17" s="1"/>
  <c r="R226" i="17" s="1"/>
  <c r="P239" i="17"/>
  <c r="Q239" i="17" s="1"/>
  <c r="R239" i="17" s="1"/>
  <c r="P242" i="17"/>
  <c r="P126" i="17"/>
  <c r="Q126" i="17" s="1"/>
  <c r="R126" i="17" s="1"/>
  <c r="P148" i="17"/>
  <c r="Q148" i="17" s="1"/>
  <c r="R148" i="17" s="1"/>
  <c r="P152" i="17"/>
  <c r="P155" i="17"/>
  <c r="P159" i="17"/>
  <c r="Q159" i="17" s="1"/>
  <c r="R159" i="17" s="1"/>
  <c r="P185" i="17"/>
  <c r="Q185" i="17" s="1"/>
  <c r="R185" i="17" s="1"/>
  <c r="P188" i="17"/>
  <c r="P201" i="17"/>
  <c r="P204" i="17"/>
  <c r="P217" i="17"/>
  <c r="Q217" i="17" s="1"/>
  <c r="R217" i="17" s="1"/>
  <c r="P220" i="17"/>
  <c r="P233" i="17"/>
  <c r="P236" i="17"/>
  <c r="Q236" i="17" s="1"/>
  <c r="R236" i="17" s="1"/>
  <c r="P9" i="17"/>
  <c r="Q9" i="17" s="1"/>
  <c r="R9" i="17" s="1"/>
  <c r="P13" i="17"/>
  <c r="Q13" i="17" s="1"/>
  <c r="R13" i="17" s="1"/>
  <c r="P16" i="17"/>
  <c r="Q16" i="17" s="1"/>
  <c r="R16" i="17" s="1"/>
  <c r="P20" i="17"/>
  <c r="Q20" i="17" s="1"/>
  <c r="R20" i="17" s="1"/>
  <c r="P23" i="17"/>
  <c r="P27" i="17"/>
  <c r="Q27" i="17" s="1"/>
  <c r="R27" i="17" s="1"/>
  <c r="P30" i="17"/>
  <c r="Q30" i="17" s="1"/>
  <c r="R30" i="17" s="1"/>
  <c r="P34" i="17"/>
  <c r="Q34" i="17" s="1"/>
  <c r="R34" i="17" s="1"/>
  <c r="P41" i="17"/>
  <c r="Q41" i="17" s="1"/>
  <c r="R41" i="17" s="1"/>
  <c r="P45" i="17"/>
  <c r="Q45" i="17" s="1"/>
  <c r="R45" i="17" s="1"/>
  <c r="P48" i="17"/>
  <c r="Q48" i="17" s="1"/>
  <c r="R48" i="17" s="1"/>
  <c r="P52" i="17"/>
  <c r="Q52" i="17" s="1"/>
  <c r="R52" i="17" s="1"/>
  <c r="P55" i="17"/>
  <c r="P59" i="17"/>
  <c r="Q59" i="17" s="1"/>
  <c r="R59" i="17" s="1"/>
  <c r="P62" i="17"/>
  <c r="Q62" i="17" s="1"/>
  <c r="R62" i="17" s="1"/>
  <c r="P66" i="17"/>
  <c r="Q66" i="17" s="1"/>
  <c r="R66" i="17" s="1"/>
  <c r="P73" i="17"/>
  <c r="Q73" i="17" s="1"/>
  <c r="R73" i="17" s="1"/>
  <c r="P77" i="17"/>
  <c r="Q77" i="17" s="1"/>
  <c r="R77" i="17" s="1"/>
  <c r="P80" i="17"/>
  <c r="Q80" i="17" s="1"/>
  <c r="R80" i="17" s="1"/>
  <c r="P84" i="17"/>
  <c r="Q84" i="17" s="1"/>
  <c r="R84" i="17" s="1"/>
  <c r="P87" i="17"/>
  <c r="P91" i="17"/>
  <c r="Q91" i="17" s="1"/>
  <c r="R91" i="17" s="1"/>
  <c r="P94" i="17"/>
  <c r="Q94" i="17" s="1"/>
  <c r="R94" i="17" s="1"/>
  <c r="P98" i="17"/>
  <c r="Q98" i="17" s="1"/>
  <c r="R98" i="17" s="1"/>
  <c r="P105" i="17"/>
  <c r="Q105" i="17" s="1"/>
  <c r="R105" i="17" s="1"/>
  <c r="P109" i="17"/>
  <c r="Q109" i="17" s="1"/>
  <c r="R109" i="17" s="1"/>
  <c r="P112" i="17"/>
  <c r="Q112" i="17" s="1"/>
  <c r="R112" i="17" s="1"/>
  <c r="P116" i="17"/>
  <c r="Q116" i="17" s="1"/>
  <c r="R116" i="17" s="1"/>
  <c r="P119" i="17"/>
  <c r="P132" i="17"/>
  <c r="Q132" i="17" s="1"/>
  <c r="R132" i="17" s="1"/>
  <c r="P136" i="17"/>
  <c r="Q136" i="17" s="1"/>
  <c r="R136" i="17" s="1"/>
  <c r="P139" i="17"/>
  <c r="P143" i="17"/>
  <c r="Q143" i="17" s="1"/>
  <c r="R143" i="17" s="1"/>
  <c r="P162" i="17"/>
  <c r="Q162" i="17" s="1"/>
  <c r="R162" i="17" s="1"/>
  <c r="P165" i="17"/>
  <c r="Q165" i="17" s="1"/>
  <c r="R165" i="17" s="1"/>
  <c r="P172" i="17"/>
  <c r="Q172" i="17" s="1"/>
  <c r="R172" i="17" s="1"/>
  <c r="P179" i="17"/>
  <c r="P182" i="17"/>
  <c r="P195" i="17"/>
  <c r="Q195" i="17" s="1"/>
  <c r="R195" i="17" s="1"/>
  <c r="P198" i="17"/>
  <c r="P211" i="17"/>
  <c r="Q211" i="17" s="1"/>
  <c r="R211" i="17" s="1"/>
  <c r="P214" i="17"/>
  <c r="Q214" i="17" s="1"/>
  <c r="R214" i="17" s="1"/>
  <c r="P227" i="17"/>
  <c r="Q227" i="17" s="1"/>
  <c r="R227" i="17" s="1"/>
  <c r="P230" i="17"/>
  <c r="Q230" i="17" s="1"/>
  <c r="R230" i="17" s="1"/>
  <c r="P243" i="17"/>
  <c r="P4" i="17"/>
  <c r="Q4" i="17" s="1"/>
  <c r="H164" i="9"/>
  <c r="D14" i="12"/>
  <c r="G14" i="12" s="1"/>
  <c r="H14" i="12" s="1"/>
  <c r="I14" i="12" s="1"/>
  <c r="J14" i="12" s="1"/>
  <c r="K14" i="12" s="1"/>
  <c r="D10" i="17"/>
  <c r="E10" i="17" s="1"/>
  <c r="H108" i="9"/>
  <c r="H136" i="9"/>
  <c r="H178" i="9"/>
  <c r="H94" i="9"/>
  <c r="O216" i="9"/>
  <c r="H192" i="9"/>
  <c r="H122" i="9"/>
  <c r="J126" i="9"/>
  <c r="H150" i="9"/>
  <c r="H206" i="9"/>
  <c r="D11" i="12"/>
  <c r="G11" i="12" s="1"/>
  <c r="H11" i="12" s="1"/>
  <c r="I11" i="12" s="1"/>
  <c r="J11" i="12" s="1"/>
  <c r="K11" i="12" s="1"/>
  <c r="D7" i="17"/>
  <c r="E7" i="17" s="1"/>
  <c r="H80" i="9"/>
  <c r="J140" i="9"/>
  <c r="H234" i="9"/>
  <c r="H220" i="9"/>
  <c r="H231" i="9"/>
  <c r="Q205" i="17" l="1"/>
  <c r="R205" i="17" s="1"/>
  <c r="Q127" i="17"/>
  <c r="R127" i="17" s="1"/>
  <c r="Q176" i="17"/>
  <c r="R176" i="17" s="1"/>
  <c r="Q199" i="17"/>
  <c r="R199" i="17" s="1"/>
  <c r="Q140" i="17"/>
  <c r="R140" i="17" s="1"/>
  <c r="Q99" i="17"/>
  <c r="R99" i="17" s="1"/>
  <c r="Q67" i="17"/>
  <c r="R67" i="17" s="1"/>
  <c r="Q35" i="17"/>
  <c r="R35" i="17" s="1"/>
  <c r="Q201" i="17"/>
  <c r="R201" i="17" s="1"/>
  <c r="Q242" i="17"/>
  <c r="R242" i="17" s="1"/>
  <c r="Q122" i="17"/>
  <c r="R122" i="17" s="1"/>
  <c r="Q90" i="17"/>
  <c r="R90" i="17" s="1"/>
  <c r="Q58" i="17"/>
  <c r="R58" i="17" s="1"/>
  <c r="Q26" i="17"/>
  <c r="R26" i="17" s="1"/>
  <c r="Q229" i="17"/>
  <c r="R229" i="17" s="1"/>
  <c r="Q206" i="17"/>
  <c r="R206" i="17" s="1"/>
  <c r="Q141" i="17"/>
  <c r="R141" i="17" s="1"/>
  <c r="Q103" i="17"/>
  <c r="R103" i="17" s="1"/>
  <c r="Q71" i="17"/>
  <c r="R71" i="17" s="1"/>
  <c r="Q39" i="17"/>
  <c r="R39" i="17" s="1"/>
  <c r="Q7" i="17"/>
  <c r="R7" i="17" s="1"/>
  <c r="Q193" i="17"/>
  <c r="R193" i="17" s="1"/>
  <c r="Q137" i="17"/>
  <c r="R137" i="17" s="1"/>
  <c r="Q133" i="17"/>
  <c r="R133" i="17" s="1"/>
  <c r="Q95" i="17"/>
  <c r="R95" i="17" s="1"/>
  <c r="Q63" i="17"/>
  <c r="R63" i="17" s="1"/>
  <c r="Q31" i="17"/>
  <c r="R31" i="17" s="1"/>
  <c r="Q208" i="17"/>
  <c r="R208" i="17" s="1"/>
  <c r="Q146" i="17"/>
  <c r="R146" i="17" s="1"/>
  <c r="Q192" i="17"/>
  <c r="R192" i="17" s="1"/>
  <c r="Q123" i="17"/>
  <c r="R123" i="17" s="1"/>
  <c r="Q155" i="17"/>
  <c r="R155" i="17" s="1"/>
  <c r="Q184" i="17"/>
  <c r="R184" i="17" s="1"/>
  <c r="Q167" i="17"/>
  <c r="R167" i="17" s="1"/>
  <c r="Q237" i="17"/>
  <c r="R237" i="17" s="1"/>
  <c r="Q169" i="17"/>
  <c r="R169" i="17" s="1"/>
  <c r="Q194" i="17"/>
  <c r="R194" i="17" s="1"/>
  <c r="Q135" i="17"/>
  <c r="R135" i="17" s="1"/>
  <c r="Q204" i="17"/>
  <c r="R204" i="17" s="1"/>
  <c r="Q196" i="17"/>
  <c r="R196" i="17" s="1"/>
  <c r="Q202" i="17"/>
  <c r="R202" i="17" s="1"/>
  <c r="Q221" i="17"/>
  <c r="R221" i="17" s="1"/>
  <c r="Q149" i="17"/>
  <c r="R149" i="17" s="1"/>
  <c r="Q178" i="17"/>
  <c r="R178" i="17" s="1"/>
  <c r="Q151" i="17"/>
  <c r="R151" i="17" s="1"/>
  <c r="Q233" i="17"/>
  <c r="R233" i="17" s="1"/>
  <c r="Q210" i="17"/>
  <c r="R210" i="17" s="1"/>
  <c r="Q164" i="17"/>
  <c r="R164" i="17" s="1"/>
  <c r="Q108" i="17"/>
  <c r="R108" i="17" s="1"/>
  <c r="Q76" i="17"/>
  <c r="R76" i="17" s="1"/>
  <c r="Q44" i="17"/>
  <c r="R44" i="17" s="1"/>
  <c r="Q12" i="17"/>
  <c r="R12" i="17" s="1"/>
  <c r="Q197" i="17"/>
  <c r="R197" i="17" s="1"/>
  <c r="Q231" i="17"/>
  <c r="R231" i="17" s="1"/>
  <c r="Q166" i="17"/>
  <c r="R166" i="17" s="1"/>
  <c r="Q117" i="17"/>
  <c r="R117" i="17" s="1"/>
  <c r="Q85" i="17"/>
  <c r="R85" i="17" s="1"/>
  <c r="Q53" i="17"/>
  <c r="R53" i="17" s="1"/>
  <c r="Q21" i="17"/>
  <c r="R21" i="17" s="1"/>
  <c r="Q198" i="17"/>
  <c r="R198" i="17" s="1"/>
  <c r="Q139" i="17"/>
  <c r="R139" i="17" s="1"/>
  <c r="Q188" i="17"/>
  <c r="R188" i="17" s="1"/>
  <c r="Q36" i="17"/>
  <c r="R36" i="17" s="1"/>
  <c r="Q180" i="17"/>
  <c r="R180" i="17" s="1"/>
  <c r="Q186" i="17"/>
  <c r="R186" i="17" s="1"/>
  <c r="Q220" i="17"/>
  <c r="R220" i="17" s="1"/>
  <c r="Q152" i="17"/>
  <c r="R152" i="17" s="1"/>
  <c r="Q142" i="17"/>
  <c r="R142" i="17" s="1"/>
  <c r="Q104" i="17"/>
  <c r="R104" i="17" s="1"/>
  <c r="Q72" i="17"/>
  <c r="R72" i="17" s="1"/>
  <c r="Q40" i="17"/>
  <c r="R40" i="17" s="1"/>
  <c r="Q8" i="17"/>
  <c r="R8" i="17" s="1"/>
  <c r="Q238" i="17"/>
  <c r="R238" i="17" s="1"/>
  <c r="Q174" i="17"/>
  <c r="R174" i="17" s="1"/>
  <c r="Q121" i="17"/>
  <c r="R121" i="17" s="1"/>
  <c r="Q89" i="17"/>
  <c r="R89" i="17" s="1"/>
  <c r="Q57" i="17"/>
  <c r="R57" i="17" s="1"/>
  <c r="Q25" i="17"/>
  <c r="R25" i="17" s="1"/>
  <c r="Q225" i="17"/>
  <c r="R225" i="17" s="1"/>
  <c r="Q157" i="17"/>
  <c r="R157" i="17" s="1"/>
  <c r="Q218" i="17"/>
  <c r="R218" i="17" s="1"/>
  <c r="Q163" i="17"/>
  <c r="R163" i="17" s="1"/>
  <c r="Q113" i="17"/>
  <c r="R113" i="17" s="1"/>
  <c r="Q81" i="17"/>
  <c r="R81" i="17" s="1"/>
  <c r="Q49" i="17"/>
  <c r="R49" i="17" s="1"/>
  <c r="Q17" i="17"/>
  <c r="R17" i="17" s="1"/>
  <c r="Q171" i="17"/>
  <c r="R171" i="17" s="1"/>
  <c r="Q190" i="17"/>
  <c r="R190" i="17" s="1"/>
  <c r="Q240" i="17"/>
  <c r="R240" i="17" s="1"/>
  <c r="Q207" i="17"/>
  <c r="R207" i="17" s="1"/>
  <c r="Q243" i="17"/>
  <c r="R243" i="17" s="1"/>
  <c r="Q179" i="17"/>
  <c r="R179" i="17" s="1"/>
  <c r="Q119" i="17"/>
  <c r="R119" i="17" s="1"/>
  <c r="Q87" i="17"/>
  <c r="R87" i="17" s="1"/>
  <c r="Q55" i="17"/>
  <c r="R55" i="17" s="1"/>
  <c r="Q23" i="17"/>
  <c r="R23" i="17" s="1"/>
  <c r="Q235" i="17"/>
  <c r="R235" i="17" s="1"/>
  <c r="Q114" i="17"/>
  <c r="R114" i="17" s="1"/>
  <c r="Q82" i="17"/>
  <c r="R82" i="17" s="1"/>
  <c r="Q50" i="17"/>
  <c r="R50" i="17" s="1"/>
  <c r="Q18" i="17"/>
  <c r="R18" i="17" s="1"/>
  <c r="Q212" i="17"/>
  <c r="R212" i="17" s="1"/>
  <c r="Q150" i="17"/>
  <c r="R150" i="17" s="1"/>
  <c r="Q182" i="17"/>
  <c r="R182" i="17" s="1"/>
  <c r="Q200" i="17"/>
  <c r="R200" i="17" s="1"/>
  <c r="H207" i="9"/>
  <c r="H193" i="9"/>
  <c r="O231" i="9"/>
  <c r="H221" i="9"/>
  <c r="H137" i="9"/>
  <c r="H151" i="9"/>
  <c r="H109" i="9"/>
  <c r="J141" i="9"/>
  <c r="H95" i="9"/>
  <c r="D15" i="12"/>
  <c r="G15" i="12" s="1"/>
  <c r="H15" i="12" s="1"/>
  <c r="I15" i="12" s="1"/>
  <c r="J15" i="12" s="1"/>
  <c r="K15" i="12" s="1"/>
  <c r="H123" i="9"/>
  <c r="H179" i="9"/>
  <c r="H165" i="9"/>
  <c r="H246" i="9"/>
  <c r="H235" i="9"/>
  <c r="H138" i="9" l="1"/>
  <c r="H236" i="9"/>
  <c r="H166" i="9"/>
  <c r="H152" i="9"/>
  <c r="H222" i="9"/>
  <c r="H180" i="9"/>
  <c r="D16" i="12"/>
  <c r="G16" i="12" s="1"/>
  <c r="H16" i="12" s="1"/>
  <c r="I16" i="12" s="1"/>
  <c r="J16" i="12" s="1"/>
  <c r="K16" i="12" s="1"/>
  <c r="D12" i="17"/>
  <c r="H194" i="9"/>
  <c r="H124" i="9"/>
  <c r="H110" i="9"/>
  <c r="H208" i="9"/>
  <c r="O246" i="9"/>
  <c r="H195" i="9" l="1"/>
  <c r="D11" i="17"/>
  <c r="E11" i="17" s="1"/>
  <c r="C19" i="17"/>
  <c r="C16" i="17"/>
  <c r="D18" i="17"/>
  <c r="D19" i="17"/>
  <c r="D15" i="17"/>
  <c r="C15" i="17"/>
  <c r="C13" i="17"/>
  <c r="C17" i="17"/>
  <c r="D14" i="17"/>
  <c r="C18" i="17"/>
  <c r="C12" i="17"/>
  <c r="D16" i="17"/>
  <c r="D13" i="17"/>
  <c r="C14" i="17"/>
  <c r="D17" i="17"/>
  <c r="H181" i="9"/>
  <c r="H209" i="9"/>
  <c r="H167" i="9"/>
  <c r="H125" i="9"/>
  <c r="H153" i="9"/>
  <c r="H223" i="9"/>
  <c r="H237" i="9"/>
  <c r="H139" i="9"/>
  <c r="E17" i="12"/>
  <c r="G17" i="12" s="1"/>
  <c r="E22" i="12"/>
  <c r="E19" i="12"/>
  <c r="C19" i="12"/>
  <c r="D21" i="12"/>
  <c r="D19" i="12"/>
  <c r="C18" i="12"/>
  <c r="D20" i="12"/>
  <c r="E20" i="12"/>
  <c r="C16" i="12"/>
  <c r="D23" i="12"/>
  <c r="C23" i="12"/>
  <c r="C22" i="12"/>
  <c r="D18" i="12"/>
  <c r="C20" i="12"/>
  <c r="E21" i="12"/>
  <c r="E18" i="12"/>
  <c r="E23" i="12"/>
  <c r="C21" i="12"/>
  <c r="D22" i="12"/>
  <c r="H168" i="9" l="1"/>
  <c r="E13" i="17"/>
  <c r="F13" i="17"/>
  <c r="E15" i="17"/>
  <c r="F15" i="17"/>
  <c r="H182" i="9"/>
  <c r="H238" i="9"/>
  <c r="E14" i="17"/>
  <c r="F14" i="17"/>
  <c r="H224" i="9"/>
  <c r="E18" i="17"/>
  <c r="F18" i="17"/>
  <c r="H154" i="9"/>
  <c r="E17" i="17"/>
  <c r="F17" i="17"/>
  <c r="H210" i="9"/>
  <c r="E16" i="17"/>
  <c r="F16" i="17"/>
  <c r="E19" i="17"/>
  <c r="F19" i="17"/>
  <c r="E12" i="17"/>
  <c r="F12" i="17"/>
  <c r="H140" i="9"/>
  <c r="H196" i="9"/>
  <c r="G19" i="12"/>
  <c r="H19" i="12" s="1"/>
  <c r="I19" i="12" s="1"/>
  <c r="J19" i="12" s="1"/>
  <c r="K19" i="12" s="1"/>
  <c r="G21" i="12"/>
  <c r="H21" i="12" s="1"/>
  <c r="I21" i="12" s="1"/>
  <c r="J21" i="12" s="1"/>
  <c r="K21" i="12" s="1"/>
  <c r="G18" i="12"/>
  <c r="H18" i="12" s="1"/>
  <c r="I18" i="12" s="1"/>
  <c r="J18" i="12" s="1"/>
  <c r="K18" i="12" s="1"/>
  <c r="G22" i="12"/>
  <c r="H22" i="12" s="1"/>
  <c r="I22" i="12" s="1"/>
  <c r="J22" i="12" s="1"/>
  <c r="K22" i="12" s="1"/>
  <c r="G20" i="12"/>
  <c r="H20" i="12" s="1"/>
  <c r="I20" i="12" s="1"/>
  <c r="J20" i="12" s="1"/>
  <c r="K20" i="12" s="1"/>
  <c r="H17" i="12"/>
  <c r="G23" i="12"/>
  <c r="H23" i="12" s="1"/>
  <c r="I23" i="12" s="1"/>
  <c r="J23" i="12" s="1"/>
  <c r="K23" i="12" s="1"/>
  <c r="F21" i="17" l="1"/>
  <c r="E21" i="17"/>
  <c r="H211" i="9"/>
  <c r="H155" i="9"/>
  <c r="H197" i="9"/>
  <c r="H169" i="9"/>
  <c r="H183" i="9"/>
  <c r="H225" i="9"/>
  <c r="H239" i="9"/>
  <c r="I17" i="12"/>
  <c r="H170" i="9" l="1"/>
  <c r="H226" i="9"/>
  <c r="H212" i="9"/>
  <c r="H184" i="9"/>
  <c r="H198" i="9"/>
  <c r="H240" i="9"/>
  <c r="J17" i="12"/>
  <c r="H227" i="9" l="1"/>
  <c r="H213" i="9"/>
  <c r="H185" i="9"/>
  <c r="H199" i="9"/>
  <c r="H241" i="9"/>
  <c r="K17" i="12"/>
  <c r="H228" i="9" l="1"/>
  <c r="H200" i="9"/>
  <c r="H214" i="9"/>
  <c r="H242" i="9"/>
  <c r="H215" i="9" l="1"/>
  <c r="H229" i="9"/>
  <c r="H243" i="9"/>
  <c r="H230" i="9" l="1"/>
  <c r="H244" i="9"/>
  <c r="H245" i="9" l="1"/>
  <c r="M5" i="11" s="1"/>
  <c r="L4" i="11"/>
  <c r="L12" i="11"/>
  <c r="H6" i="11" l="1"/>
  <c r="G11" i="11"/>
  <c r="H24" i="11"/>
  <c r="H25" i="11"/>
  <c r="F24" i="11"/>
  <c r="I34" i="11"/>
  <c r="I31" i="11"/>
  <c r="F23" i="11"/>
  <c r="I15" i="11"/>
  <c r="G15" i="11"/>
  <c r="H31" i="11"/>
  <c r="J10" i="11"/>
  <c r="G17" i="11"/>
  <c r="N17" i="11"/>
  <c r="I8" i="11"/>
  <c r="H33" i="11"/>
  <c r="L19" i="11"/>
  <c r="I17" i="11"/>
  <c r="F27" i="11"/>
  <c r="G26" i="11"/>
  <c r="H12" i="11"/>
  <c r="I32" i="11"/>
  <c r="I11" i="11"/>
  <c r="F8" i="11"/>
  <c r="G31" i="11"/>
  <c r="G24" i="11"/>
  <c r="F26" i="11"/>
  <c r="J8" i="11"/>
  <c r="F31" i="11"/>
  <c r="F25" i="11"/>
  <c r="G14" i="11"/>
  <c r="H23" i="11"/>
  <c r="F17" i="11"/>
  <c r="K7" i="11"/>
  <c r="K5" i="11"/>
  <c r="K13" i="11"/>
  <c r="J11" i="11"/>
  <c r="F32" i="11"/>
  <c r="N15" i="11"/>
  <c r="F5" i="11"/>
  <c r="G25" i="11"/>
  <c r="F33" i="11"/>
  <c r="G23" i="11"/>
  <c r="I3" i="11"/>
  <c r="L5" i="11"/>
  <c r="G32" i="11"/>
  <c r="G34" i="11"/>
  <c r="F4" i="11"/>
  <c r="M4" i="11"/>
  <c r="F11" i="11"/>
  <c r="M6" i="11"/>
  <c r="N19" i="11"/>
  <c r="I12" i="11"/>
  <c r="N9" i="11"/>
  <c r="K16" i="11"/>
  <c r="K12" i="11"/>
  <c r="H32" i="11"/>
  <c r="L7" i="11"/>
  <c r="F9" i="11"/>
  <c r="N8" i="11"/>
  <c r="G5" i="11"/>
  <c r="H17" i="11"/>
  <c r="J13" i="11"/>
  <c r="F18" i="11"/>
  <c r="I7" i="11"/>
  <c r="G7" i="11"/>
  <c r="G27" i="11"/>
  <c r="N5" i="11"/>
  <c r="G13" i="11"/>
  <c r="J4" i="11"/>
  <c r="K17" i="11"/>
  <c r="F15" i="11"/>
  <c r="G10" i="11"/>
  <c r="L13" i="11"/>
  <c r="I13" i="11"/>
  <c r="M16" i="11"/>
  <c r="J19" i="11"/>
  <c r="J16" i="11"/>
  <c r="N4" i="11"/>
  <c r="H3" i="11"/>
  <c r="H14" i="11"/>
  <c r="J18" i="11"/>
  <c r="H11" i="11"/>
  <c r="H34" i="11"/>
  <c r="H26" i="11"/>
  <c r="M12" i="11"/>
  <c r="H27" i="11"/>
  <c r="M14" i="11"/>
  <c r="G12" i="11"/>
  <c r="I5" i="11"/>
  <c r="F12" i="11"/>
  <c r="H19" i="11"/>
  <c r="J3" i="11"/>
  <c r="L15" i="11"/>
  <c r="K18" i="11"/>
  <c r="F19" i="11"/>
  <c r="F34" i="11"/>
  <c r="M17" i="11"/>
  <c r="G18" i="11"/>
  <c r="I4" i="11"/>
  <c r="K11" i="11"/>
  <c r="K3" i="11"/>
  <c r="J17" i="11"/>
  <c r="F3" i="11"/>
  <c r="M3" i="11"/>
  <c r="F13" i="11"/>
  <c r="N12" i="11"/>
  <c r="I9" i="11"/>
  <c r="G3" i="11"/>
  <c r="L17" i="11"/>
  <c r="F6" i="11"/>
  <c r="I6" i="11"/>
  <c r="J9" i="11"/>
  <c r="G4" i="11"/>
  <c r="J5" i="11"/>
  <c r="N14" i="11"/>
  <c r="K4" i="11"/>
  <c r="F7" i="11"/>
  <c r="N6" i="11"/>
  <c r="G6" i="11"/>
  <c r="G8" i="11"/>
  <c r="F10" i="11"/>
  <c r="H7" i="11"/>
  <c r="N16" i="11"/>
  <c r="G16" i="11"/>
  <c r="M13" i="11"/>
  <c r="M19" i="11"/>
  <c r="K14" i="11"/>
  <c r="F16" i="11"/>
  <c r="L3" i="11"/>
  <c r="L10" i="11"/>
  <c r="L14" i="11"/>
  <c r="L18" i="11"/>
  <c r="N18" i="11"/>
  <c r="M8" i="11"/>
  <c r="I14" i="11"/>
  <c r="M7" i="11"/>
  <c r="K9" i="11"/>
  <c r="I33" i="11"/>
  <c r="H10" i="11"/>
  <c r="J6" i="11"/>
  <c r="N13" i="11"/>
  <c r="I16" i="11"/>
  <c r="F14" i="11"/>
  <c r="H9" i="11"/>
  <c r="G33" i="11"/>
  <c r="H16" i="11"/>
  <c r="M9" i="11"/>
  <c r="H15" i="11"/>
  <c r="M10" i="11"/>
  <c r="N10" i="11"/>
  <c r="K8" i="11"/>
  <c r="N11" i="11"/>
  <c r="M15" i="11"/>
  <c r="H4" i="11"/>
  <c r="H13" i="11"/>
  <c r="L9" i="11"/>
  <c r="I10" i="11"/>
  <c r="H5" i="11"/>
  <c r="K19" i="11"/>
  <c r="M18" i="11"/>
  <c r="J7" i="11"/>
  <c r="G9" i="11"/>
  <c r="K10" i="11"/>
  <c r="J15" i="11"/>
  <c r="H18" i="11"/>
  <c r="N3" i="11"/>
  <c r="N7" i="11"/>
  <c r="L16" i="11"/>
  <c r="K6" i="11"/>
  <c r="K15" i="11"/>
  <c r="L11" i="11"/>
  <c r="M11" i="11"/>
  <c r="J12" i="11"/>
  <c r="L8" i="11"/>
  <c r="H8" i="11"/>
  <c r="L6" i="11"/>
  <c r="G19" i="11"/>
  <c r="I18" i="11"/>
  <c r="I19" i="11"/>
  <c r="J14" i="11"/>
  <c r="O27" i="11" l="1"/>
  <c r="R27" i="11" s="1"/>
  <c r="S27" i="11" s="1"/>
  <c r="O32" i="11"/>
  <c r="P32" i="11" s="1"/>
  <c r="O26" i="11"/>
  <c r="P26" i="11" s="1"/>
  <c r="O15" i="11"/>
  <c r="R15" i="11" s="1"/>
  <c r="S15" i="11" s="1"/>
  <c r="R26" i="11"/>
  <c r="S26" i="11" s="1"/>
  <c r="O14" i="11"/>
  <c r="O16" i="11"/>
  <c r="O17" i="11"/>
  <c r="O3" i="11"/>
  <c r="O23" i="11"/>
  <c r="P15" i="11"/>
  <c r="O9" i="11"/>
  <c r="O33" i="11"/>
  <c r="O12" i="11"/>
  <c r="O31" i="11"/>
  <c r="O19" i="11"/>
  <c r="O8" i="11"/>
  <c r="O13" i="11"/>
  <c r="O34" i="11"/>
  <c r="O4" i="11"/>
  <c r="O7" i="11"/>
  <c r="O24" i="11"/>
  <c r="O18" i="11"/>
  <c r="O5" i="11"/>
  <c r="O25" i="11"/>
  <c r="O6" i="11"/>
  <c r="O10" i="11"/>
  <c r="O11" i="11"/>
  <c r="R32" i="11" l="1"/>
  <c r="S32" i="11" s="1"/>
  <c r="U32" i="11" s="1"/>
  <c r="V32" i="11" s="1"/>
  <c r="P27" i="11"/>
  <c r="P13" i="11"/>
  <c r="R13" i="11"/>
  <c r="S13" i="11" s="1"/>
  <c r="P16" i="11"/>
  <c r="R16" i="11"/>
  <c r="S16" i="11" s="1"/>
  <c r="U27" i="11"/>
  <c r="V27" i="11" s="1"/>
  <c r="T27" i="11"/>
  <c r="AD27" i="11" s="1"/>
  <c r="R8" i="11"/>
  <c r="S8" i="11" s="1"/>
  <c r="P8" i="11"/>
  <c r="P14" i="11"/>
  <c r="R14" i="11"/>
  <c r="S14" i="11" s="1"/>
  <c r="P6" i="11"/>
  <c r="R6" i="11"/>
  <c r="S6" i="11" s="1"/>
  <c r="R19" i="11"/>
  <c r="S19" i="11" s="1"/>
  <c r="P19" i="11"/>
  <c r="U26" i="11"/>
  <c r="V26" i="11" s="1"/>
  <c r="T26" i="11"/>
  <c r="AD26" i="11" s="1"/>
  <c r="R25" i="11"/>
  <c r="S25" i="11" s="1"/>
  <c r="P25" i="11"/>
  <c r="R31" i="11"/>
  <c r="S31" i="11" s="1"/>
  <c r="P31" i="11"/>
  <c r="R5" i="11"/>
  <c r="S5" i="11" s="1"/>
  <c r="P5" i="11"/>
  <c r="R12" i="11"/>
  <c r="S12" i="11" s="1"/>
  <c r="P12" i="11"/>
  <c r="P18" i="11"/>
  <c r="R18" i="11"/>
  <c r="S18" i="11" s="1"/>
  <c r="R33" i="11"/>
  <c r="S33" i="11" s="1"/>
  <c r="P33" i="11"/>
  <c r="R24" i="11"/>
  <c r="S24" i="11" s="1"/>
  <c r="P24" i="11"/>
  <c r="R9" i="11"/>
  <c r="S9" i="11" s="1"/>
  <c r="P9" i="11"/>
  <c r="R7" i="11"/>
  <c r="S7" i="11" s="1"/>
  <c r="P7" i="11"/>
  <c r="U15" i="11"/>
  <c r="V15" i="11" s="1"/>
  <c r="Z15" i="11" s="1"/>
  <c r="AC15" i="11" s="1"/>
  <c r="T15" i="11"/>
  <c r="R4" i="11"/>
  <c r="S4" i="11" s="1"/>
  <c r="P4" i="11"/>
  <c r="R34" i="11"/>
  <c r="S34" i="11" s="1"/>
  <c r="P34" i="11"/>
  <c r="R23" i="11"/>
  <c r="S23" i="11" s="1"/>
  <c r="P23" i="11"/>
  <c r="P11" i="11"/>
  <c r="R11" i="11"/>
  <c r="S11" i="11" s="1"/>
  <c r="R3" i="11"/>
  <c r="S3" i="11" s="1"/>
  <c r="P3" i="11"/>
  <c r="P10" i="11"/>
  <c r="R10" i="11"/>
  <c r="S10" i="11" s="1"/>
  <c r="P17" i="11"/>
  <c r="R17" i="11"/>
  <c r="S17" i="11" s="1"/>
  <c r="T32" i="11" l="1"/>
  <c r="AD32" i="11" s="1"/>
  <c r="AD15" i="11"/>
  <c r="U3" i="11"/>
  <c r="V3" i="11" s="1"/>
  <c r="Z3" i="11" s="1"/>
  <c r="AC3" i="11" s="1"/>
  <c r="T3" i="11"/>
  <c r="U12" i="11"/>
  <c r="V12" i="11" s="1"/>
  <c r="Z12" i="11" s="1"/>
  <c r="AC12" i="11" s="1"/>
  <c r="T12" i="11"/>
  <c r="U14" i="11"/>
  <c r="V14" i="11" s="1"/>
  <c r="Z14" i="11" s="1"/>
  <c r="AC14" i="11" s="1"/>
  <c r="T14" i="11"/>
  <c r="U7" i="11"/>
  <c r="V7" i="11" s="1"/>
  <c r="Z7" i="11" s="1"/>
  <c r="AC7" i="11" s="1"/>
  <c r="T7" i="11"/>
  <c r="AD7" i="11" s="1"/>
  <c r="T5" i="11"/>
  <c r="U5" i="11"/>
  <c r="V5" i="11" s="1"/>
  <c r="Z5" i="11" s="1"/>
  <c r="AC5" i="11" s="1"/>
  <c r="U11" i="11"/>
  <c r="V11" i="11" s="1"/>
  <c r="Z11" i="11" s="1"/>
  <c r="AC11" i="11" s="1"/>
  <c r="T11" i="11"/>
  <c r="U9" i="11"/>
  <c r="V9" i="11" s="1"/>
  <c r="Z9" i="11" s="1"/>
  <c r="AC9" i="11" s="1"/>
  <c r="T9" i="11"/>
  <c r="U31" i="11"/>
  <c r="V31" i="11" s="1"/>
  <c r="T31" i="11"/>
  <c r="AD31" i="11" s="1"/>
  <c r="T8" i="11"/>
  <c r="U8" i="11"/>
  <c r="V8" i="11" s="1"/>
  <c r="Z8" i="11" s="1"/>
  <c r="AC8" i="11" s="1"/>
  <c r="U16" i="11"/>
  <c r="V16" i="11" s="1"/>
  <c r="Z16" i="11" s="1"/>
  <c r="AC16" i="11" s="1"/>
  <c r="T16" i="11"/>
  <c r="AD16" i="11" s="1"/>
  <c r="T34" i="11"/>
  <c r="AD34" i="11" s="1"/>
  <c r="U34" i="11"/>
  <c r="V34" i="11" s="1"/>
  <c r="U33" i="11"/>
  <c r="V33" i="11" s="1"/>
  <c r="T33" i="11"/>
  <c r="AD33" i="11" s="1"/>
  <c r="T6" i="11"/>
  <c r="U6" i="11"/>
  <c r="V6" i="11" s="1"/>
  <c r="Z6" i="11" s="1"/>
  <c r="AC6" i="11" s="1"/>
  <c r="U23" i="11"/>
  <c r="V23" i="11" s="1"/>
  <c r="T23" i="11"/>
  <c r="AD23" i="11" s="1"/>
  <c r="T24" i="11"/>
  <c r="AD24" i="11" s="1"/>
  <c r="U24" i="11"/>
  <c r="V24" i="11" s="1"/>
  <c r="U25" i="11"/>
  <c r="V25" i="11" s="1"/>
  <c r="T25" i="11"/>
  <c r="AD25" i="11" s="1"/>
  <c r="U17" i="11"/>
  <c r="V17" i="11" s="1"/>
  <c r="Z17" i="11" s="1"/>
  <c r="AC17" i="11" s="1"/>
  <c r="T17" i="11"/>
  <c r="T10" i="11"/>
  <c r="U10" i="11"/>
  <c r="V10" i="11" s="1"/>
  <c r="Z10" i="11" s="1"/>
  <c r="AC10" i="11" s="1"/>
  <c r="U18" i="11"/>
  <c r="V18" i="11" s="1"/>
  <c r="Z18" i="11" s="1"/>
  <c r="AC18" i="11" s="1"/>
  <c r="T18" i="11"/>
  <c r="U13" i="11"/>
  <c r="V13" i="11" s="1"/>
  <c r="Z13" i="11" s="1"/>
  <c r="AC13" i="11" s="1"/>
  <c r="T13" i="11"/>
  <c r="AD13" i="11" s="1"/>
  <c r="T4" i="11"/>
  <c r="U4" i="11"/>
  <c r="V4" i="11" s="1"/>
  <c r="Z4" i="11" s="1"/>
  <c r="AC4" i="11" s="1"/>
  <c r="T19" i="11"/>
  <c r="U19" i="11"/>
  <c r="V19" i="11" s="1"/>
  <c r="Z19" i="11" s="1"/>
  <c r="AC19" i="11" s="1"/>
  <c r="AD12" i="11" l="1"/>
  <c r="AD9" i="11"/>
  <c r="AD14" i="11"/>
  <c r="AD18" i="11"/>
  <c r="AD17" i="11"/>
  <c r="AD11" i="11"/>
  <c r="AD10" i="11"/>
  <c r="AD19" i="11"/>
  <c r="AD4" i="11"/>
  <c r="AD5" i="11"/>
  <c r="AD8" i="11"/>
  <c r="AD3" i="11"/>
  <c r="E30" i="12"/>
  <c r="AD6" i="11"/>
  <c r="C36" i="15" l="1"/>
  <c r="H36" i="15" s="1"/>
  <c r="G30" i="12"/>
  <c r="C37" i="15" l="1"/>
  <c r="D36" i="15"/>
  <c r="E36" i="15" s="1"/>
  <c r="F36" i="15" s="1"/>
  <c r="G36" i="15" s="1"/>
  <c r="C18" i="15"/>
  <c r="D18" i="15"/>
  <c r="C40" i="15"/>
  <c r="H30" i="12"/>
  <c r="G34" i="12"/>
  <c r="D37" i="15" l="1"/>
  <c r="E37" i="15" s="1"/>
  <c r="F37" i="15" s="1"/>
  <c r="G37" i="15" s="1"/>
  <c r="I3" i="14"/>
  <c r="E18" i="15"/>
  <c r="F18" i="15" s="1"/>
  <c r="C42" i="15"/>
  <c r="D40" i="15"/>
  <c r="E40" i="15" s="1"/>
  <c r="F40" i="15" s="1"/>
  <c r="G40" i="15" s="1"/>
  <c r="I30" i="12"/>
  <c r="H34" i="12"/>
  <c r="D6" i="13"/>
  <c r="G18" i="15" l="1"/>
  <c r="C43" i="15"/>
  <c r="C21" i="15" s="1"/>
  <c r="D42" i="15"/>
  <c r="E42" i="15" s="1"/>
  <c r="F42" i="15" s="1"/>
  <c r="G42" i="15" s="1"/>
  <c r="E6" i="13"/>
  <c r="J30" i="12"/>
  <c r="I34" i="12"/>
  <c r="C17" i="15" l="1"/>
  <c r="C44" i="15"/>
  <c r="D43" i="15"/>
  <c r="F6" i="13"/>
  <c r="K30" i="12"/>
  <c r="K34" i="12" s="1"/>
  <c r="J34" i="12"/>
  <c r="E43" i="15" l="1"/>
  <c r="D21" i="15"/>
  <c r="I4" i="14"/>
  <c r="I6" i="14"/>
  <c r="C16" i="15"/>
  <c r="I8" i="14"/>
  <c r="D17" i="15"/>
  <c r="D44" i="15"/>
  <c r="C31" i="15"/>
  <c r="C27" i="15" s="1"/>
  <c r="G6" i="13"/>
  <c r="H6" i="13"/>
  <c r="N21" i="9"/>
  <c r="I9" i="14" l="1"/>
  <c r="C32" i="15"/>
  <c r="C10" i="15" s="1"/>
  <c r="E44" i="15"/>
  <c r="D31" i="15"/>
  <c r="D27" i="15" s="1"/>
  <c r="D32" i="15" s="1"/>
  <c r="F43" i="15"/>
  <c r="E21" i="15"/>
  <c r="E17" i="15" s="1"/>
  <c r="D16" i="15"/>
  <c r="E8" i="12"/>
  <c r="G8" i="12" s="1"/>
  <c r="N20" i="9"/>
  <c r="C11" i="15" l="1"/>
  <c r="D11" i="15" s="1"/>
  <c r="E11" i="15" s="1"/>
  <c r="F11" i="15" s="1"/>
  <c r="G11" i="15" s="1"/>
  <c r="G43" i="15"/>
  <c r="G21" i="15" s="1"/>
  <c r="G17" i="15" s="1"/>
  <c r="F21" i="15"/>
  <c r="F17" i="15" s="1"/>
  <c r="F44" i="15"/>
  <c r="E31" i="15"/>
  <c r="E27" i="15" s="1"/>
  <c r="E32" i="15" s="1"/>
  <c r="D10" i="15"/>
  <c r="E16" i="15"/>
  <c r="H8" i="12"/>
  <c r="G25" i="12"/>
  <c r="C9" i="15" l="1"/>
  <c r="I12" i="14"/>
  <c r="I13" i="14"/>
  <c r="I11" i="14"/>
  <c r="G44" i="15"/>
  <c r="G31" i="15" s="1"/>
  <c r="G27" i="15" s="1"/>
  <c r="G32" i="15" s="1"/>
  <c r="F31" i="15"/>
  <c r="F27" i="15" s="1"/>
  <c r="F32" i="15" s="1"/>
  <c r="F16" i="15"/>
  <c r="G16" i="15"/>
  <c r="E10" i="15"/>
  <c r="D9" i="15"/>
  <c r="D8" i="15" s="1"/>
  <c r="D5" i="13"/>
  <c r="G36" i="12"/>
  <c r="H25" i="12"/>
  <c r="H26" i="12" s="1"/>
  <c r="I8" i="12"/>
  <c r="F10" i="15" l="1"/>
  <c r="E9" i="15"/>
  <c r="E8" i="15" s="1"/>
  <c r="J8" i="12"/>
  <c r="I25" i="12"/>
  <c r="I26" i="12" s="1"/>
  <c r="H36" i="12"/>
  <c r="E5" i="13"/>
  <c r="E7" i="13" s="1"/>
  <c r="E8" i="13" s="1"/>
  <c r="D7" i="13"/>
  <c r="G10" i="15" l="1"/>
  <c r="G9" i="15" s="1"/>
  <c r="G8" i="15" s="1"/>
  <c r="F9" i="15"/>
  <c r="F8" i="15" s="1"/>
  <c r="D8" i="13"/>
  <c r="I36" i="12"/>
  <c r="F5" i="13"/>
  <c r="F7" i="13" s="1"/>
  <c r="F8" i="13" s="1"/>
  <c r="K8" i="12"/>
  <c r="K25" i="12" s="1"/>
  <c r="K26" i="12" s="1"/>
  <c r="J25" i="12"/>
  <c r="J26" i="12" s="1"/>
  <c r="K36" i="12" l="1"/>
  <c r="G38" i="12" s="1"/>
  <c r="H5" i="13"/>
  <c r="H7" i="13" s="1"/>
  <c r="H8" i="13" s="1"/>
  <c r="J36" i="12"/>
  <c r="G5" i="13"/>
  <c r="G7" i="13" s="1"/>
  <c r="G8" i="13" s="1"/>
  <c r="C10" i="13" l="1"/>
  <c r="C11" i="13"/>
  <c r="C8" i="15"/>
  <c r="G17" i="17"/>
  <c r="G9" i="17"/>
  <c r="G15" i="17"/>
  <c r="G8" i="17"/>
  <c r="G13" i="17"/>
  <c r="G14" i="17"/>
  <c r="G12" i="17"/>
  <c r="G19" i="17"/>
  <c r="G5" i="17"/>
  <c r="G6" i="17"/>
  <c r="G18" i="17"/>
  <c r="I4" i="17"/>
  <c r="G16" i="17"/>
  <c r="G7" i="17"/>
  <c r="G11" i="17"/>
  <c r="G10" i="17"/>
  <c r="G21" i="17" l="1"/>
  <c r="K21" i="17" s="1"/>
  <c r="I16" i="17"/>
  <c r="I10" i="17"/>
  <c r="I5" i="14"/>
  <c r="I7" i="14"/>
  <c r="I10" i="14"/>
  <c r="I14" i="14"/>
  <c r="K13" i="17"/>
  <c r="L13" i="17" s="1"/>
  <c r="I18" i="17"/>
  <c r="K18" i="17"/>
  <c r="L18" i="17" s="1"/>
  <c r="K10" i="17"/>
  <c r="L10" i="17" s="1"/>
  <c r="I6" i="17"/>
  <c r="K6" i="17"/>
  <c r="L6" i="17" s="1"/>
  <c r="K8" i="17"/>
  <c r="L8" i="17" s="1"/>
  <c r="I5" i="17"/>
  <c r="R5" i="17"/>
  <c r="K5" i="17"/>
  <c r="L5" i="17" s="1"/>
  <c r="K15" i="17"/>
  <c r="L15" i="17" s="1"/>
  <c r="K11" i="17"/>
  <c r="L11" i="17" s="1"/>
  <c r="I11" i="17"/>
  <c r="K9" i="17"/>
  <c r="L9" i="17" s="1"/>
  <c r="K12" i="17"/>
  <c r="L12" i="17" s="1"/>
  <c r="I17" i="17"/>
  <c r="K17" i="17"/>
  <c r="L17" i="17" s="1"/>
  <c r="K19" i="17"/>
  <c r="L19" i="17" s="1"/>
  <c r="K14" i="17"/>
  <c r="L14" i="17" s="1"/>
  <c r="K7" i="17"/>
  <c r="L7" i="17" s="1"/>
  <c r="K16" i="17"/>
  <c r="L16" i="17" s="1"/>
  <c r="I14" i="17"/>
  <c r="I13" i="17"/>
  <c r="I7" i="17"/>
  <c r="I8" i="17"/>
  <c r="I12" i="17"/>
  <c r="I19" i="17"/>
  <c r="I15" i="17"/>
  <c r="I9" i="17"/>
  <c r="L21" i="17" l="1"/>
  <c r="I21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tc={E949A799-6A2E-4E49-B34B-2E5FCD3D4F0F}</author>
  </authors>
  <commentList>
    <comment ref="B9" authorId="0" shapeId="0" xr:uid="{E949A799-6A2E-4E49-B34B-2E5FCD3D4F0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con proyección de indicadores financieros por escenarios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<sst xmlns="http://schemas.openxmlformats.org/spreadsheetml/2006/main" count="1809" uniqueCount="533">
  <si>
    <t>Unidad</t>
  </si>
  <si>
    <t>Medida</t>
  </si>
  <si>
    <t>Global</t>
  </si>
  <si>
    <t>Unidades</t>
  </si>
  <si>
    <t>Toneladas</t>
  </si>
  <si>
    <t>Gramos</t>
  </si>
  <si>
    <t>Kilogramos</t>
  </si>
  <si>
    <t>Litros</t>
  </si>
  <si>
    <t>Mililitros</t>
  </si>
  <si>
    <t>Metros</t>
  </si>
  <si>
    <t>Centimetros</t>
  </si>
  <si>
    <t>Mes</t>
  </si>
  <si>
    <t>Ubicación</t>
  </si>
  <si>
    <t>Estructura de egresos</t>
  </si>
  <si>
    <t>Costos de producción</t>
  </si>
  <si>
    <t>C. Prod.</t>
  </si>
  <si>
    <t>Gastos de  de administración y venta</t>
  </si>
  <si>
    <t>G. AyV</t>
  </si>
  <si>
    <t>Inversión total</t>
  </si>
  <si>
    <t>Inver.</t>
  </si>
  <si>
    <t>Estudio Financiero</t>
  </si>
  <si>
    <t>Precio del Producto</t>
  </si>
  <si>
    <t>$ Producto</t>
  </si>
  <si>
    <t>Presupuestos</t>
  </si>
  <si>
    <t>Presu.</t>
  </si>
  <si>
    <t>Flujo de caja explicado a 5 años como mínimo</t>
  </si>
  <si>
    <t>Flujo</t>
  </si>
  <si>
    <t>Estados Financieros Preliminares</t>
  </si>
  <si>
    <t>Capital de Inversión y financiamiento necesario</t>
  </si>
  <si>
    <t>Estados finan</t>
  </si>
  <si>
    <t>Indicadores de Evaluación Financiera</t>
  </si>
  <si>
    <t>Indicadores</t>
  </si>
  <si>
    <t>Razones Financieras</t>
  </si>
  <si>
    <t>Rentabilidad, Solvencia, Liquidez y Apalancamiento</t>
  </si>
  <si>
    <t>Razones</t>
  </si>
  <si>
    <t>Punto de Equilibrio</t>
  </si>
  <si>
    <t>Cobertura de costo y Reparto de Utilidades</t>
  </si>
  <si>
    <t>Pto. Equi.</t>
  </si>
  <si>
    <t>Dar un promedio de producción (tanda) diaria de cada producto.
Relacionar la cantidad de insumos (gramos o mililitros u otros)por tanda de productos en la columna de notas.</t>
  </si>
  <si>
    <t>Para las donas</t>
  </si>
  <si>
    <t>para café y jugos</t>
  </si>
  <si>
    <t>para jugos</t>
  </si>
  <si>
    <t>para café y jugo en leche</t>
  </si>
  <si>
    <t>para todos los productos</t>
  </si>
  <si>
    <t>Productos</t>
  </si>
  <si>
    <t>Egreso</t>
  </si>
  <si>
    <t>Tipo</t>
  </si>
  <si>
    <t>Insumos</t>
  </si>
  <si>
    <t>Notas</t>
  </si>
  <si>
    <t>Und</t>
  </si>
  <si>
    <t>Cantidad</t>
  </si>
  <si>
    <t>Valor unitario</t>
  </si>
  <si>
    <t>Valor
total</t>
  </si>
  <si>
    <t>Dona sin
relleno</t>
  </si>
  <si>
    <t>Dona con
relleno</t>
  </si>
  <si>
    <t>Mini
donas</t>
  </si>
  <si>
    <t>Café JV</t>
  </si>
  <si>
    <t>Jugo
agua</t>
  </si>
  <si>
    <t>Jugo
leche</t>
  </si>
  <si>
    <t>Bebida otras marcas</t>
  </si>
  <si>
    <t>Costos</t>
  </si>
  <si>
    <t>Cv</t>
  </si>
  <si>
    <t>Aceite</t>
  </si>
  <si>
    <t>mililitros</t>
  </si>
  <si>
    <t>Harina</t>
  </si>
  <si>
    <t>gramos</t>
  </si>
  <si>
    <t>Levadura</t>
  </si>
  <si>
    <t>Maní</t>
  </si>
  <si>
    <t>Chocolate (negro)</t>
  </si>
  <si>
    <t>Chocolate (blanco)</t>
  </si>
  <si>
    <t>Cobertura glass</t>
  </si>
  <si>
    <t>Crema de avellana</t>
  </si>
  <si>
    <t>Arequipe</t>
  </si>
  <si>
    <t>Galleta oreo</t>
  </si>
  <si>
    <t>unidad</t>
  </si>
  <si>
    <t>Golochip</t>
  </si>
  <si>
    <t>Moritas</t>
  </si>
  <si>
    <t>Gragea de palitos</t>
  </si>
  <si>
    <t>Gragea de colores</t>
  </si>
  <si>
    <t>Relleno de fresa</t>
  </si>
  <si>
    <t>Relleno de mora</t>
  </si>
  <si>
    <t>Relleno de frutos amarillos</t>
  </si>
  <si>
    <t>Pulpa de lulo</t>
  </si>
  <si>
    <t>Pulpa de mora</t>
  </si>
  <si>
    <t>Lacto suero</t>
  </si>
  <si>
    <t>Bebida otras marcas(Coca - cola)</t>
  </si>
  <si>
    <t>Bebida otras marcas(Ginger)</t>
  </si>
  <si>
    <t>Bebida otras marcas(Manzana)</t>
  </si>
  <si>
    <t>Bebida otras marcas(agua botella)</t>
  </si>
  <si>
    <t>Cf</t>
  </si>
  <si>
    <t>Papel parafinado</t>
  </si>
  <si>
    <t>centímetros</t>
  </si>
  <si>
    <t>Servilletas</t>
  </si>
  <si>
    <t>Stickers</t>
  </si>
  <si>
    <t>Tarjetas</t>
  </si>
  <si>
    <t>Botellón de agua</t>
  </si>
  <si>
    <t>Cajas x 4</t>
  </si>
  <si>
    <t>Cajas x 6</t>
  </si>
  <si>
    <t>Cajas x 8</t>
  </si>
  <si>
    <t>Cajas x 10</t>
  </si>
  <si>
    <t>Ss público (gas)</t>
  </si>
  <si>
    <t>mes</t>
  </si>
  <si>
    <t>Mano de obra (Chef)</t>
  </si>
  <si>
    <t>Gastos</t>
  </si>
  <si>
    <t>Admin</t>
  </si>
  <si>
    <t>Arriendo</t>
  </si>
  <si>
    <t>Ss público (energía/aseo)</t>
  </si>
  <si>
    <t>Gerente (Crespa)</t>
  </si>
  <si>
    <t>Servicio telefónico</t>
  </si>
  <si>
    <t>Vent</t>
  </si>
  <si>
    <t>Bolsa papel</t>
  </si>
  <si>
    <t>Azúcar (por bolsa)</t>
  </si>
  <si>
    <t>Azúcar (por sachet)</t>
  </si>
  <si>
    <t>Chantilly</t>
  </si>
  <si>
    <t>Operaria (caja y atención)</t>
  </si>
  <si>
    <t>Inversion_PPE</t>
  </si>
  <si>
    <t>Adecuaciones</t>
  </si>
  <si>
    <t>Mejoras al local</t>
  </si>
  <si>
    <t>Mueb. y ense.</t>
  </si>
  <si>
    <t xml:space="preserve">Sillas </t>
  </si>
  <si>
    <t>Comunic.</t>
  </si>
  <si>
    <t>Computadora y celular</t>
  </si>
  <si>
    <t>Procesos</t>
  </si>
  <si>
    <t>Mojadora</t>
  </si>
  <si>
    <t>Ctrl. calidad</t>
  </si>
  <si>
    <t>Pesas, termómetros y demás</t>
  </si>
  <si>
    <t>Transp.</t>
  </si>
  <si>
    <t>Chevrolet N300</t>
  </si>
  <si>
    <t xml:space="preserve">Mesas </t>
  </si>
  <si>
    <t>Vitrina</t>
  </si>
  <si>
    <t>Lavaplatos</t>
  </si>
  <si>
    <t xml:space="preserve">Recipientes decoración </t>
  </si>
  <si>
    <t xml:space="preserve">Cubiertería </t>
  </si>
  <si>
    <t>Platos</t>
  </si>
  <si>
    <t>Vasos</t>
  </si>
  <si>
    <t xml:space="preserve">Pocillos </t>
  </si>
  <si>
    <t>Ventilador</t>
  </si>
  <si>
    <t>Eq. Computo y comunic.</t>
  </si>
  <si>
    <t>Computador</t>
  </si>
  <si>
    <t>Impresora pos / caja regitradora</t>
  </si>
  <si>
    <t>Sofward pos</t>
  </si>
  <si>
    <t xml:space="preserve">Celular </t>
  </si>
  <si>
    <t>Detector Billetes falsos</t>
  </si>
  <si>
    <t>Cámaras</t>
  </si>
  <si>
    <t>Eq. Procesos</t>
  </si>
  <si>
    <t xml:space="preserve">Cafetera </t>
  </si>
  <si>
    <t>Nevera</t>
  </si>
  <si>
    <t>Waflera</t>
  </si>
  <si>
    <t>Horno</t>
  </si>
  <si>
    <t>Cilindradora</t>
  </si>
  <si>
    <t>Freidora</t>
  </si>
  <si>
    <t>Rodillos</t>
  </si>
  <si>
    <t xml:space="preserve">Mesas acero </t>
  </si>
  <si>
    <t>Eq. Ctrl. calidad</t>
  </si>
  <si>
    <t>Termómetro digital de sonda</t>
  </si>
  <si>
    <t>Gramera</t>
  </si>
  <si>
    <t>Cronómetro</t>
  </si>
  <si>
    <t>Eq. Transporte</t>
  </si>
  <si>
    <t>Presentación y valor de compra</t>
  </si>
  <si>
    <t>Producto</t>
  </si>
  <si>
    <t>Presentación</t>
  </si>
  <si>
    <t>Valor</t>
  </si>
  <si>
    <t>Alcance</t>
  </si>
  <si>
    <t>Cv x u</t>
  </si>
  <si>
    <t>Donas</t>
  </si>
  <si>
    <t>Jugos</t>
  </si>
  <si>
    <t>Leche</t>
  </si>
  <si>
    <t>Café</t>
  </si>
  <si>
    <t>Jugos y café</t>
  </si>
  <si>
    <t>Gaseosas</t>
  </si>
  <si>
    <t>Coca-cola</t>
  </si>
  <si>
    <t>Ginger</t>
  </si>
  <si>
    <t>Manzana</t>
  </si>
  <si>
    <t>Agua botella</t>
  </si>
  <si>
    <t>Valor de pago mes</t>
  </si>
  <si>
    <t>Todos</t>
  </si>
  <si>
    <t>Mano de obra</t>
  </si>
  <si>
    <t>Salario</t>
  </si>
  <si>
    <t>Aux. Transporte</t>
  </si>
  <si>
    <t>Aportes A La Seguridad Social</t>
  </si>
  <si>
    <t>Pensiones (AFP)</t>
  </si>
  <si>
    <t>Salud (EPS)</t>
  </si>
  <si>
    <t>Riesgos Laborales (ARL)</t>
  </si>
  <si>
    <t>Parafiscales</t>
  </si>
  <si>
    <t>Caja de compensación familiar</t>
  </si>
  <si>
    <t xml:space="preserve">Analisis vertial ( tasa de participación) indicando los insumos que más relevancia tienen el el presupuesto y dime algo más sobre la estructura de costos </t>
  </si>
  <si>
    <t>Gastos de administración y venta</t>
  </si>
  <si>
    <t>Valor Total</t>
  </si>
  <si>
    <t>Valor mes</t>
  </si>
  <si>
    <t>Cesantías (Prest. Soc.)</t>
  </si>
  <si>
    <t>Intereses sobre cesantías (Prest. Soc.)</t>
  </si>
  <si>
    <t xml:space="preserve">último parrafo ya general </t>
  </si>
  <si>
    <t>Primas (Prest. Soc.)</t>
  </si>
  <si>
    <t>Vacaciones (Prest. Soc.)</t>
  </si>
  <si>
    <t xml:space="preserve">analizar la estructura de gastos de Sr Donuts, explicando cuales son los de mayor participación, su posible recurrencia y alguans estrategías de eficiencia que se puedan desarrollar. </t>
  </si>
  <si>
    <t>Estructura de gastos del primer periodo de producción y los años siguientes se calulan a partir de la inflación esperada.</t>
  </si>
  <si>
    <t>Vendedor(a)</t>
  </si>
  <si>
    <t>Inversión</t>
  </si>
  <si>
    <t>Menaje</t>
  </si>
  <si>
    <t xml:space="preserve">detalla en un parrafo el analisis sobre la estructura relacionando los items de mayor participacion (%) definiciendo su posible inscidencia en la actividad recurrente de la empresa. </t>
  </si>
  <si>
    <t>Revisión:</t>
  </si>
  <si>
    <t>N.</t>
  </si>
  <si>
    <t>Precio</t>
  </si>
  <si>
    <t>Cosotos fijos</t>
  </si>
  <si>
    <t>%</t>
  </si>
  <si>
    <t>Choco maní</t>
  </si>
  <si>
    <t>Oreo</t>
  </si>
  <si>
    <t>Homero S</t>
  </si>
  <si>
    <t>Morita</t>
  </si>
  <si>
    <t>R. avellana</t>
  </si>
  <si>
    <t>Cargo</t>
  </si>
  <si>
    <t>Costo</t>
  </si>
  <si>
    <t>R. arequipe</t>
  </si>
  <si>
    <t>R. fresa</t>
  </si>
  <si>
    <t>R. mora</t>
  </si>
  <si>
    <t>R. frutos amarillos</t>
  </si>
  <si>
    <t>Jugo lulo</t>
  </si>
  <si>
    <t>Jugo mora</t>
  </si>
  <si>
    <t>Taza de café</t>
  </si>
  <si>
    <t>CT</t>
  </si>
  <si>
    <t>Costo total</t>
  </si>
  <si>
    <t>%U</t>
  </si>
  <si>
    <t>Ganancia</t>
  </si>
  <si>
    <t>$</t>
  </si>
  <si>
    <t>Precio producto</t>
  </si>
  <si>
    <t xml:space="preserve">Pegar todas y decir: Has una revisión de los insumos claves en la la elbapración de productos de Sr Donuts para su producción. Así mismo detalla la composición entre costos fijos y variables para la producción mes de Sr Donuts </t>
  </si>
  <si>
    <t>Total</t>
  </si>
  <si>
    <t>Requerimiento</t>
  </si>
  <si>
    <t>Pedido requerido</t>
  </si>
  <si>
    <t>Pedido realizado</t>
  </si>
  <si>
    <t>Sobrante para sgte mes</t>
  </si>
  <si>
    <t>No siempre se presenta esta cantidad, es una estimación, 
hay realmente mermas que algunas veces no dejan tener un sobrante y reduce la cantidad estimada
Muchas veces no se traslada para el siguiente periodo sino se aprovechan para el impulso de la marca(cortesia, pruebas, promociones, ñapa).</t>
  </si>
  <si>
    <t>Cada</t>
  </si>
  <si>
    <t>meses</t>
  </si>
  <si>
    <t xml:space="preserve">Pegar la tabla y el texto que escribio leo, de los residuos. </t>
  </si>
  <si>
    <t xml:space="preserve">Con relación a la tabla y texto anterior amplia la explicación en la diferencia entre pedido requerido, pedido realizado, alcance de producción y mermas o sobrantes para muestras o cortesías en el ejercicio continuo de la empresa. </t>
  </si>
  <si>
    <t>Inflación (esperada)</t>
  </si>
  <si>
    <t>PIB sector (promediado)</t>
  </si>
  <si>
    <t>Crecimiento esperado</t>
  </si>
  <si>
    <t>Ingreso año</t>
  </si>
  <si>
    <t>Cant.</t>
  </si>
  <si>
    <t>Total Ingresos</t>
  </si>
  <si>
    <t>Egreso por año</t>
  </si>
  <si>
    <t>Invers., cost. y gast.</t>
  </si>
  <si>
    <t xml:space="preserve">Solo pegar esta en el trabajo </t>
  </si>
  <si>
    <t>Total Egresos</t>
  </si>
  <si>
    <t>Saldos</t>
  </si>
  <si>
    <t xml:space="preserve">Con relación a la info de la tablas de ingreso y egeresos, realiza un analisis de costos, gastos e inversión, la tasa de particiáción ( analsisi vertical) de cada uno de los rubros en el total de egresos, su variación anual y la posible distribución de saldos por mes entre 2 socios y su tasa de crecimiento en el tiempo, aconteciendo al final la consideración de como con el pasar del tiempo los socios pueden optar retirarse al empezar a ganar lo suficiente por dividendos y abrir paso en laparte administrativa a nuevos empleados que implementen diferentes estrategias y visiones para seguir escalonando el modelo de negocio a partir de nuevas experiencias. </t>
  </si>
  <si>
    <t>Estado de la situación financiera</t>
  </si>
  <si>
    <t>Activos</t>
  </si>
  <si>
    <t>Activos corrientes</t>
  </si>
  <si>
    <t>Efectivo y equivalentes al efectivo</t>
  </si>
  <si>
    <t>Inventarios corrientes</t>
  </si>
  <si>
    <t>Otros activos financieros corrientes</t>
  </si>
  <si>
    <t>Activos no corrientes</t>
  </si>
  <si>
    <t>Propiedades, planta y equipo</t>
  </si>
  <si>
    <t>Activos intangibles distintos de plusvalía</t>
  </si>
  <si>
    <t>Pasivos</t>
  </si>
  <si>
    <t>Pasivos corrientes</t>
  </si>
  <si>
    <t>Cuentas por pagar comerciales y otras cuentas por pagar</t>
  </si>
  <si>
    <t>Otros pasivos financieros corrientes</t>
  </si>
  <si>
    <t>Otros pasivos no financieros corrientes</t>
  </si>
  <si>
    <t>Pasivos por impuestos corrientes, corriente</t>
  </si>
  <si>
    <t>Otras provisiones corrientes</t>
  </si>
  <si>
    <t>Pasivos no corrientes</t>
  </si>
  <si>
    <t>Pasivo por impuestos diferidos</t>
  </si>
  <si>
    <t>Otros pasivos no financieros no corrientes</t>
  </si>
  <si>
    <t>Otros pasivos financieros no corrientes</t>
  </si>
  <si>
    <t>Patrimonio</t>
  </si>
  <si>
    <t>Capital emitido</t>
  </si>
  <si>
    <t>Superavit por revaluación</t>
  </si>
  <si>
    <t>Otras reservas</t>
  </si>
  <si>
    <t>Ganancias acumuladas</t>
  </si>
  <si>
    <t>Patrimonio y pasivos</t>
  </si>
  <si>
    <t>Estado de Resultados Integral</t>
  </si>
  <si>
    <t>Ingresos de actividades ordinarias</t>
  </si>
  <si>
    <t>Costo de ventas</t>
  </si>
  <si>
    <t>Ganancia bruta</t>
  </si>
  <si>
    <t>Gastos de administración</t>
  </si>
  <si>
    <t>Gastos de venta</t>
  </si>
  <si>
    <t>Ganancia (pérdida) por actividades de operación</t>
  </si>
  <si>
    <t>Otros ingresos</t>
  </si>
  <si>
    <t>Ganancia (pérdida), antes de impuestos</t>
  </si>
  <si>
    <t>Ganancia (pérdida) neta</t>
  </si>
  <si>
    <t>año 1</t>
  </si>
  <si>
    <t>año 2</t>
  </si>
  <si>
    <t>año 3</t>
  </si>
  <si>
    <t>año 4</t>
  </si>
  <si>
    <t>año 5</t>
  </si>
  <si>
    <t>TIO</t>
  </si>
  <si>
    <t>TIR</t>
  </si>
  <si>
    <t>VAN</t>
  </si>
  <si>
    <t>Grupo</t>
  </si>
  <si>
    <t>Indicador</t>
  </si>
  <si>
    <t>Argumento 1</t>
  </si>
  <si>
    <t>Argumento 3</t>
  </si>
  <si>
    <t>1er año</t>
  </si>
  <si>
    <t>Parametrización</t>
  </si>
  <si>
    <t>Rentabilidad</t>
  </si>
  <si>
    <t>De rentabilidad</t>
  </si>
  <si>
    <t>Margen bruto</t>
  </si>
  <si>
    <t>/</t>
  </si>
  <si>
    <t>Porcentaje</t>
  </si>
  <si>
    <t>Permite conocer la eficacia operativa de la empresa (entre mayor sea se han cubierto los costos, se podrán cubir los gastos y quedar beneficios a distribuir.</t>
  </si>
  <si>
    <t>Margen neto</t>
  </si>
  <si>
    <t>&gt; 1 quiere decir que los gastos han sido mayores que el beneficio.</t>
  </si>
  <si>
    <t>ROA</t>
  </si>
  <si>
    <t>Debe ser superior al coste del dinero</t>
  </si>
  <si>
    <t>ROE</t>
  </si>
  <si>
    <t>ROE &gt; ROA → mayor rentabilidad financiera : ROE = ROA → la empresa no tiene deudas : ROE &lt; ROA → el coste medio de la deuda es superior a la rentabilidad.</t>
  </si>
  <si>
    <t>Solvencia</t>
  </si>
  <si>
    <t>De solvencia</t>
  </si>
  <si>
    <t>Grado de endeudamiento total</t>
  </si>
  <si>
    <t>&lt; 100% que las deudas de la empresa no superen sus activos (Debe analizarse de acuerdo al tipo de empresa)</t>
  </si>
  <si>
    <t>Endeudamiento CP sobre patrimonio</t>
  </si>
  <si>
    <t>Tanto por uno : número de veces</t>
  </si>
  <si>
    <t>≥ 20-30% → buen poder de negociación a corto plazo. Depende del Momento en la vida de la empresa y del tamaño (volumen de actividad).</t>
  </si>
  <si>
    <t>Apalancamiento</t>
  </si>
  <si>
    <t>&lt; 1, a la capacidad de cobertura de obligaciones con terceros.</t>
  </si>
  <si>
    <t>Grado de propiedad</t>
  </si>
  <si>
    <t>Participación de los accionistas en la empresa frente a terceros (es bueno que sea la mitad +1)</t>
  </si>
  <si>
    <t>Liquidez</t>
  </si>
  <si>
    <t>De liquidez</t>
  </si>
  <si>
    <t>Capital de trabajo</t>
  </si>
  <si>
    <t xml:space="preserve"> -</t>
  </si>
  <si>
    <t>≥ 0 es equilibrio financiero.</t>
  </si>
  <si>
    <t>Ratio corriente</t>
  </si>
  <si>
    <t>&gt; 1 hay solvencia para cumplir con obligaciones a corto plazo.</t>
  </si>
  <si>
    <t>Prueba acida</t>
  </si>
  <si>
    <t>&gt; 1 hay capacidad para cumplir con obligaciones a corto plazo.</t>
  </si>
  <si>
    <t>Relevancia Activo Corriente</t>
  </si>
  <si>
    <r>
      <t xml:space="preserve">en empresas de rotación de inventarios de corto plazo </t>
    </r>
    <r>
      <rPr>
        <sz val="11"/>
        <color rgb="FF000000"/>
        <rFont val="Arial"/>
        <family val="2"/>
      </rPr>
      <t>≤</t>
    </r>
    <r>
      <rPr>
        <sz val="10"/>
        <color rgb="FF000000"/>
        <rFont val="Aptos Narrow"/>
        <scheme val="minor"/>
      </rPr>
      <t>33.33% de largo plazo &gt; 33,33%</t>
    </r>
  </si>
  <si>
    <t>Pedir uno a uno, y despu</t>
  </si>
  <si>
    <t>Pe = Cf  /  [ Pv(u) - Cv(u) ]</t>
  </si>
  <si>
    <t>Pv(u)</t>
  </si>
  <si>
    <t>Cv(u)</t>
  </si>
  <si>
    <t>→</t>
  </si>
  <si>
    <t>Punto de equilibrio</t>
  </si>
  <si>
    <t>Cant. de equilibrio</t>
  </si>
  <si>
    <t>Costos cubiertos</t>
  </si>
  <si>
    <t>Q</t>
  </si>
  <si>
    <t>IT</t>
  </si>
  <si>
    <t>U</t>
  </si>
  <si>
    <t xml:space="preserve"> =</t>
  </si>
  <si>
    <t xml:space="preserve"> + </t>
  </si>
  <si>
    <t>P</t>
  </si>
  <si>
    <t>*</t>
  </si>
  <si>
    <t>Datos Generales</t>
  </si>
  <si>
    <t>Industrial</t>
  </si>
  <si>
    <t>Nombre de la empresa:</t>
  </si>
  <si>
    <t>Sr Donuts</t>
  </si>
  <si>
    <t>Promedio</t>
  </si>
  <si>
    <t>Inflación</t>
  </si>
  <si>
    <t>Estudio de viabilidad:</t>
  </si>
  <si>
    <t>PIB sector</t>
  </si>
  <si>
    <t>Amortizable en:</t>
  </si>
  <si>
    <t>Sección I - Proyección de Ingresos</t>
  </si>
  <si>
    <t>Año</t>
  </si>
  <si>
    <t>Ventas (Und)</t>
  </si>
  <si>
    <t>Precio c/Und.</t>
  </si>
  <si>
    <t>Ingreso esperado</t>
  </si>
  <si>
    <t>Prod. 1</t>
  </si>
  <si>
    <t>Dona con relleno</t>
  </si>
  <si>
    <t>Prod. 2</t>
  </si>
  <si>
    <t xml:space="preserve">Dona sin relleno </t>
  </si>
  <si>
    <t>Prod. 3</t>
  </si>
  <si>
    <t>Prod. 4</t>
  </si>
  <si>
    <t>Prod. 5</t>
  </si>
  <si>
    <t>Jugo agua</t>
  </si>
  <si>
    <t>Prod. 6</t>
  </si>
  <si>
    <t>Jugo leche</t>
  </si>
  <si>
    <t>Prod. 7</t>
  </si>
  <si>
    <t>Coca cola</t>
  </si>
  <si>
    <t>Prod. 8</t>
  </si>
  <si>
    <t>Otras gaseosas</t>
  </si>
  <si>
    <t>Prod. 9</t>
  </si>
  <si>
    <t>Agua en botella</t>
  </si>
  <si>
    <t>Prod. 10</t>
  </si>
  <si>
    <t>Sección II - Proyección de costos</t>
  </si>
  <si>
    <r>
      <t xml:space="preserve">Nota: </t>
    </r>
    <r>
      <rPr>
        <sz val="11"/>
        <color theme="1"/>
        <rFont val="Times New Roman"/>
        <family val="1"/>
      </rPr>
      <t>Se plantea una proyección de costos variables por grupo de materiales directos que se utilizan en los diferentes productos ofrecidos en la empresa. Tomando como kits (unidad) según grupo de materiales y ponderando su uso o detinación a cada producto.</t>
    </r>
  </si>
  <si>
    <t>Costos variables…</t>
  </si>
  <si>
    <t>Valores de kits</t>
  </si>
  <si>
    <t>Estándares ponderados de consumo</t>
  </si>
  <si>
    <t>Preparación de piel</t>
  </si>
  <si>
    <t>Produc. Crema</t>
  </si>
  <si>
    <t>Produc. Polvo</t>
  </si>
  <si>
    <t>Produc. Ojos</t>
  </si>
  <si>
    <t>Produc. Cejas</t>
  </si>
  <si>
    <t>Produc. Labios</t>
  </si>
  <si>
    <t>Precio mes</t>
  </si>
  <si>
    <t>Precio año</t>
  </si>
  <si>
    <t>Porcentaje del costo del material</t>
  </si>
  <si>
    <t>Máximo de unidades mes</t>
  </si>
  <si>
    <t>Costo variable por unidad</t>
  </si>
  <si>
    <t>Costos fijos…</t>
  </si>
  <si>
    <t>Concepto</t>
  </si>
  <si>
    <t>Arrendamientos</t>
  </si>
  <si>
    <t>Servicios públicos</t>
  </si>
  <si>
    <t>Papelería personalizada</t>
  </si>
  <si>
    <t xml:space="preserve">Depreciaciones </t>
  </si>
  <si>
    <t>Línea recta</t>
  </si>
  <si>
    <t>Valor año</t>
  </si>
  <si>
    <t>Sección III - Inversión PPE</t>
  </si>
  <si>
    <t>Equipo de oficina</t>
  </si>
  <si>
    <t>Cant</t>
  </si>
  <si>
    <t>Vr. Unitario</t>
  </si>
  <si>
    <t>Vida útil</t>
  </si>
  <si>
    <t>Mostrador escritorio</t>
  </si>
  <si>
    <t>Sillas gerenciales</t>
  </si>
  <si>
    <t>Estantería de mostrador</t>
  </si>
  <si>
    <t>Equipo de proceso</t>
  </si>
  <si>
    <t>Sillas para estudio de belleza</t>
  </si>
  <si>
    <t>Espejos luz led</t>
  </si>
  <si>
    <t>Tocador</t>
  </si>
  <si>
    <t>Equipo de computación y comunicación</t>
  </si>
  <si>
    <t>Celulares</t>
  </si>
  <si>
    <t>Datáfono</t>
  </si>
  <si>
    <t>Equipos varios</t>
  </si>
  <si>
    <t>Kit de herramientas e implementos (brochas y utencilios)</t>
  </si>
  <si>
    <t>Flota y equipo de transporte</t>
  </si>
  <si>
    <t>Sección IV - Nómina</t>
  </si>
  <si>
    <t>SMMLV</t>
  </si>
  <si>
    <t>Aux. Transp.</t>
  </si>
  <si>
    <t>Sueldo base</t>
  </si>
  <si>
    <t>Rodamiento</t>
  </si>
  <si>
    <t>Comisiones</t>
  </si>
  <si>
    <t>Bonos</t>
  </si>
  <si>
    <t>Gerente</t>
  </si>
  <si>
    <t>Vendedor</t>
  </si>
  <si>
    <t>SECCIÓN 1. VENTAS</t>
  </si>
  <si>
    <t>Precio de venta Año 1</t>
  </si>
  <si>
    <t>Año 1</t>
  </si>
  <si>
    <t>Decisión de ventas en cantidades</t>
  </si>
  <si>
    <t>anuales</t>
  </si>
  <si>
    <t>Producto 1</t>
  </si>
  <si>
    <t>Maquillaje social</t>
  </si>
  <si>
    <t>Producto 2</t>
  </si>
  <si>
    <t>Maquillaje de novia</t>
  </si>
  <si>
    <t>Ventas de contado</t>
  </si>
  <si>
    <t>Producto 3</t>
  </si>
  <si>
    <t>Maquillaje quinceañera</t>
  </si>
  <si>
    <t>Ventas a crédito</t>
  </si>
  <si>
    <t>Producto 4</t>
  </si>
  <si>
    <t>Peinado social</t>
  </si>
  <si>
    <t>Producto 5</t>
  </si>
  <si>
    <t>Peinado de novia</t>
  </si>
  <si>
    <t>Producto 6</t>
  </si>
  <si>
    <t>Peinado quinceañera</t>
  </si>
  <si>
    <t>Año 2</t>
  </si>
  <si>
    <t>Año 3</t>
  </si>
  <si>
    <t>Año 4</t>
  </si>
  <si>
    <t>Año 5</t>
  </si>
  <si>
    <t>Producto 7</t>
  </si>
  <si>
    <t>Cursos (automaquillaje)</t>
  </si>
  <si>
    <t>Incremento cantidades</t>
  </si>
  <si>
    <t>Producto 8</t>
  </si>
  <si>
    <t>Cursos (perfeccionamiento)</t>
  </si>
  <si>
    <t>Incremento precios</t>
  </si>
  <si>
    <t>Producto 9</t>
  </si>
  <si>
    <t>Cursos (profesional)</t>
  </si>
  <si>
    <t>Producto 10</t>
  </si>
  <si>
    <t>mensuales</t>
  </si>
  <si>
    <t>Cantidad vendida mensual</t>
  </si>
  <si>
    <t>Cantidad vendida anual</t>
  </si>
  <si>
    <t>Cantidad vendida diaria</t>
  </si>
  <si>
    <t>SECCIÓN 2. COSTOS DE VENTAS (solo si la empresa es comercializadora)</t>
  </si>
  <si>
    <t>Costo de compra Año 1</t>
  </si>
  <si>
    <t>Inventario inicial año 1</t>
  </si>
  <si>
    <t>Inventario final (días)</t>
  </si>
  <si>
    <t>de las unidades vendidas para todos los años</t>
  </si>
  <si>
    <t xml:space="preserve">Aumento anual de los precios de compra </t>
  </si>
  <si>
    <t>Compra de contado</t>
  </si>
  <si>
    <t>Compras a crédito</t>
  </si>
  <si>
    <t xml:space="preserve">SECCIÓN 3. COSTO MATERIALES DIRECTOS </t>
  </si>
  <si>
    <t>Estándares unitarios de consumo</t>
  </si>
  <si>
    <r>
      <t xml:space="preserve">Precios de adquisición de MD </t>
    </r>
    <r>
      <rPr>
        <b/>
        <sz val="11"/>
        <color theme="1"/>
        <rFont val="Times New Roman"/>
        <family val="1"/>
      </rPr>
      <t>Año 1</t>
    </r>
  </si>
  <si>
    <t>SECCIÓN 4. INVERSIÓN EN PPE (Administración y ventas)</t>
  </si>
  <si>
    <t>Equipo de oficina (Administración)</t>
  </si>
  <si>
    <t>Equipo de computación y comunicación (Administración)</t>
  </si>
  <si>
    <t>Equipo de oficina (Ventas)</t>
  </si>
  <si>
    <t>Equipo de computación y comunicación (Ventas)</t>
  </si>
  <si>
    <t xml:space="preserve">SECCIÓN 5. INVERSIÓN EN PPE </t>
  </si>
  <si>
    <t>Equipo de control de calidad</t>
  </si>
  <si>
    <t xml:space="preserve">Equipo de oficina </t>
  </si>
  <si>
    <t>Estantería de bodegaje</t>
  </si>
  <si>
    <t>SECCIÓN 6. NÓMINA (de administración y ventas)</t>
  </si>
  <si>
    <t>ADMINISTRACIÓN</t>
  </si>
  <si>
    <t>Sueldo</t>
  </si>
  <si>
    <t>Aux. transp</t>
  </si>
  <si>
    <t xml:space="preserve">Gerente </t>
  </si>
  <si>
    <t>VENTAS</t>
  </si>
  <si>
    <t>Vendedores</t>
  </si>
  <si>
    <t>Comisiones sobre ventas contado</t>
  </si>
  <si>
    <t>Salario mínimo mensual legal vigente (SMMLV)</t>
  </si>
  <si>
    <t>Comisiones sobre ventas a crédito</t>
  </si>
  <si>
    <t>Auxilio de transporte (AT)</t>
  </si>
  <si>
    <t>SECCIÓN 7. NÓMINA DE PRODUCCIÓN</t>
  </si>
  <si>
    <t>PRODUCCIÓN</t>
  </si>
  <si>
    <t xml:space="preserve">SECCIÓN 8. COSTOS INDIRECTOS DE FABRICACIÓN </t>
  </si>
  <si>
    <t>Crecimiento anual de los CIF</t>
  </si>
  <si>
    <t xml:space="preserve">SECCIÓN 8. GASTOS OPERACIONALES </t>
  </si>
  <si>
    <t>Administración</t>
  </si>
  <si>
    <t>Seguros</t>
  </si>
  <si>
    <t xml:space="preserve">Crecimiento anual de los gastos </t>
  </si>
  <si>
    <t>Gtos constitución</t>
  </si>
  <si>
    <t>solo en el año 1</t>
  </si>
  <si>
    <t>Gtos legales</t>
  </si>
  <si>
    <t>Mantenimientos</t>
  </si>
  <si>
    <t>Diversos de administración</t>
  </si>
  <si>
    <t>Ventas</t>
  </si>
  <si>
    <t>Publicidad y propaganda</t>
  </si>
  <si>
    <t>Gastos de viaje</t>
  </si>
  <si>
    <t>Diversos de ventas</t>
  </si>
  <si>
    <t>SECCIÓN 9. GASTOS FINANCIEROS</t>
  </si>
  <si>
    <t>Crédito en banco comercial</t>
  </si>
  <si>
    <t xml:space="preserve">Crèdito </t>
  </si>
  <si>
    <t>Plazo</t>
  </si>
  <si>
    <t>años</t>
  </si>
  <si>
    <t xml:space="preserve">Amortización </t>
  </si>
  <si>
    <t>Anual</t>
  </si>
  <si>
    <t xml:space="preserve">Tasa interés </t>
  </si>
  <si>
    <t>SECCIÓN 10. OTRA INFORMACIÓN</t>
  </si>
  <si>
    <t>Provisión impuesto de renta</t>
  </si>
  <si>
    <t>Reparto de utilidades</t>
  </si>
  <si>
    <t>PER</t>
  </si>
  <si>
    <t>NUM</t>
  </si>
  <si>
    <t>Bimestral</t>
  </si>
  <si>
    <t>Diaria</t>
  </si>
  <si>
    <t>Mensual</t>
  </si>
  <si>
    <t>Quincenal</t>
  </si>
  <si>
    <t>Semanal</t>
  </si>
  <si>
    <t>Semestral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</si>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</sst>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\ #,##0.00;[Red]\-&quot;$&quot;\ #,##0.00"/>
    <numFmt numFmtId="43" formatCode="_-* #,##0.00_-;\-* #,##0.00_-;_-* &quot;-&quot;??_-;_-@_-"/>
    <numFmt numFmtId="164" formatCode="\A\ñ\o\ 0"/>
    <numFmt numFmtId="165" formatCode="#,##0.0"/>
    <numFmt numFmtId="166" formatCode="0.0%"/>
    <numFmt numFmtId="167" formatCode="0&quot; años&quot;"/>
    <numFmt numFmtId="168" formatCode="&quot;$&quot;\ #,##0"/>
    <numFmt numFmtId="169" formatCode="&quot;$&quot;\ #,##0.00"/>
    <numFmt numFmtId="170" formatCode="0.0"/>
    <numFmt numFmtId="171" formatCode="&quot;$&quot;\ #,##0.0"/>
    <numFmt numFmtId="172" formatCode="&quot;Impuesto (&quot;0%&quot;)&quot;"/>
    <numFmt numFmtId="173" formatCode="\+#,##0;\-#,##0"/>
    <numFmt numFmtId="174" formatCode="_-* #,##0_-;\-* #,##0_-;_-* &quot;-&quot;??_-;_-@_-"/>
  </numFmts>
  <fonts count="51" x14ac:knownFonts="1">
    <font>
      <sz val="10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8"/>
      <name val="Aptos Narrow"/>
      <family val="2"/>
      <scheme val="minor"/>
    </font>
    <font>
      <b/>
      <sz val="11"/>
      <color rgb="FF000000"/>
      <name val="Times New Roman"/>
      <family val="1"/>
    </font>
    <font>
      <b/>
      <sz val="11"/>
      <color rgb="FF0070C0"/>
      <name val="Times New Roman"/>
      <family val="1"/>
    </font>
    <font>
      <b/>
      <sz val="14"/>
      <color rgb="FF0070C0"/>
      <name val="Times New Roman"/>
      <family val="1"/>
    </font>
    <font>
      <b/>
      <i/>
      <sz val="11"/>
      <color rgb="FF0070C0"/>
      <name val="Times New Roman"/>
      <family val="1"/>
    </font>
    <font>
      <b/>
      <sz val="11"/>
      <color theme="1"/>
      <name val="Aptos Narrow"/>
      <family val="2"/>
      <scheme val="minor"/>
    </font>
    <font>
      <b/>
      <sz val="11"/>
      <color theme="0"/>
      <name val="Courier New"/>
      <family val="3"/>
    </font>
    <font>
      <sz val="11"/>
      <color theme="1"/>
      <name val="Courier New"/>
      <family val="3"/>
    </font>
    <font>
      <sz val="11"/>
      <color theme="0" tint="-0.249977111117893"/>
      <name val="Courier New"/>
      <family val="3"/>
    </font>
    <font>
      <b/>
      <sz val="11"/>
      <color rgb="FFC00000"/>
      <name val="Courier New"/>
      <family val="3"/>
    </font>
    <font>
      <i/>
      <sz val="11"/>
      <color theme="1"/>
      <name val="Courier New"/>
      <family val="3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i/>
      <sz val="10"/>
      <color theme="1"/>
      <name val="Courier New"/>
      <family val="3"/>
    </font>
    <font>
      <i/>
      <sz val="11"/>
      <color theme="1"/>
      <name val="Aptos Narrow"/>
      <family val="2"/>
      <scheme val="minor"/>
    </font>
    <font>
      <sz val="10"/>
      <color rgb="FF000000"/>
      <name val="Courier New"/>
      <family val="3"/>
    </font>
    <font>
      <b/>
      <sz val="10"/>
      <color rgb="FF0070C0"/>
      <name val="Courier New"/>
      <family val="3"/>
    </font>
    <font>
      <b/>
      <sz val="10"/>
      <color theme="0"/>
      <name val="Courier New"/>
      <family val="3"/>
    </font>
    <font>
      <i/>
      <sz val="10"/>
      <color theme="0" tint="-0.14999847407452621"/>
      <name val="Courier New"/>
      <family val="3"/>
    </font>
    <font>
      <b/>
      <sz val="9"/>
      <color theme="0"/>
      <name val="Courier New"/>
      <family val="3"/>
    </font>
    <font>
      <b/>
      <sz val="10"/>
      <color theme="1"/>
      <name val="Courier New"/>
      <family val="3"/>
    </font>
    <font>
      <sz val="10"/>
      <color theme="1"/>
      <name val="Courier New"/>
      <family val="3"/>
    </font>
    <font>
      <sz val="10"/>
      <color theme="0" tint="-4.9989318521683403E-2"/>
      <name val="Courier New"/>
      <family val="3"/>
    </font>
    <font>
      <b/>
      <sz val="10"/>
      <color rgb="FF000000"/>
      <name val="Courier New"/>
      <family val="3"/>
    </font>
    <font>
      <i/>
      <sz val="9"/>
      <color theme="1"/>
      <name val="Courier New"/>
      <family val="3"/>
    </font>
    <font>
      <sz val="9"/>
      <color rgb="FF000000"/>
      <name val="Courier New"/>
      <family val="3"/>
    </font>
    <font>
      <sz val="9"/>
      <color theme="0" tint="-4.9989318521683403E-2"/>
      <name val="Courier New"/>
      <family val="3"/>
    </font>
    <font>
      <b/>
      <sz val="9"/>
      <color rgb="FF000000"/>
      <name val="Courier New"/>
      <family val="3"/>
    </font>
    <font>
      <b/>
      <sz val="9"/>
      <color theme="0" tint="-4.9989318521683403E-2"/>
      <name val="Courier New"/>
      <family val="3"/>
    </font>
    <font>
      <sz val="10"/>
      <color theme="0" tint="-0.14999847407452621"/>
      <name val="Courier New"/>
      <family val="3"/>
    </font>
    <font>
      <b/>
      <sz val="11"/>
      <color rgb="FFC00000"/>
      <name val="Aptos Narrow"/>
      <family val="2"/>
      <scheme val="minor"/>
    </font>
    <font>
      <sz val="11"/>
      <color rgb="FF000000"/>
      <name val="Arial"/>
      <family val="2"/>
    </font>
    <font>
      <u/>
      <sz val="10"/>
      <color theme="10"/>
      <name val="Aptos Narrow"/>
      <family val="2"/>
      <scheme val="minor"/>
    </font>
    <font>
      <sz val="9"/>
      <color theme="1"/>
      <name val="Courier New"/>
      <family val="3"/>
    </font>
    <font>
      <b/>
      <sz val="9"/>
      <color rgb="FF000000"/>
      <name val="Calibri"/>
      <family val="2"/>
    </font>
    <font>
      <b/>
      <sz val="10"/>
      <color rgb="FFC00000"/>
      <name val="Courier New"/>
      <family val="3"/>
    </font>
    <font>
      <sz val="9"/>
      <color theme="0" tint="-0.14999847407452621"/>
      <name val="Courier New"/>
      <family val="3"/>
    </font>
    <font>
      <sz val="10"/>
      <color theme="0" tint="-0.14999847407452621"/>
      <name val="Aptos Narrow"/>
      <family val="2"/>
      <scheme val="minor"/>
    </font>
    <font>
      <i/>
      <sz val="9"/>
      <color theme="0" tint="-0.14999847407452621"/>
      <name val="Courier New"/>
      <family val="3"/>
    </font>
    <font>
      <b/>
      <i/>
      <sz val="10"/>
      <color theme="1"/>
      <name val="Courier New"/>
      <family val="3"/>
    </font>
    <font>
      <sz val="9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  <fill>
      <patternFill patternType="solid">
        <fgColor rgb="FFB6DDE8"/>
        <bgColor rgb="FFB6DDE8"/>
      </patternFill>
    </fill>
    <fill>
      <patternFill patternType="solid">
        <fgColor rgb="FFE5EFFF"/>
        <bgColor rgb="FFE5E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2" fillId="0" borderId="0" applyNumberFormat="0" applyFill="0" applyBorder="0" applyAlignment="0" applyProtection="0"/>
  </cellStyleXfs>
  <cellXfs count="492">
    <xf numFmtId="0" fontId="0" fillId="0" borderId="0" xfId="0"/>
    <xf numFmtId="0" fontId="4" fillId="0" borderId="16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left" vertical="center" indent="1"/>
    </xf>
    <xf numFmtId="167" fontId="5" fillId="0" borderId="0" xfId="0" applyNumberFormat="1" applyFont="1" applyAlignment="1">
      <alignment horizontal="left" vertical="center" indent="1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7" fillId="0" borderId="3" xfId="0" applyFont="1" applyBorder="1" applyAlignment="1">
      <alignment vertical="center"/>
    </xf>
    <xf numFmtId="164" fontId="5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0" fontId="5" fillId="3" borderId="4" xfId="0" applyNumberFormat="1" applyFont="1" applyFill="1" applyBorder="1" applyAlignment="1">
      <alignment vertical="center"/>
    </xf>
    <xf numFmtId="10" fontId="4" fillId="3" borderId="4" xfId="0" applyNumberFormat="1" applyFont="1" applyFill="1" applyBorder="1" applyAlignment="1">
      <alignment horizontal="center" vertical="center"/>
    </xf>
    <xf numFmtId="10" fontId="5" fillId="4" borderId="4" xfId="0" applyNumberFormat="1" applyFont="1" applyFill="1" applyBorder="1" applyAlignment="1">
      <alignment vertical="center"/>
    </xf>
    <xf numFmtId="10" fontId="4" fillId="5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0" fontId="4" fillId="6" borderId="4" xfId="0" applyNumberFormat="1" applyFont="1" applyFill="1" applyBorder="1" applyAlignment="1">
      <alignment vertical="center"/>
    </xf>
    <xf numFmtId="10" fontId="4" fillId="6" borderId="4" xfId="0" applyNumberFormat="1" applyFont="1" applyFill="1" applyBorder="1" applyAlignment="1">
      <alignment horizontal="center" vertical="center"/>
    </xf>
    <xf numFmtId="0" fontId="4" fillId="8" borderId="0" xfId="0" applyFont="1" applyFill="1" applyAlignment="1">
      <alignment vertical="center"/>
    </xf>
    <xf numFmtId="0" fontId="5" fillId="8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0" fontId="5" fillId="7" borderId="0" xfId="0" applyFont="1" applyFill="1" applyAlignment="1">
      <alignment vertical="center"/>
    </xf>
    <xf numFmtId="0" fontId="4" fillId="7" borderId="0" xfId="0" applyFont="1" applyFill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" fontId="5" fillId="0" borderId="4" xfId="0" applyNumberFormat="1" applyFont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0" fontId="5" fillId="0" borderId="4" xfId="0" applyNumberFormat="1" applyFont="1" applyBorder="1" applyAlignment="1">
      <alignment vertical="center"/>
    </xf>
    <xf numFmtId="10" fontId="5" fillId="2" borderId="4" xfId="0" applyNumberFormat="1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9" fontId="5" fillId="0" borderId="0" xfId="0" applyNumberFormat="1" applyFont="1" applyAlignment="1">
      <alignment vertical="center"/>
    </xf>
    <xf numFmtId="0" fontId="5" fillId="3" borderId="3" xfId="0" applyFont="1" applyFill="1" applyBorder="1" applyAlignment="1">
      <alignment vertical="center"/>
    </xf>
    <xf numFmtId="3" fontId="5" fillId="0" borderId="5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3" fontId="5" fillId="8" borderId="0" xfId="0" applyNumberFormat="1" applyFont="1" applyFill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3" fontId="5" fillId="4" borderId="4" xfId="0" applyNumberFormat="1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9" fontId="5" fillId="0" borderId="2" xfId="0" applyNumberFormat="1" applyFont="1" applyBorder="1" applyAlignment="1">
      <alignment horizontal="center" vertical="center"/>
    </xf>
    <xf numFmtId="0" fontId="4" fillId="4" borderId="6" xfId="0" applyFont="1" applyFill="1" applyBorder="1" applyAlignment="1">
      <alignment vertical="center"/>
    </xf>
    <xf numFmtId="0" fontId="4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vertical="center"/>
    </xf>
    <xf numFmtId="2" fontId="5" fillId="0" borderId="2" xfId="0" applyNumberFormat="1" applyFont="1" applyBorder="1" applyAlignment="1">
      <alignment vertical="center"/>
    </xf>
    <xf numFmtId="2" fontId="5" fillId="0" borderId="3" xfId="0" applyNumberFormat="1" applyFont="1" applyBorder="1" applyAlignment="1">
      <alignment vertical="center"/>
    </xf>
    <xf numFmtId="3" fontId="5" fillId="4" borderId="22" xfId="0" applyNumberFormat="1" applyFont="1" applyFill="1" applyBorder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9" fillId="2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10" fontId="8" fillId="0" borderId="4" xfId="0" applyNumberFormat="1" applyFont="1" applyBorder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10" fontId="8" fillId="8" borderId="0" xfId="0" applyNumberFormat="1" applyFont="1" applyFill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9" fontId="8" fillId="0" borderId="4" xfId="0" applyNumberFormat="1" applyFont="1" applyBorder="1" applyAlignment="1">
      <alignment horizontal="center" vertical="center"/>
    </xf>
    <xf numFmtId="3" fontId="5" fillId="8" borderId="4" xfId="0" applyNumberFormat="1" applyFont="1" applyFill="1" applyBorder="1" applyAlignment="1">
      <alignment vertical="center"/>
    </xf>
    <xf numFmtId="9" fontId="8" fillId="0" borderId="0" xfId="0" applyNumberFormat="1" applyFont="1" applyAlignment="1">
      <alignment horizontal="center" vertical="center"/>
    </xf>
    <xf numFmtId="3" fontId="5" fillId="0" borderId="3" xfId="0" applyNumberFormat="1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4" borderId="3" xfId="0" applyFont="1" applyFill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5" fillId="8" borderId="0" xfId="0" applyNumberFormat="1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 indent="1"/>
    </xf>
    <xf numFmtId="168" fontId="6" fillId="0" borderId="0" xfId="0" applyNumberFormat="1" applyFont="1" applyAlignment="1">
      <alignment horizontal="right" vertical="center" indent="1"/>
    </xf>
    <xf numFmtId="0" fontId="11" fillId="0" borderId="25" xfId="0" applyFont="1" applyBorder="1" applyAlignment="1">
      <alignment horizontal="right" vertical="center" indent="1"/>
    </xf>
    <xf numFmtId="3" fontId="5" fillId="0" borderId="25" xfId="0" applyNumberFormat="1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168" fontId="6" fillId="0" borderId="25" xfId="0" applyNumberFormat="1" applyFont="1" applyBorder="1" applyAlignment="1">
      <alignment horizontal="right" vertical="center" indent="1"/>
    </xf>
    <xf numFmtId="0" fontId="5" fillId="0" borderId="25" xfId="0" applyFont="1" applyBorder="1" applyAlignment="1">
      <alignment vertical="center"/>
    </xf>
    <xf numFmtId="10" fontId="5" fillId="0" borderId="0" xfId="2" applyNumberFormat="1" applyFont="1" applyBorder="1" applyAlignment="1">
      <alignment horizontal="center" vertical="center"/>
    </xf>
    <xf numFmtId="168" fontId="5" fillId="0" borderId="0" xfId="0" applyNumberFormat="1" applyFont="1" applyAlignment="1">
      <alignment horizontal="right" vertical="center" indent="1"/>
    </xf>
    <xf numFmtId="168" fontId="5" fillId="0" borderId="25" xfId="0" applyNumberFormat="1" applyFont="1" applyBorder="1" applyAlignment="1">
      <alignment horizontal="right" vertical="center" indent="1"/>
    </xf>
    <xf numFmtId="0" fontId="4" fillId="4" borderId="0" xfId="0" applyFont="1" applyFill="1" applyAlignment="1">
      <alignment vertical="center"/>
    </xf>
    <xf numFmtId="0" fontId="5" fillId="4" borderId="0" xfId="0" applyFont="1" applyFill="1" applyAlignment="1">
      <alignment horizontal="center" vertical="center"/>
    </xf>
    <xf numFmtId="3" fontId="5" fillId="4" borderId="0" xfId="0" applyNumberFormat="1" applyFont="1" applyFill="1" applyAlignment="1">
      <alignment vertical="center"/>
    </xf>
    <xf numFmtId="0" fontId="4" fillId="4" borderId="25" xfId="0" applyFont="1" applyFill="1" applyBorder="1" applyAlignment="1">
      <alignment vertical="center"/>
    </xf>
    <xf numFmtId="0" fontId="4" fillId="4" borderId="25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vertical="center"/>
    </xf>
    <xf numFmtId="3" fontId="8" fillId="4" borderId="0" xfId="0" applyNumberFormat="1" applyFont="1" applyFill="1" applyAlignment="1">
      <alignment horizontal="right" vertical="center" indent="1"/>
    </xf>
    <xf numFmtId="0" fontId="8" fillId="4" borderId="25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vertical="center"/>
    </xf>
    <xf numFmtId="0" fontId="8" fillId="0" borderId="25" xfId="0" applyFont="1" applyBorder="1" applyAlignment="1">
      <alignment vertical="center"/>
    </xf>
    <xf numFmtId="3" fontId="8" fillId="4" borderId="25" xfId="0" applyNumberFormat="1" applyFont="1" applyFill="1" applyBorder="1" applyAlignment="1">
      <alignment horizontal="right" vertical="center" indent="1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25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166" fontId="5" fillId="0" borderId="0" xfId="2" applyNumberFormat="1" applyFont="1" applyFill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3" fontId="4" fillId="0" borderId="26" xfId="0" applyNumberFormat="1" applyFont="1" applyBorder="1" applyAlignment="1">
      <alignment horizontal="center" vertical="center"/>
    </xf>
    <xf numFmtId="3" fontId="11" fillId="0" borderId="26" xfId="0" applyNumberFormat="1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168" fontId="5" fillId="0" borderId="0" xfId="0" applyNumberFormat="1" applyFont="1" applyAlignment="1">
      <alignment horizontal="right" vertical="center" indent="7"/>
    </xf>
    <xf numFmtId="0" fontId="14" fillId="0" borderId="0" xfId="0" applyFont="1" applyAlignment="1">
      <alignment vertical="center"/>
    </xf>
    <xf numFmtId="168" fontId="5" fillId="0" borderId="0" xfId="2" applyNumberFormat="1" applyFont="1" applyBorder="1" applyAlignment="1">
      <alignment horizontal="center" vertical="center"/>
    </xf>
    <xf numFmtId="168" fontId="5" fillId="0" borderId="25" xfId="2" applyNumberFormat="1" applyFont="1" applyBorder="1" applyAlignment="1">
      <alignment horizontal="center" vertical="center"/>
    </xf>
    <xf numFmtId="3" fontId="4" fillId="0" borderId="26" xfId="0" applyNumberFormat="1" applyFont="1" applyBorder="1" applyAlignment="1">
      <alignment vertical="center"/>
    </xf>
    <xf numFmtId="168" fontId="5" fillId="4" borderId="0" xfId="0" applyNumberFormat="1" applyFont="1" applyFill="1" applyAlignment="1">
      <alignment horizontal="right" vertical="center" indent="1"/>
    </xf>
    <xf numFmtId="0" fontId="6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 shrinkToFit="1"/>
    </xf>
    <xf numFmtId="1" fontId="5" fillId="0" borderId="0" xfId="1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2" xfId="0" applyFont="1" applyBorder="1" applyAlignment="1">
      <alignment vertical="center"/>
    </xf>
    <xf numFmtId="168" fontId="6" fillId="0" borderId="0" xfId="0" applyNumberFormat="1" applyFont="1" applyAlignment="1">
      <alignment horizontal="right" vertical="center" indent="2"/>
    </xf>
    <xf numFmtId="168" fontId="6" fillId="0" borderId="39" xfId="0" applyNumberFormat="1" applyFont="1" applyBorder="1" applyAlignment="1">
      <alignment horizontal="right" vertical="center" indent="2"/>
    </xf>
    <xf numFmtId="168" fontId="6" fillId="0" borderId="25" xfId="0" applyNumberFormat="1" applyFont="1" applyBorder="1" applyAlignment="1">
      <alignment horizontal="right" vertical="center" indent="2"/>
    </xf>
    <xf numFmtId="168" fontId="6" fillId="0" borderId="38" xfId="0" applyNumberFormat="1" applyFont="1" applyBorder="1" applyAlignment="1">
      <alignment horizontal="right" vertical="center" indent="2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vertical="center" wrapText="1"/>
    </xf>
    <xf numFmtId="168" fontId="17" fillId="0" borderId="0" xfId="3" applyNumberFormat="1" applyFont="1" applyAlignment="1">
      <alignment vertical="center" wrapText="1"/>
    </xf>
    <xf numFmtId="9" fontId="18" fillId="0" borderId="0" xfId="3" applyNumberFormat="1" applyFont="1" applyAlignment="1">
      <alignment vertical="center" wrapText="1"/>
    </xf>
    <xf numFmtId="9" fontId="18" fillId="0" borderId="44" xfId="4" applyFont="1" applyFill="1" applyBorder="1" applyAlignment="1">
      <alignment vertical="center" wrapText="1"/>
    </xf>
    <xf numFmtId="0" fontId="18" fillId="0" borderId="0" xfId="3" applyFont="1" applyAlignment="1">
      <alignment vertical="center"/>
    </xf>
    <xf numFmtId="0" fontId="18" fillId="0" borderId="0" xfId="3" applyFont="1" applyAlignment="1">
      <alignment vertical="center" wrapText="1"/>
    </xf>
    <xf numFmtId="9" fontId="18" fillId="0" borderId="44" xfId="3" applyNumberFormat="1" applyFont="1" applyBorder="1" applyAlignment="1">
      <alignment vertical="center" wrapText="1"/>
    </xf>
    <xf numFmtId="9" fontId="18" fillId="0" borderId="0" xfId="4" applyFont="1" applyFill="1" applyBorder="1" applyAlignment="1">
      <alignment vertical="center" wrapText="1"/>
    </xf>
    <xf numFmtId="9" fontId="18" fillId="0" borderId="0" xfId="3" applyNumberFormat="1" applyFont="1" applyAlignment="1">
      <alignment vertical="center"/>
    </xf>
    <xf numFmtId="0" fontId="16" fillId="9" borderId="33" xfId="3" applyFont="1" applyFill="1" applyBorder="1" applyAlignment="1">
      <alignment horizontal="center" vertical="center" wrapText="1"/>
    </xf>
    <xf numFmtId="0" fontId="16" fillId="9" borderId="34" xfId="3" applyFont="1" applyFill="1" applyBorder="1" applyAlignment="1">
      <alignment horizontal="center" vertical="center" wrapText="1"/>
    </xf>
    <xf numFmtId="0" fontId="19" fillId="10" borderId="34" xfId="3" applyFont="1" applyFill="1" applyBorder="1" applyAlignment="1">
      <alignment horizontal="center" vertical="center" wrapText="1"/>
    </xf>
    <xf numFmtId="168" fontId="16" fillId="9" borderId="34" xfId="3" applyNumberFormat="1" applyFont="1" applyFill="1" applyBorder="1" applyAlignment="1">
      <alignment horizontal="center" vertical="center" wrapText="1"/>
    </xf>
    <xf numFmtId="168" fontId="16" fillId="9" borderId="35" xfId="3" applyNumberFormat="1" applyFont="1" applyFill="1" applyBorder="1" applyAlignment="1">
      <alignment horizontal="center" vertical="center" wrapText="1"/>
    </xf>
    <xf numFmtId="0" fontId="16" fillId="9" borderId="35" xfId="3" applyFont="1" applyFill="1" applyBorder="1" applyAlignment="1">
      <alignment horizontal="center" vertical="center" wrapText="1"/>
    </xf>
    <xf numFmtId="0" fontId="20" fillId="0" borderId="0" xfId="3" applyFont="1" applyAlignment="1">
      <alignment vertical="top" wrapText="1"/>
    </xf>
    <xf numFmtId="168" fontId="20" fillId="0" borderId="0" xfId="3" applyNumberFormat="1" applyFont="1" applyAlignment="1">
      <alignment vertical="top" wrapText="1"/>
    </xf>
    <xf numFmtId="168" fontId="20" fillId="0" borderId="46" xfId="3" applyNumberFormat="1" applyFont="1" applyBorder="1" applyAlignment="1">
      <alignment vertical="top" wrapText="1"/>
    </xf>
    <xf numFmtId="168" fontId="20" fillId="0" borderId="47" xfId="3" applyNumberFormat="1" applyFont="1" applyBorder="1" applyAlignment="1">
      <alignment vertical="top" wrapText="1"/>
    </xf>
    <xf numFmtId="0" fontId="20" fillId="11" borderId="0" xfId="3" applyFont="1" applyFill="1" applyAlignment="1">
      <alignment vertical="top" wrapText="1"/>
    </xf>
    <xf numFmtId="168" fontId="20" fillId="11" borderId="0" xfId="3" applyNumberFormat="1" applyFont="1" applyFill="1" applyAlignment="1">
      <alignment vertical="top" wrapText="1"/>
    </xf>
    <xf numFmtId="0" fontId="0" fillId="0" borderId="0" xfId="0" applyAlignment="1">
      <alignment vertic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5" fillId="0" borderId="0" xfId="0" applyFont="1"/>
    <xf numFmtId="165" fontId="25" fillId="0" borderId="0" xfId="0" applyNumberFormat="1" applyFont="1"/>
    <xf numFmtId="0" fontId="27" fillId="9" borderId="48" xfId="3" applyFont="1" applyFill="1" applyBorder="1" applyAlignment="1">
      <alignment horizontal="center" vertical="center" wrapText="1"/>
    </xf>
    <xf numFmtId="0" fontId="27" fillId="9" borderId="26" xfId="3" applyFont="1" applyFill="1" applyBorder="1" applyAlignment="1">
      <alignment horizontal="center" vertical="center" wrapText="1"/>
    </xf>
    <xf numFmtId="0" fontId="23" fillId="0" borderId="0" xfId="3" applyFont="1" applyAlignment="1">
      <alignment vertical="top" wrapText="1"/>
    </xf>
    <xf numFmtId="165" fontId="23" fillId="0" borderId="0" xfId="3" applyNumberFormat="1" applyFont="1" applyAlignment="1">
      <alignment vertical="top" wrapText="1"/>
    </xf>
    <xf numFmtId="168" fontId="23" fillId="0" borderId="0" xfId="3" applyNumberFormat="1" applyFont="1" applyAlignment="1">
      <alignment vertical="top" wrapText="1"/>
    </xf>
    <xf numFmtId="1" fontId="23" fillId="0" borderId="0" xfId="3" applyNumberFormat="1" applyFont="1" applyAlignment="1">
      <alignment vertical="top" wrapText="1"/>
    </xf>
    <xf numFmtId="169" fontId="23" fillId="0" borderId="0" xfId="3" applyNumberFormat="1" applyFont="1" applyAlignment="1">
      <alignment vertical="top" wrapText="1"/>
    </xf>
    <xf numFmtId="0" fontId="23" fillId="0" borderId="25" xfId="3" applyFont="1" applyBorder="1" applyAlignment="1">
      <alignment vertical="top" wrapText="1"/>
    </xf>
    <xf numFmtId="165" fontId="23" fillId="0" borderId="25" xfId="3" applyNumberFormat="1" applyFont="1" applyBorder="1" applyAlignment="1">
      <alignment vertical="top" wrapText="1"/>
    </xf>
    <xf numFmtId="168" fontId="23" fillId="0" borderId="25" xfId="3" applyNumberFormat="1" applyFont="1" applyBorder="1" applyAlignment="1">
      <alignment vertical="top" wrapText="1"/>
    </xf>
    <xf numFmtId="1" fontId="28" fillId="0" borderId="0" xfId="3" applyNumberFormat="1" applyFont="1" applyAlignment="1">
      <alignment vertical="top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0" fontId="24" fillId="0" borderId="0" xfId="0" applyFont="1" applyAlignment="1">
      <alignment horizontal="left" vertical="center" indent="1"/>
    </xf>
    <xf numFmtId="0" fontId="24" fillId="0" borderId="25" xfId="0" applyFont="1" applyBorder="1" applyAlignment="1">
      <alignment horizontal="left" vertical="center" indent="1"/>
    </xf>
    <xf numFmtId="0" fontId="0" fillId="0" borderId="2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169" fontId="23" fillId="0" borderId="0" xfId="3" applyNumberFormat="1" applyFont="1" applyAlignment="1">
      <alignment vertical="center" wrapText="1"/>
    </xf>
    <xf numFmtId="169" fontId="23" fillId="0" borderId="0" xfId="3" applyNumberFormat="1" applyFont="1" applyAlignment="1">
      <alignment horizontal="right" vertical="center" wrapTex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9" fontId="31" fillId="0" borderId="0" xfId="0" applyNumberFormat="1" applyFont="1" applyAlignment="1">
      <alignment vertical="center"/>
    </xf>
    <xf numFmtId="0" fontId="25" fillId="0" borderId="25" xfId="0" applyFont="1" applyBorder="1" applyAlignment="1">
      <alignment vertical="center"/>
    </xf>
    <xf numFmtId="169" fontId="23" fillId="0" borderId="25" xfId="3" applyNumberFormat="1" applyFont="1" applyBorder="1" applyAlignment="1">
      <alignment vertical="center" wrapText="1"/>
    </xf>
    <xf numFmtId="169" fontId="23" fillId="0" borderId="25" xfId="3" applyNumberFormat="1" applyFont="1" applyBorder="1" applyAlignment="1">
      <alignment horizontal="right" vertical="center" wrapText="1"/>
    </xf>
    <xf numFmtId="10" fontId="23" fillId="0" borderId="0" xfId="2" applyNumberFormat="1" applyFont="1" applyAlignment="1">
      <alignment horizontal="right" vertical="center" wrapText="1"/>
    </xf>
    <xf numFmtId="0" fontId="31" fillId="0" borderId="0" xfId="0" applyFont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2" fillId="0" borderId="25" xfId="0" applyFont="1" applyBorder="1" applyAlignment="1">
      <alignment horizontal="left" vertical="center"/>
    </xf>
    <xf numFmtId="0" fontId="32" fillId="0" borderId="25" xfId="0" applyFont="1" applyBorder="1" applyAlignment="1">
      <alignment horizontal="center" vertical="center"/>
    </xf>
    <xf numFmtId="0" fontId="23" fillId="0" borderId="0" xfId="3" applyFont="1" applyAlignment="1">
      <alignment vertical="top"/>
    </xf>
    <xf numFmtId="0" fontId="35" fillId="0" borderId="0" xfId="0" applyFont="1" applyAlignment="1">
      <alignment vertical="center"/>
    </xf>
    <xf numFmtId="0" fontId="36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9" fillId="9" borderId="51" xfId="3" applyFont="1" applyFill="1" applyBorder="1" applyAlignment="1">
      <alignment horizontal="center" vertical="center" wrapText="1"/>
    </xf>
    <xf numFmtId="0" fontId="29" fillId="9" borderId="36" xfId="3" applyFont="1" applyFill="1" applyBorder="1" applyAlignment="1">
      <alignment horizontal="center" vertical="center" wrapText="1"/>
    </xf>
    <xf numFmtId="0" fontId="38" fillId="9" borderId="40" xfId="0" applyFont="1" applyFill="1" applyBorder="1" applyAlignment="1">
      <alignment horizontal="center" vertical="center"/>
    </xf>
    <xf numFmtId="0" fontId="38" fillId="9" borderId="51" xfId="0" applyFont="1" applyFill="1" applyBorder="1" applyAlignment="1">
      <alignment horizontal="center" vertical="center"/>
    </xf>
    <xf numFmtId="0" fontId="38" fillId="9" borderId="26" xfId="0" applyFont="1" applyFill="1" applyBorder="1" applyAlignment="1">
      <alignment horizontal="center" vertical="center"/>
    </xf>
    <xf numFmtId="0" fontId="38" fillId="9" borderId="36" xfId="0" applyFont="1" applyFill="1" applyBorder="1" applyAlignment="1">
      <alignment horizontal="center" vertical="center"/>
    </xf>
    <xf numFmtId="0" fontId="34" fillId="0" borderId="43" xfId="3" applyFont="1" applyBorder="1" applyAlignment="1">
      <alignment vertical="center" wrapText="1"/>
    </xf>
    <xf numFmtId="165" fontId="34" fillId="0" borderId="0" xfId="3" applyNumberFormat="1" applyFont="1" applyAlignment="1">
      <alignment vertical="center" wrapText="1"/>
    </xf>
    <xf numFmtId="0" fontId="34" fillId="0" borderId="0" xfId="3" applyFont="1" applyAlignment="1">
      <alignment vertical="center" wrapText="1"/>
    </xf>
    <xf numFmtId="1" fontId="34" fillId="0" borderId="39" xfId="3" applyNumberFormat="1" applyFont="1" applyBorder="1" applyAlignment="1">
      <alignment vertical="center" wrapText="1"/>
    </xf>
    <xf numFmtId="0" fontId="35" fillId="0" borderId="49" xfId="0" applyFont="1" applyBorder="1" applyAlignment="1">
      <alignment horizontal="center" vertical="center"/>
    </xf>
    <xf numFmtId="2" fontId="35" fillId="0" borderId="43" xfId="0" applyNumberFormat="1" applyFont="1" applyBorder="1" applyAlignment="1">
      <alignment vertical="center"/>
    </xf>
    <xf numFmtId="2" fontId="35" fillId="0" borderId="39" xfId="0" applyNumberFormat="1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168" fontId="34" fillId="0" borderId="0" xfId="3" applyNumberFormat="1" applyFont="1" applyAlignment="1">
      <alignment vertical="top" wrapText="1"/>
    </xf>
    <xf numFmtId="0" fontId="35" fillId="0" borderId="39" xfId="0" applyFont="1" applyBorder="1" applyAlignment="1">
      <alignment horizontal="center" vertical="center"/>
    </xf>
    <xf numFmtId="0" fontId="34" fillId="0" borderId="30" xfId="3" applyFont="1" applyBorder="1" applyAlignment="1">
      <alignment vertical="center" wrapText="1"/>
    </xf>
    <xf numFmtId="165" fontId="34" fillId="0" borderId="31" xfId="3" applyNumberFormat="1" applyFont="1" applyBorder="1" applyAlignment="1">
      <alignment vertical="center" wrapText="1"/>
    </xf>
    <xf numFmtId="0" fontId="34" fillId="0" borderId="31" xfId="3" applyFont="1" applyBorder="1" applyAlignment="1">
      <alignment vertical="center" wrapText="1"/>
    </xf>
    <xf numFmtId="1" fontId="34" fillId="0" borderId="32" xfId="3" applyNumberFormat="1" applyFont="1" applyBorder="1" applyAlignment="1">
      <alignment vertical="center" wrapText="1"/>
    </xf>
    <xf numFmtId="0" fontId="35" fillId="0" borderId="50" xfId="0" applyFont="1" applyBorder="1" applyAlignment="1">
      <alignment horizontal="center" vertical="center"/>
    </xf>
    <xf numFmtId="2" fontId="35" fillId="0" borderId="30" xfId="0" applyNumberFormat="1" applyFont="1" applyBorder="1" applyAlignment="1">
      <alignment vertical="center"/>
    </xf>
    <xf numFmtId="0" fontId="35" fillId="0" borderId="31" xfId="0" applyFont="1" applyBorder="1" applyAlignment="1">
      <alignment vertical="center"/>
    </xf>
    <xf numFmtId="2" fontId="35" fillId="0" borderId="32" xfId="0" applyNumberFormat="1" applyFont="1" applyBorder="1" applyAlignment="1">
      <alignment horizontal="center" vertical="center"/>
    </xf>
    <xf numFmtId="0" fontId="35" fillId="0" borderId="30" xfId="0" applyFont="1" applyBorder="1" applyAlignment="1">
      <alignment horizontal="center" vertical="center"/>
    </xf>
    <xf numFmtId="168" fontId="34" fillId="0" borderId="31" xfId="3" applyNumberFormat="1" applyFont="1" applyBorder="1" applyAlignment="1">
      <alignment vertical="top" wrapText="1"/>
    </xf>
    <xf numFmtId="0" fontId="35" fillId="0" borderId="32" xfId="0" applyFont="1" applyBorder="1" applyAlignment="1">
      <alignment horizontal="center" vertical="center"/>
    </xf>
    <xf numFmtId="1" fontId="34" fillId="0" borderId="0" xfId="3" applyNumberFormat="1" applyFont="1" applyAlignment="1">
      <alignment vertical="center" wrapText="1"/>
    </xf>
    <xf numFmtId="168" fontId="35" fillId="0" borderId="0" xfId="0" applyNumberFormat="1" applyFont="1" applyAlignment="1">
      <alignment horizontal="center" vertical="center"/>
    </xf>
    <xf numFmtId="168" fontId="23" fillId="0" borderId="0" xfId="3" applyNumberFormat="1" applyFont="1" applyAlignment="1">
      <alignment horizontal="right" vertical="center" wrapText="1"/>
    </xf>
    <xf numFmtId="168" fontId="23" fillId="0" borderId="43" xfId="3" applyNumberFormat="1" applyFont="1" applyBorder="1" applyAlignment="1">
      <alignment horizontal="right" vertical="center" wrapText="1"/>
    </xf>
    <xf numFmtId="168" fontId="23" fillId="0" borderId="39" xfId="3" applyNumberFormat="1" applyFont="1" applyBorder="1" applyAlignment="1">
      <alignment horizontal="right" vertical="center" wrapText="1"/>
    </xf>
    <xf numFmtId="1" fontId="31" fillId="0" borderId="4" xfId="0" applyNumberFormat="1" applyFont="1" applyBorder="1" applyAlignment="1">
      <alignment horizontal="center" vertical="center"/>
    </xf>
    <xf numFmtId="10" fontId="31" fillId="0" borderId="4" xfId="0" applyNumberFormat="1" applyFont="1" applyBorder="1" applyAlignment="1">
      <alignment vertical="center"/>
    </xf>
    <xf numFmtId="0" fontId="33" fillId="0" borderId="24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 wrapText="1"/>
    </xf>
    <xf numFmtId="1" fontId="30" fillId="0" borderId="25" xfId="0" applyNumberFormat="1" applyFont="1" applyBorder="1" applyAlignment="1">
      <alignment horizontal="center" vertical="center"/>
    </xf>
    <xf numFmtId="1" fontId="30" fillId="0" borderId="38" xfId="0" applyNumberFormat="1" applyFont="1" applyBorder="1" applyAlignment="1">
      <alignment horizontal="center" vertical="center"/>
    </xf>
    <xf numFmtId="168" fontId="25" fillId="0" borderId="43" xfId="0" applyNumberFormat="1" applyFont="1" applyBorder="1" applyAlignment="1">
      <alignment vertical="center"/>
    </xf>
    <xf numFmtId="168" fontId="25" fillId="0" borderId="0" xfId="0" applyNumberFormat="1" applyFont="1" applyAlignment="1">
      <alignment vertical="center"/>
    </xf>
    <xf numFmtId="168" fontId="25" fillId="0" borderId="39" xfId="0" applyNumberFormat="1" applyFont="1" applyBorder="1" applyAlignment="1">
      <alignment vertical="center"/>
    </xf>
    <xf numFmtId="0" fontId="33" fillId="0" borderId="25" xfId="0" applyFont="1" applyBorder="1" applyAlignment="1">
      <alignment horizontal="right" vertical="center"/>
    </xf>
    <xf numFmtId="168" fontId="25" fillId="0" borderId="42" xfId="0" applyNumberFormat="1" applyFont="1" applyBorder="1" applyAlignment="1">
      <alignment vertical="center"/>
    </xf>
    <xf numFmtId="168" fontId="25" fillId="0" borderId="25" xfId="0" applyNumberFormat="1" applyFont="1" applyBorder="1" applyAlignment="1">
      <alignment vertical="center"/>
    </xf>
    <xf numFmtId="168" fontId="25" fillId="0" borderId="38" xfId="0" applyNumberFormat="1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vertical="center" wrapText="1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right" vertical="center"/>
    </xf>
    <xf numFmtId="9" fontId="0" fillId="0" borderId="0" xfId="0" applyNumberFormat="1"/>
    <xf numFmtId="8" fontId="0" fillId="0" borderId="0" xfId="0" applyNumberFormat="1"/>
    <xf numFmtId="0" fontId="15" fillId="0" borderId="26" xfId="0" applyFont="1" applyBorder="1" applyAlignment="1">
      <alignment horizontal="left" vertical="center" wrapText="1"/>
    </xf>
    <xf numFmtId="0" fontId="24" fillId="0" borderId="26" xfId="0" applyFont="1" applyBorder="1" applyAlignment="1">
      <alignment horizontal="left" vertical="center" indent="1"/>
    </xf>
    <xf numFmtId="0" fontId="15" fillId="0" borderId="26" xfId="0" applyFont="1" applyBorder="1" applyAlignment="1">
      <alignment horizontal="left" vertical="center"/>
    </xf>
    <xf numFmtId="165" fontId="25" fillId="0" borderId="0" xfId="0" applyNumberFormat="1" applyFont="1" applyAlignment="1">
      <alignment vertical="center"/>
    </xf>
    <xf numFmtId="0" fontId="23" fillId="0" borderId="0" xfId="3" applyFont="1" applyAlignment="1">
      <alignment vertical="center" wrapText="1"/>
    </xf>
    <xf numFmtId="165" fontId="23" fillId="0" borderId="0" xfId="3" applyNumberFormat="1" applyFont="1" applyAlignment="1">
      <alignment vertical="center" wrapText="1"/>
    </xf>
    <xf numFmtId="168" fontId="23" fillId="0" borderId="0" xfId="3" applyNumberFormat="1" applyFont="1" applyAlignment="1">
      <alignment vertical="center" wrapText="1"/>
    </xf>
    <xf numFmtId="1" fontId="23" fillId="0" borderId="0" xfId="3" applyNumberFormat="1" applyFont="1" applyAlignment="1">
      <alignment vertical="center" wrapText="1"/>
    </xf>
    <xf numFmtId="0" fontId="23" fillId="0" borderId="25" xfId="3" applyFont="1" applyBorder="1" applyAlignment="1">
      <alignment vertical="center" wrapText="1"/>
    </xf>
    <xf numFmtId="165" fontId="23" fillId="0" borderId="25" xfId="3" applyNumberFormat="1" applyFont="1" applyBorder="1" applyAlignment="1">
      <alignment vertical="center" wrapText="1"/>
    </xf>
    <xf numFmtId="168" fontId="23" fillId="0" borderId="25" xfId="3" applyNumberFormat="1" applyFont="1" applyBorder="1" applyAlignment="1">
      <alignment vertical="center" wrapText="1"/>
    </xf>
    <xf numFmtId="3" fontId="25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31" xfId="0" applyFont="1" applyBorder="1" applyAlignment="1">
      <alignment vertical="center"/>
    </xf>
    <xf numFmtId="0" fontId="25" fillId="0" borderId="31" xfId="0" applyFont="1" applyBorder="1" applyAlignment="1">
      <alignment horizontal="right" vertical="center"/>
    </xf>
    <xf numFmtId="165" fontId="25" fillId="0" borderId="31" xfId="0" applyNumberFormat="1" applyFont="1" applyBorder="1" applyAlignment="1">
      <alignment vertical="center"/>
    </xf>
    <xf numFmtId="3" fontId="25" fillId="0" borderId="31" xfId="0" applyNumberFormat="1" applyFont="1" applyBorder="1" applyAlignment="1">
      <alignment vertical="center"/>
    </xf>
    <xf numFmtId="0" fontId="25" fillId="0" borderId="28" xfId="0" applyFont="1" applyBorder="1" applyAlignment="1">
      <alignment vertical="center"/>
    </xf>
    <xf numFmtId="0" fontId="25" fillId="0" borderId="28" xfId="0" applyFont="1" applyBorder="1" applyAlignment="1">
      <alignment horizontal="right" vertical="center"/>
    </xf>
    <xf numFmtId="165" fontId="25" fillId="0" borderId="28" xfId="0" applyNumberFormat="1" applyFont="1" applyBorder="1" applyAlignment="1">
      <alignment vertical="center"/>
    </xf>
    <xf numFmtId="3" fontId="25" fillId="0" borderId="28" xfId="0" applyNumberFormat="1" applyFont="1" applyBorder="1" applyAlignment="1">
      <alignment vertical="center"/>
    </xf>
    <xf numFmtId="10" fontId="25" fillId="0" borderId="0" xfId="2" applyNumberFormat="1" applyFont="1" applyAlignment="1">
      <alignment vertical="center"/>
    </xf>
    <xf numFmtId="10" fontId="28" fillId="0" borderId="0" xfId="2" applyNumberFormat="1" applyFont="1" applyAlignment="1">
      <alignment vertical="top" wrapText="1"/>
    </xf>
    <xf numFmtId="10" fontId="39" fillId="0" borderId="0" xfId="2" applyNumberFormat="1" applyFont="1"/>
    <xf numFmtId="0" fontId="23" fillId="0" borderId="0" xfId="3" applyFont="1" applyAlignment="1">
      <alignment horizontal="right" vertical="top"/>
    </xf>
    <xf numFmtId="0" fontId="24" fillId="0" borderId="0" xfId="0" applyFont="1" applyAlignment="1">
      <alignment horizontal="left" vertical="center" shrinkToFit="1"/>
    </xf>
    <xf numFmtId="10" fontId="31" fillId="0" borderId="0" xfId="0" applyNumberFormat="1" applyFont="1" applyAlignment="1">
      <alignment vertical="center"/>
    </xf>
    <xf numFmtId="168" fontId="0" fillId="0" borderId="0" xfId="0" applyNumberFormat="1"/>
    <xf numFmtId="0" fontId="33" fillId="0" borderId="0" xfId="0" applyFont="1"/>
    <xf numFmtId="0" fontId="29" fillId="9" borderId="41" xfId="3" applyFont="1" applyFill="1" applyBorder="1" applyAlignment="1">
      <alignment horizontal="center" vertical="center" wrapText="1"/>
    </xf>
    <xf numFmtId="0" fontId="29" fillId="9" borderId="37" xfId="3" applyFont="1" applyFill="1" applyBorder="1" applyAlignment="1">
      <alignment horizontal="center" vertical="center" wrapText="1"/>
    </xf>
    <xf numFmtId="0" fontId="38" fillId="9" borderId="59" xfId="0" applyFont="1" applyFill="1" applyBorder="1" applyAlignment="1">
      <alignment horizontal="center" vertical="center"/>
    </xf>
    <xf numFmtId="0" fontId="38" fillId="9" borderId="41" xfId="0" applyFont="1" applyFill="1" applyBorder="1" applyAlignment="1">
      <alignment horizontal="center" vertical="center"/>
    </xf>
    <xf numFmtId="0" fontId="38" fillId="9" borderId="24" xfId="0" applyFont="1" applyFill="1" applyBorder="1" applyAlignment="1">
      <alignment horizontal="center" vertical="center"/>
    </xf>
    <xf numFmtId="0" fontId="38" fillId="9" borderId="37" xfId="0" applyFont="1" applyFill="1" applyBorder="1" applyAlignment="1">
      <alignment horizontal="center" vertical="center"/>
    </xf>
    <xf numFmtId="0" fontId="34" fillId="0" borderId="27" xfId="3" applyFont="1" applyBorder="1" applyAlignment="1">
      <alignment vertical="center" wrapText="1"/>
    </xf>
    <xf numFmtId="165" fontId="34" fillId="0" borderId="28" xfId="3" applyNumberFormat="1" applyFont="1" applyBorder="1" applyAlignment="1">
      <alignment vertical="center" wrapText="1"/>
    </xf>
    <xf numFmtId="0" fontId="34" fillId="0" borderId="28" xfId="3" applyFont="1" applyBorder="1" applyAlignment="1">
      <alignment vertical="center" wrapText="1"/>
    </xf>
    <xf numFmtId="1" fontId="34" fillId="0" borderId="28" xfId="3" applyNumberFormat="1" applyFont="1" applyBorder="1" applyAlignment="1">
      <alignment vertical="center" wrapText="1"/>
    </xf>
    <xf numFmtId="0" fontId="35" fillId="0" borderId="60" xfId="0" applyFont="1" applyBorder="1" applyAlignment="1">
      <alignment horizontal="center" vertical="center"/>
    </xf>
    <xf numFmtId="0" fontId="35" fillId="0" borderId="28" xfId="0" applyFont="1" applyBorder="1" applyAlignment="1">
      <alignment vertical="center"/>
    </xf>
    <xf numFmtId="2" fontId="35" fillId="0" borderId="27" xfId="0" applyNumberFormat="1" applyFont="1" applyBorder="1" applyAlignment="1">
      <alignment vertical="center"/>
    </xf>
    <xf numFmtId="2" fontId="35" fillId="0" borderId="29" xfId="0" applyNumberFormat="1" applyFont="1" applyBorder="1" applyAlignment="1">
      <alignment horizontal="center" vertical="center"/>
    </xf>
    <xf numFmtId="0" fontId="35" fillId="0" borderId="27" xfId="0" applyFont="1" applyBorder="1" applyAlignment="1">
      <alignment horizontal="center" vertical="center"/>
    </xf>
    <xf numFmtId="168" fontId="34" fillId="0" borderId="28" xfId="3" applyNumberFormat="1" applyFont="1" applyBorder="1" applyAlignment="1">
      <alignment vertical="top" wrapText="1"/>
    </xf>
    <xf numFmtId="0" fontId="35" fillId="0" borderId="29" xfId="0" applyFont="1" applyBorder="1" applyAlignment="1">
      <alignment horizontal="center" vertical="center"/>
    </xf>
    <xf numFmtId="0" fontId="35" fillId="0" borderId="27" xfId="0" applyFont="1" applyBorder="1" applyAlignment="1">
      <alignment vertical="center"/>
    </xf>
    <xf numFmtId="0" fontId="35" fillId="0" borderId="43" xfId="0" applyFont="1" applyBorder="1" applyAlignment="1">
      <alignment vertical="center"/>
    </xf>
    <xf numFmtId="0" fontId="35" fillId="0" borderId="30" xfId="0" applyFont="1" applyBorder="1" applyAlignment="1">
      <alignment vertical="center"/>
    </xf>
    <xf numFmtId="1" fontId="34" fillId="0" borderId="31" xfId="3" applyNumberFormat="1" applyFont="1" applyBorder="1" applyAlignment="1">
      <alignment vertical="center" wrapText="1"/>
    </xf>
    <xf numFmtId="168" fontId="35" fillId="0" borderId="0" xfId="0" applyNumberFormat="1" applyFont="1" applyAlignment="1">
      <alignment vertical="center"/>
    </xf>
    <xf numFmtId="0" fontId="35" fillId="10" borderId="0" xfId="0" applyFont="1" applyFill="1" applyAlignment="1">
      <alignment vertical="center"/>
    </xf>
    <xf numFmtId="0" fontId="42" fillId="0" borderId="0" xfId="5" applyAlignment="1">
      <alignment horizontal="left" vertical="center" indent="1"/>
    </xf>
    <xf numFmtId="0" fontId="42" fillId="0" borderId="25" xfId="5" applyBorder="1" applyAlignment="1">
      <alignment horizontal="left" vertical="center" indent="1"/>
    </xf>
    <xf numFmtId="0" fontId="42" fillId="0" borderId="26" xfId="5" applyBorder="1" applyAlignment="1">
      <alignment horizontal="left" vertical="center" indent="1"/>
    </xf>
    <xf numFmtId="1" fontId="35" fillId="0" borderId="0" xfId="0" applyNumberFormat="1" applyFont="1" applyAlignment="1">
      <alignment vertical="center"/>
    </xf>
    <xf numFmtId="0" fontId="37" fillId="0" borderId="25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4" fontId="35" fillId="0" borderId="0" xfId="0" applyNumberFormat="1" applyFont="1" applyAlignment="1">
      <alignment horizontal="right" vertical="center" indent="1"/>
    </xf>
    <xf numFmtId="0" fontId="35" fillId="0" borderId="0" xfId="0" applyFont="1" applyAlignment="1">
      <alignment horizontal="right" vertical="center" indent="1"/>
    </xf>
    <xf numFmtId="4" fontId="35" fillId="0" borderId="0" xfId="0" applyNumberFormat="1" applyFont="1" applyAlignment="1">
      <alignment horizontal="center" vertical="center"/>
    </xf>
    <xf numFmtId="0" fontId="44" fillId="0" borderId="25" xfId="0" applyFont="1" applyBorder="1" applyAlignment="1">
      <alignment horizontal="center" vertical="center"/>
    </xf>
    <xf numFmtId="0" fontId="33" fillId="0" borderId="0" xfId="0" applyFont="1" applyAlignment="1">
      <alignment horizontal="left" indent="4"/>
    </xf>
    <xf numFmtId="0" fontId="33" fillId="0" borderId="0" xfId="0" applyFont="1" applyAlignment="1">
      <alignment horizontal="left"/>
    </xf>
    <xf numFmtId="0" fontId="25" fillId="0" borderId="0" xfId="0" applyFont="1" applyAlignment="1">
      <alignment horizontal="left" indent="6"/>
    </xf>
    <xf numFmtId="0" fontId="27" fillId="9" borderId="26" xfId="3" applyFont="1" applyFill="1" applyBorder="1" applyAlignment="1">
      <alignment vertical="center" wrapText="1"/>
    </xf>
    <xf numFmtId="9" fontId="25" fillId="0" borderId="0" xfId="0" applyNumberFormat="1" applyFont="1" applyAlignment="1">
      <alignment horizontal="center" vertical="center"/>
    </xf>
    <xf numFmtId="9" fontId="25" fillId="0" borderId="25" xfId="0" applyNumberFormat="1" applyFont="1" applyBorder="1" applyAlignment="1">
      <alignment horizontal="center" vertical="center"/>
    </xf>
    <xf numFmtId="1" fontId="39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1" fontId="28" fillId="0" borderId="0" xfId="3" applyNumberFormat="1" applyFont="1" applyAlignment="1">
      <alignment horizontal="right" vertical="center" wrapText="1"/>
    </xf>
    <xf numFmtId="0" fontId="46" fillId="0" borderId="0" xfId="0" applyFont="1" applyAlignment="1">
      <alignment vertical="center"/>
    </xf>
    <xf numFmtId="0" fontId="46" fillId="0" borderId="0" xfId="0" applyFont="1" applyAlignment="1">
      <alignment horizontal="center" vertical="center"/>
    </xf>
    <xf numFmtId="0" fontId="47" fillId="0" borderId="0" xfId="0" applyFont="1"/>
    <xf numFmtId="0" fontId="48" fillId="0" borderId="0" xfId="3" applyFont="1" applyAlignment="1">
      <alignment vertical="center" wrapText="1"/>
    </xf>
    <xf numFmtId="165" fontId="48" fillId="0" borderId="0" xfId="3" applyNumberFormat="1" applyFont="1" applyAlignment="1">
      <alignment vertical="center" wrapText="1"/>
    </xf>
    <xf numFmtId="1" fontId="48" fillId="0" borderId="0" xfId="3" applyNumberFormat="1" applyFont="1" applyAlignment="1">
      <alignment vertical="center" wrapText="1"/>
    </xf>
    <xf numFmtId="168" fontId="46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168" fontId="23" fillId="0" borderId="25" xfId="3" applyNumberFormat="1" applyFont="1" applyBorder="1" applyAlignment="1">
      <alignment horizontal="right" vertical="center" wrapText="1"/>
    </xf>
    <xf numFmtId="170" fontId="35" fillId="0" borderId="0" xfId="0" applyNumberFormat="1" applyFont="1" applyAlignment="1">
      <alignment vertical="center"/>
    </xf>
    <xf numFmtId="171" fontId="35" fillId="0" borderId="0" xfId="0" applyNumberFormat="1" applyFont="1" applyAlignment="1">
      <alignment vertical="center"/>
    </xf>
    <xf numFmtId="168" fontId="49" fillId="0" borderId="0" xfId="3" applyNumberFormat="1" applyFont="1" applyAlignment="1">
      <alignment horizontal="right" vertical="center" wrapText="1"/>
    </xf>
    <xf numFmtId="0" fontId="45" fillId="0" borderId="25" xfId="0" applyFont="1" applyBorder="1"/>
    <xf numFmtId="0" fontId="33" fillId="0" borderId="25" xfId="0" applyFont="1" applyBorder="1" applyAlignment="1">
      <alignment horizontal="left" indent="4"/>
    </xf>
    <xf numFmtId="168" fontId="49" fillId="0" borderId="25" xfId="3" applyNumberFormat="1" applyFont="1" applyBorder="1" applyAlignment="1">
      <alignment horizontal="right" vertical="center" wrapText="1"/>
    </xf>
    <xf numFmtId="0" fontId="25" fillId="0" borderId="25" xfId="0" applyFont="1" applyBorder="1"/>
    <xf numFmtId="0" fontId="25" fillId="0" borderId="0" xfId="0" applyFont="1" applyAlignment="1">
      <alignment horizontal="left" indent="7"/>
    </xf>
    <xf numFmtId="0" fontId="25" fillId="0" borderId="61" xfId="0" applyFont="1" applyBorder="1" applyAlignment="1">
      <alignment horizontal="left" indent="7"/>
    </xf>
    <xf numFmtId="168" fontId="23" fillId="0" borderId="61" xfId="3" applyNumberFormat="1" applyFont="1" applyBorder="1" applyAlignment="1">
      <alignment horizontal="right" vertical="center" wrapText="1"/>
    </xf>
    <xf numFmtId="0" fontId="25" fillId="0" borderId="61" xfId="0" applyFont="1" applyBorder="1"/>
    <xf numFmtId="0" fontId="33" fillId="0" borderId="0" xfId="0" applyFont="1" applyAlignment="1">
      <alignment horizontal="left" indent="5"/>
    </xf>
    <xf numFmtId="168" fontId="30" fillId="0" borderId="0" xfId="3" applyNumberFormat="1" applyFont="1" applyAlignment="1">
      <alignment horizontal="right" vertical="center" wrapText="1"/>
    </xf>
    <xf numFmtId="172" fontId="25" fillId="0" borderId="0" xfId="0" applyNumberFormat="1" applyFont="1" applyAlignment="1">
      <alignment horizontal="left" indent="6"/>
    </xf>
    <xf numFmtId="0" fontId="1" fillId="0" borderId="24" xfId="0" applyFont="1" applyBorder="1" applyAlignment="1">
      <alignment horizontal="left" vertical="center" shrinkToFit="1"/>
    </xf>
    <xf numFmtId="0" fontId="1" fillId="0" borderId="0" xfId="0" quotePrefix="1" applyFont="1" applyAlignment="1">
      <alignment horizontal="left" vertical="center" shrinkToFit="1"/>
    </xf>
    <xf numFmtId="0" fontId="1" fillId="0" borderId="24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15" fillId="0" borderId="53" xfId="0" applyFont="1" applyBorder="1" applyAlignment="1">
      <alignment horizontal="center" vertical="center" shrinkToFit="1"/>
    </xf>
    <xf numFmtId="0" fontId="15" fillId="0" borderId="24" xfId="0" applyFont="1" applyBorder="1" applyAlignment="1">
      <alignment horizontal="center" vertical="center" shrinkToFit="1"/>
    </xf>
    <xf numFmtId="0" fontId="15" fillId="0" borderId="24" xfId="0" applyFont="1" applyBorder="1" applyAlignment="1">
      <alignment vertical="center" shrinkToFit="1"/>
    </xf>
    <xf numFmtId="0" fontId="15" fillId="0" borderId="54" xfId="0" applyFont="1" applyBorder="1" applyAlignment="1">
      <alignment vertical="center" shrinkToFit="1"/>
    </xf>
    <xf numFmtId="0" fontId="1" fillId="0" borderId="24" xfId="0" applyFont="1" applyBorder="1" applyAlignment="1">
      <alignment horizontal="right" vertical="center" shrinkToFit="1"/>
    </xf>
    <xf numFmtId="0" fontId="1" fillId="0" borderId="24" xfId="0" quotePrefix="1" applyFont="1" applyBorder="1" applyAlignment="1">
      <alignment horizontal="left" vertical="center" shrinkToFit="1"/>
    </xf>
    <xf numFmtId="0" fontId="1" fillId="0" borderId="25" xfId="0" applyFont="1" applyBorder="1" applyAlignment="1">
      <alignment horizontal="right" vertical="center" shrinkToFit="1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right" vertical="center" shrinkToFit="1"/>
    </xf>
    <xf numFmtId="0" fontId="1" fillId="0" borderId="25" xfId="0" applyFont="1" applyBorder="1" applyAlignment="1">
      <alignment horizontal="left" vertical="center" shrinkToFit="1"/>
    </xf>
    <xf numFmtId="0" fontId="1" fillId="10" borderId="24" xfId="0" applyFont="1" applyFill="1" applyBorder="1" applyAlignment="1">
      <alignment vertical="center" shrinkToFit="1"/>
    </xf>
    <xf numFmtId="10" fontId="1" fillId="0" borderId="24" xfId="2" applyNumberFormat="1" applyFont="1" applyBorder="1" applyAlignment="1">
      <alignment horizontal="center" vertical="center" shrinkToFit="1"/>
    </xf>
    <xf numFmtId="0" fontId="1" fillId="0" borderId="24" xfId="0" applyFont="1" applyBorder="1" applyAlignment="1">
      <alignment vertical="center" shrinkToFit="1"/>
    </xf>
    <xf numFmtId="0" fontId="1" fillId="0" borderId="54" xfId="0" applyFont="1" applyBorder="1" applyAlignment="1">
      <alignment vertical="center" shrinkToFit="1"/>
    </xf>
    <xf numFmtId="0" fontId="1" fillId="10" borderId="0" xfId="0" applyFont="1" applyFill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10" fontId="1" fillId="0" borderId="0" xfId="2" applyNumberFormat="1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" fillId="0" borderId="56" xfId="0" applyFont="1" applyBorder="1" applyAlignment="1">
      <alignment vertical="center" shrinkToFit="1"/>
    </xf>
    <xf numFmtId="0" fontId="1" fillId="10" borderId="25" xfId="0" applyFont="1" applyFill="1" applyBorder="1" applyAlignment="1">
      <alignment vertical="center" shrinkToFit="1"/>
    </xf>
    <xf numFmtId="0" fontId="1" fillId="0" borderId="25" xfId="0" applyFont="1" applyBorder="1" applyAlignment="1">
      <alignment horizontal="center" vertical="center" shrinkToFit="1"/>
    </xf>
    <xf numFmtId="10" fontId="1" fillId="0" borderId="25" xfId="2" applyNumberFormat="1" applyFont="1" applyBorder="1" applyAlignment="1">
      <alignment horizontal="center" vertical="center" shrinkToFit="1"/>
    </xf>
    <xf numFmtId="0" fontId="1" fillId="0" borderId="25" xfId="0" applyFont="1" applyBorder="1" applyAlignment="1">
      <alignment vertical="center" shrinkToFit="1"/>
    </xf>
    <xf numFmtId="0" fontId="1" fillId="0" borderId="58" xfId="0" applyFont="1" applyBorder="1" applyAlignment="1">
      <alignment vertical="center" shrinkToFit="1"/>
    </xf>
    <xf numFmtId="10" fontId="1" fillId="0" borderId="24" xfId="0" applyNumberFormat="1" applyFont="1" applyBorder="1" applyAlignment="1">
      <alignment horizontal="center" vertical="center" shrinkToFit="1"/>
    </xf>
    <xf numFmtId="2" fontId="1" fillId="0" borderId="25" xfId="0" applyNumberFormat="1" applyFont="1" applyBorder="1" applyAlignment="1">
      <alignment horizontal="center" vertical="center" shrinkToFit="1"/>
    </xf>
    <xf numFmtId="10" fontId="1" fillId="0" borderId="0" xfId="0" applyNumberFormat="1" applyFont="1" applyAlignment="1">
      <alignment horizontal="center" vertical="center" shrinkToFit="1"/>
    </xf>
    <xf numFmtId="10" fontId="1" fillId="0" borderId="25" xfId="0" applyNumberFormat="1" applyFont="1" applyBorder="1" applyAlignment="1">
      <alignment horizontal="center" vertical="center" shrinkToFit="1"/>
    </xf>
    <xf numFmtId="0" fontId="1" fillId="0" borderId="24" xfId="0" quotePrefix="1" applyFont="1" applyBorder="1" applyAlignment="1">
      <alignment horizontal="center" vertical="center" shrinkToFit="1"/>
    </xf>
    <xf numFmtId="2" fontId="1" fillId="0" borderId="24" xfId="0" applyNumberFormat="1" applyFont="1" applyBorder="1" applyAlignment="1">
      <alignment horizontal="center" vertical="center" shrinkToFit="1"/>
    </xf>
    <xf numFmtId="2" fontId="1" fillId="0" borderId="0" xfId="0" applyNumberFormat="1" applyFont="1" applyAlignment="1">
      <alignment horizontal="center" vertical="center" shrinkToFit="1"/>
    </xf>
    <xf numFmtId="0" fontId="1" fillId="0" borderId="0" xfId="0" quotePrefix="1" applyFont="1" applyAlignment="1">
      <alignment horizontal="center" vertical="center" shrinkToFit="1"/>
    </xf>
    <xf numFmtId="2" fontId="35" fillId="0" borderId="0" xfId="0" applyNumberFormat="1" applyFont="1" applyAlignment="1">
      <alignment horizontal="center" vertical="center"/>
    </xf>
    <xf numFmtId="10" fontId="35" fillId="0" borderId="0" xfId="0" applyNumberFormat="1" applyFont="1" applyAlignment="1">
      <alignment vertical="center"/>
    </xf>
    <xf numFmtId="2" fontId="35" fillId="0" borderId="0" xfId="0" applyNumberFormat="1" applyFont="1" applyAlignment="1">
      <alignment vertical="center"/>
    </xf>
    <xf numFmtId="9" fontId="35" fillId="0" borderId="0" xfId="0" applyNumberFormat="1" applyFont="1" applyAlignment="1">
      <alignment vertical="center"/>
    </xf>
    <xf numFmtId="166" fontId="35" fillId="0" borderId="0" xfId="0" applyNumberFormat="1" applyFont="1" applyAlignment="1">
      <alignment vertical="center"/>
    </xf>
    <xf numFmtId="0" fontId="35" fillId="0" borderId="0" xfId="0" applyFont="1" applyAlignment="1">
      <alignment horizontal="right" vertical="center"/>
    </xf>
    <xf numFmtId="0" fontId="35" fillId="0" borderId="0" xfId="0" applyFont="1" applyAlignment="1">
      <alignment horizontal="left" vertical="center"/>
    </xf>
    <xf numFmtId="173" fontId="35" fillId="0" borderId="0" xfId="0" applyNumberFormat="1" applyFont="1" applyAlignment="1">
      <alignment vertical="center"/>
    </xf>
    <xf numFmtId="0" fontId="35" fillId="0" borderId="62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170" fontId="35" fillId="0" borderId="0" xfId="0" applyNumberFormat="1" applyFont="1" applyAlignment="1">
      <alignment horizontal="center" vertical="center"/>
    </xf>
    <xf numFmtId="0" fontId="35" fillId="0" borderId="61" xfId="0" applyFont="1" applyBorder="1" applyAlignment="1">
      <alignment horizontal="center" vertical="center"/>
    </xf>
    <xf numFmtId="0" fontId="50" fillId="0" borderId="0" xfId="0" applyFont="1" applyAlignment="1">
      <alignment vertical="center"/>
    </xf>
    <xf numFmtId="0" fontId="35" fillId="0" borderId="64" xfId="0" applyFont="1" applyBorder="1" applyAlignment="1">
      <alignment vertical="center"/>
    </xf>
    <xf numFmtId="0" fontId="35" fillId="10" borderId="0" xfId="0" applyFont="1" applyFill="1" applyAlignment="1">
      <alignment horizontal="center" vertical="center"/>
    </xf>
    <xf numFmtId="170" fontId="35" fillId="10" borderId="0" xfId="0" applyNumberFormat="1" applyFont="1" applyFill="1" applyAlignment="1">
      <alignment horizontal="center" vertical="center"/>
    </xf>
    <xf numFmtId="0" fontId="35" fillId="10" borderId="0" xfId="0" applyFont="1" applyFill="1" applyAlignment="1">
      <alignment horizontal="left" vertical="center"/>
    </xf>
    <xf numFmtId="168" fontId="22" fillId="0" borderId="0" xfId="0" applyNumberFormat="1" applyFont="1"/>
    <xf numFmtId="10" fontId="0" fillId="0" borderId="0" xfId="0" applyNumberFormat="1"/>
    <xf numFmtId="174" fontId="33" fillId="0" borderId="0" xfId="1" applyNumberFormat="1" applyFont="1" applyAlignment="1">
      <alignment vertical="center" wrapText="1"/>
    </xf>
    <xf numFmtId="0" fontId="26" fillId="0" borderId="0" xfId="0" applyFont="1" applyAlignment="1">
      <alignment vertical="center"/>
    </xf>
    <xf numFmtId="0" fontId="25" fillId="0" borderId="24" xfId="0" applyFont="1" applyBorder="1" applyAlignment="1">
      <alignment vertical="center"/>
    </xf>
    <xf numFmtId="9" fontId="33" fillId="0" borderId="0" xfId="2" applyFont="1" applyAlignment="1">
      <alignment vertical="center" wrapText="1"/>
    </xf>
    <xf numFmtId="0" fontId="22" fillId="0" borderId="0" xfId="0" applyFont="1" applyAlignment="1">
      <alignment vertical="center" shrinkToFit="1"/>
    </xf>
    <xf numFmtId="0" fontId="15" fillId="0" borderId="0" xfId="0" applyFont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0" fontId="17" fillId="0" borderId="0" xfId="3" applyFont="1" applyAlignment="1">
      <alignment horizontal="left" vertical="center" wrapText="1"/>
    </xf>
    <xf numFmtId="0" fontId="16" fillId="9" borderId="45" xfId="3" applyFont="1" applyFill="1" applyBorder="1" applyAlignment="1">
      <alignment horizontal="center" vertical="center" wrapText="1"/>
    </xf>
    <xf numFmtId="0" fontId="23" fillId="0" borderId="0" xfId="3" applyFont="1" applyAlignment="1">
      <alignment horizontal="center" vertical="center" wrapText="1"/>
    </xf>
    <xf numFmtId="165" fontId="27" fillId="9" borderId="26" xfId="3" applyNumberFormat="1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5" fillId="0" borderId="25" xfId="0" applyFont="1" applyBorder="1" applyAlignment="1">
      <alignment horizontal="left" vertical="center"/>
    </xf>
    <xf numFmtId="0" fontId="25" fillId="0" borderId="25" xfId="0" applyFont="1" applyBorder="1" applyAlignment="1">
      <alignment horizontal="center" vertical="center"/>
    </xf>
    <xf numFmtId="165" fontId="29" fillId="9" borderId="24" xfId="3" applyNumberFormat="1" applyFont="1" applyFill="1" applyBorder="1" applyAlignment="1">
      <alignment horizontal="center" vertical="center" shrinkToFit="1"/>
    </xf>
    <xf numFmtId="0" fontId="38" fillId="9" borderId="41" xfId="0" applyFont="1" applyFill="1" applyBorder="1" applyAlignment="1">
      <alignment horizontal="center" vertical="center"/>
    </xf>
    <xf numFmtId="0" fontId="38" fillId="9" borderId="24" xfId="0" applyFont="1" applyFill="1" applyBorder="1" applyAlignment="1">
      <alignment horizontal="center" vertical="center"/>
    </xf>
    <xf numFmtId="165" fontId="29" fillId="9" borderId="26" xfId="3" applyNumberFormat="1" applyFont="1" applyFill="1" applyBorder="1" applyAlignment="1">
      <alignment horizontal="center" vertical="center" shrinkToFit="1"/>
    </xf>
    <xf numFmtId="0" fontId="38" fillId="9" borderId="51" xfId="0" applyFont="1" applyFill="1" applyBorder="1" applyAlignment="1">
      <alignment horizontal="center" vertical="center"/>
    </xf>
    <xf numFmtId="0" fontId="38" fillId="9" borderId="26" xfId="0" applyFont="1" applyFill="1" applyBorder="1" applyAlignment="1">
      <alignment horizontal="center" vertical="center"/>
    </xf>
    <xf numFmtId="0" fontId="35" fillId="0" borderId="0" xfId="0" applyFont="1" applyAlignment="1">
      <alignment horizontal="left" vertical="top" wrapText="1"/>
    </xf>
    <xf numFmtId="0" fontId="33" fillId="0" borderId="25" xfId="0" applyFont="1" applyBorder="1" applyAlignment="1">
      <alignment horizontal="right" vertical="center"/>
    </xf>
    <xf numFmtId="0" fontId="31" fillId="0" borderId="0" xfId="0" applyFont="1" applyAlignment="1">
      <alignment horizontal="right" vertical="center"/>
    </xf>
    <xf numFmtId="0" fontId="31" fillId="0" borderId="52" xfId="0" applyFont="1" applyBorder="1" applyAlignment="1">
      <alignment horizontal="right" vertical="center"/>
    </xf>
    <xf numFmtId="0" fontId="33" fillId="0" borderId="41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 shrinkToFit="1"/>
    </xf>
    <xf numFmtId="0" fontId="40" fillId="0" borderId="53" xfId="0" applyFont="1" applyBorder="1" applyAlignment="1">
      <alignment vertical="center" shrinkToFit="1"/>
    </xf>
    <xf numFmtId="0" fontId="40" fillId="0" borderId="55" xfId="0" applyFont="1" applyBorder="1" applyAlignment="1">
      <alignment vertical="center" shrinkToFit="1"/>
    </xf>
    <xf numFmtId="0" fontId="40" fillId="0" borderId="57" xfId="0" applyFont="1" applyBorder="1" applyAlignment="1">
      <alignment vertical="center" shrinkToFit="1"/>
    </xf>
    <xf numFmtId="0" fontId="40" fillId="0" borderId="53" xfId="0" applyFont="1" applyBorder="1" applyAlignment="1">
      <alignment horizontal="left" vertical="center" shrinkToFit="1"/>
    </xf>
    <xf numFmtId="0" fontId="40" fillId="0" borderId="57" xfId="0" applyFont="1" applyBorder="1" applyAlignment="1">
      <alignment horizontal="left" vertical="center" shrinkToFit="1"/>
    </xf>
    <xf numFmtId="0" fontId="12" fillId="0" borderId="27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0" xfId="0" applyFont="1" applyAlignment="1">
      <alignment horizontal="right" vertical="center" shrinkToFit="1"/>
    </xf>
    <xf numFmtId="0" fontId="4" fillId="0" borderId="25" xfId="0" applyFont="1" applyBorder="1" applyAlignment="1">
      <alignment horizontal="right" vertical="center" shrinkToFi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3" fontId="4" fillId="0" borderId="24" xfId="0" applyNumberFormat="1" applyFont="1" applyBorder="1" applyAlignment="1">
      <alignment horizontal="center" vertical="center"/>
    </xf>
    <xf numFmtId="3" fontId="4" fillId="0" borderId="24" xfId="0" applyNumberFormat="1" applyFont="1" applyBorder="1" applyAlignment="1">
      <alignment horizontal="right" vertical="center" shrinkToFit="1"/>
    </xf>
    <xf numFmtId="0" fontId="4" fillId="0" borderId="24" xfId="0" applyFont="1" applyBorder="1" applyAlignment="1">
      <alignment horizontal="right" vertical="center" shrinkToFit="1"/>
    </xf>
    <xf numFmtId="0" fontId="5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3" fontId="4" fillId="0" borderId="25" xfId="0" applyNumberFormat="1" applyFont="1" applyBorder="1" applyAlignment="1">
      <alignment horizontal="center" vertical="center"/>
    </xf>
  </cellXfs>
  <cellStyles count="6">
    <cellStyle name="Hipervínculo" xfId="5" builtinId="8"/>
    <cellStyle name="Millares" xfId="1" builtinId="3"/>
    <cellStyle name="Normal" xfId="0" builtinId="0"/>
    <cellStyle name="Normal 2" xfId="3" xr:uid="{7F42D29A-CBD1-454C-8D70-A1DEFF317DB0}"/>
    <cellStyle name="Porcentaje" xfId="2" builtinId="5"/>
    <cellStyle name="Porcentaje 2" xfId="4" xr:uid="{70C6D665-74C3-4564-83E7-AADA6C577297}"/>
  </cellStyles>
  <dxfs count="54">
    <dxf>
      <font>
        <color rgb="FF9C5700"/>
      </font>
      <fill>
        <patternFill>
          <bgColor rgb="FFFFEB9C"/>
        </patternFill>
      </fill>
    </dxf>
    <dxf>
      <font>
        <b val="0"/>
        <i/>
        <color theme="0" tint="-4.9989318521683403E-2"/>
      </font>
    </dxf>
    <dxf>
      <font>
        <b val="0"/>
        <i/>
        <color theme="0" tint="-0.14996795556505021"/>
      </font>
    </dxf>
    <dxf>
      <font>
        <b val="0"/>
        <i/>
        <color theme="0" tint="-0.14996795556505021"/>
      </font>
    </dxf>
    <dxf>
      <font>
        <b val="0"/>
        <i/>
        <color theme="0" tint="-0.14996795556505021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  <dxf>
      <font>
        <b val="0"/>
        <i/>
        <color theme="0" tint="-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'Pto. Equi.'!$O$3</c:f>
              <c:strCache>
                <c:ptCount val="1"/>
                <c:pt idx="0">
                  <c:v>CT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trendlineLbl>
          </c:trendline>
          <c:xVal>
            <c:numRef>
              <c:f>'Pto. Equi.'!$N$4:$N$244</c:f>
              <c:numCache>
                <c:formatCode>0</c:formatCode>
                <c:ptCount val="2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</c:numCache>
            </c:numRef>
          </c:xVal>
          <c:yVal>
            <c:numRef>
              <c:f>'Pto. Equi.'!$O$4:$O$244</c:f>
              <c:numCache>
                <c:formatCode>0</c:formatCode>
                <c:ptCount val="241"/>
                <c:pt idx="0">
                  <c:v>130840.5625</c:v>
                </c:pt>
                <c:pt idx="1">
                  <c:v>131866.9025</c:v>
                </c:pt>
                <c:pt idx="2">
                  <c:v>132893.24249999999</c:v>
                </c:pt>
                <c:pt idx="3">
                  <c:v>133919.58249999999</c:v>
                </c:pt>
                <c:pt idx="4">
                  <c:v>134945.92249999999</c:v>
                </c:pt>
                <c:pt idx="5">
                  <c:v>135972.26250000001</c:v>
                </c:pt>
                <c:pt idx="6">
                  <c:v>136998.60250000001</c:v>
                </c:pt>
                <c:pt idx="7">
                  <c:v>138024.9425</c:v>
                </c:pt>
                <c:pt idx="8">
                  <c:v>139051.2825</c:v>
                </c:pt>
                <c:pt idx="9">
                  <c:v>140077.6225</c:v>
                </c:pt>
                <c:pt idx="10">
                  <c:v>141103.96249999999</c:v>
                </c:pt>
                <c:pt idx="11">
                  <c:v>142130.30249999999</c:v>
                </c:pt>
                <c:pt idx="12">
                  <c:v>143156.64250000002</c:v>
                </c:pt>
                <c:pt idx="13">
                  <c:v>144182.98250000001</c:v>
                </c:pt>
                <c:pt idx="14">
                  <c:v>145209.32250000001</c:v>
                </c:pt>
                <c:pt idx="15">
                  <c:v>146235.66250000001</c:v>
                </c:pt>
                <c:pt idx="16">
                  <c:v>147262.0025</c:v>
                </c:pt>
                <c:pt idx="17">
                  <c:v>148288.3425</c:v>
                </c:pt>
                <c:pt idx="18">
                  <c:v>149314.6825</c:v>
                </c:pt>
                <c:pt idx="19">
                  <c:v>150341.02249999999</c:v>
                </c:pt>
                <c:pt idx="20">
                  <c:v>151367.36249999999</c:v>
                </c:pt>
                <c:pt idx="21">
                  <c:v>152393.70250000001</c:v>
                </c:pt>
                <c:pt idx="22">
                  <c:v>153420.04250000001</c:v>
                </c:pt>
                <c:pt idx="23">
                  <c:v>154446.38250000001</c:v>
                </c:pt>
                <c:pt idx="24">
                  <c:v>155472.7225</c:v>
                </c:pt>
                <c:pt idx="25">
                  <c:v>156499.0625</c:v>
                </c:pt>
                <c:pt idx="26">
                  <c:v>157525.4025</c:v>
                </c:pt>
                <c:pt idx="27">
                  <c:v>158551.74249999999</c:v>
                </c:pt>
                <c:pt idx="28">
                  <c:v>159578.08250000002</c:v>
                </c:pt>
                <c:pt idx="29">
                  <c:v>160604.42250000002</c:v>
                </c:pt>
                <c:pt idx="30">
                  <c:v>161630.76250000001</c:v>
                </c:pt>
                <c:pt idx="31">
                  <c:v>162657.10250000001</c:v>
                </c:pt>
                <c:pt idx="32">
                  <c:v>163683.4425</c:v>
                </c:pt>
                <c:pt idx="33">
                  <c:v>164709.7825</c:v>
                </c:pt>
                <c:pt idx="34">
                  <c:v>165736.1225</c:v>
                </c:pt>
                <c:pt idx="35">
                  <c:v>166762.46250000002</c:v>
                </c:pt>
                <c:pt idx="36">
                  <c:v>167788.80249999999</c:v>
                </c:pt>
                <c:pt idx="37">
                  <c:v>168815.14250000002</c:v>
                </c:pt>
                <c:pt idx="38">
                  <c:v>169841.48250000001</c:v>
                </c:pt>
                <c:pt idx="39">
                  <c:v>170867.82250000001</c:v>
                </c:pt>
                <c:pt idx="40">
                  <c:v>171894.16250000001</c:v>
                </c:pt>
                <c:pt idx="41">
                  <c:v>172920.5025</c:v>
                </c:pt>
                <c:pt idx="42">
                  <c:v>173946.8425</c:v>
                </c:pt>
                <c:pt idx="43">
                  <c:v>174973.1825</c:v>
                </c:pt>
                <c:pt idx="44">
                  <c:v>175999.52250000002</c:v>
                </c:pt>
                <c:pt idx="45">
                  <c:v>177025.86249999999</c:v>
                </c:pt>
                <c:pt idx="46">
                  <c:v>178052.20250000001</c:v>
                </c:pt>
                <c:pt idx="47">
                  <c:v>179078.54250000001</c:v>
                </c:pt>
                <c:pt idx="48">
                  <c:v>180104.88250000001</c:v>
                </c:pt>
                <c:pt idx="49">
                  <c:v>181131.2225</c:v>
                </c:pt>
                <c:pt idx="50">
                  <c:v>182157.5625</c:v>
                </c:pt>
                <c:pt idx="51">
                  <c:v>183183.90250000003</c:v>
                </c:pt>
                <c:pt idx="52">
                  <c:v>184210.24249999999</c:v>
                </c:pt>
                <c:pt idx="53">
                  <c:v>185236.58250000002</c:v>
                </c:pt>
                <c:pt idx="54">
                  <c:v>186262.92250000002</c:v>
                </c:pt>
                <c:pt idx="55">
                  <c:v>187289.26250000001</c:v>
                </c:pt>
                <c:pt idx="56">
                  <c:v>188315.60250000001</c:v>
                </c:pt>
                <c:pt idx="57">
                  <c:v>189341.9425</c:v>
                </c:pt>
                <c:pt idx="58">
                  <c:v>190368.2825</c:v>
                </c:pt>
                <c:pt idx="59">
                  <c:v>191394.6225</c:v>
                </c:pt>
                <c:pt idx="60">
                  <c:v>192420.96250000002</c:v>
                </c:pt>
                <c:pt idx="61">
                  <c:v>193447.30249999999</c:v>
                </c:pt>
                <c:pt idx="62">
                  <c:v>194473.64250000002</c:v>
                </c:pt>
                <c:pt idx="63">
                  <c:v>195499.98250000001</c:v>
                </c:pt>
                <c:pt idx="64">
                  <c:v>196526.32250000001</c:v>
                </c:pt>
                <c:pt idx="65">
                  <c:v>197552.66250000001</c:v>
                </c:pt>
                <c:pt idx="66">
                  <c:v>198579.0025</c:v>
                </c:pt>
                <c:pt idx="67">
                  <c:v>199605.34250000003</c:v>
                </c:pt>
                <c:pt idx="68">
                  <c:v>200631.6825</c:v>
                </c:pt>
                <c:pt idx="69">
                  <c:v>201658.02250000002</c:v>
                </c:pt>
                <c:pt idx="70">
                  <c:v>202684.36250000002</c:v>
                </c:pt>
                <c:pt idx="71">
                  <c:v>203710.70250000001</c:v>
                </c:pt>
                <c:pt idx="72">
                  <c:v>204737.04250000001</c:v>
                </c:pt>
                <c:pt idx="73">
                  <c:v>205763.38250000001</c:v>
                </c:pt>
                <c:pt idx="74">
                  <c:v>206789.7225</c:v>
                </c:pt>
                <c:pt idx="75">
                  <c:v>207816.0625</c:v>
                </c:pt>
                <c:pt idx="76">
                  <c:v>208842.40250000003</c:v>
                </c:pt>
                <c:pt idx="77">
                  <c:v>209868.74249999999</c:v>
                </c:pt>
                <c:pt idx="78">
                  <c:v>210895.08250000002</c:v>
                </c:pt>
                <c:pt idx="79">
                  <c:v>211921.42250000002</c:v>
                </c:pt>
                <c:pt idx="80">
                  <c:v>212947.76250000001</c:v>
                </c:pt>
                <c:pt idx="81">
                  <c:v>213974.10250000001</c:v>
                </c:pt>
                <c:pt idx="82">
                  <c:v>215000.4425</c:v>
                </c:pt>
                <c:pt idx="83">
                  <c:v>216026.78250000003</c:v>
                </c:pt>
                <c:pt idx="84">
                  <c:v>217053.1225</c:v>
                </c:pt>
                <c:pt idx="85">
                  <c:v>218079.46250000002</c:v>
                </c:pt>
                <c:pt idx="86">
                  <c:v>219105.80250000002</c:v>
                </c:pt>
                <c:pt idx="87">
                  <c:v>220132.14250000002</c:v>
                </c:pt>
                <c:pt idx="88">
                  <c:v>221158.48250000001</c:v>
                </c:pt>
                <c:pt idx="89">
                  <c:v>222184.82250000001</c:v>
                </c:pt>
                <c:pt idx="90">
                  <c:v>223211.16250000001</c:v>
                </c:pt>
                <c:pt idx="91">
                  <c:v>224237.5025</c:v>
                </c:pt>
                <c:pt idx="92">
                  <c:v>225263.84250000003</c:v>
                </c:pt>
                <c:pt idx="93">
                  <c:v>226290.1825</c:v>
                </c:pt>
                <c:pt idx="94">
                  <c:v>227316.52250000002</c:v>
                </c:pt>
                <c:pt idx="95">
                  <c:v>228342.86250000002</c:v>
                </c:pt>
                <c:pt idx="96">
                  <c:v>229369.20250000001</c:v>
                </c:pt>
                <c:pt idx="97">
                  <c:v>230395.54250000001</c:v>
                </c:pt>
                <c:pt idx="98">
                  <c:v>231421.88250000001</c:v>
                </c:pt>
                <c:pt idx="99">
                  <c:v>232448.22250000003</c:v>
                </c:pt>
                <c:pt idx="100">
                  <c:v>233474.5625</c:v>
                </c:pt>
                <c:pt idx="101">
                  <c:v>234500.90250000003</c:v>
                </c:pt>
                <c:pt idx="102">
                  <c:v>235527.24250000002</c:v>
                </c:pt>
                <c:pt idx="103">
                  <c:v>236553.58250000002</c:v>
                </c:pt>
                <c:pt idx="104">
                  <c:v>237579.92250000002</c:v>
                </c:pt>
                <c:pt idx="105">
                  <c:v>238606.26250000001</c:v>
                </c:pt>
                <c:pt idx="106">
                  <c:v>239632.60250000001</c:v>
                </c:pt>
                <c:pt idx="107">
                  <c:v>240658.9425</c:v>
                </c:pt>
                <c:pt idx="108">
                  <c:v>241685.28250000003</c:v>
                </c:pt>
                <c:pt idx="109">
                  <c:v>242711.6225</c:v>
                </c:pt>
                <c:pt idx="110">
                  <c:v>243737.96250000002</c:v>
                </c:pt>
                <c:pt idx="111">
                  <c:v>244764.30250000002</c:v>
                </c:pt>
                <c:pt idx="112">
                  <c:v>245790.64250000002</c:v>
                </c:pt>
                <c:pt idx="113">
                  <c:v>246816.98250000001</c:v>
                </c:pt>
                <c:pt idx="114">
                  <c:v>247843.32250000001</c:v>
                </c:pt>
                <c:pt idx="115">
                  <c:v>248869.66250000003</c:v>
                </c:pt>
                <c:pt idx="116">
                  <c:v>249896.0025</c:v>
                </c:pt>
                <c:pt idx="117">
                  <c:v>250922.34250000003</c:v>
                </c:pt>
                <c:pt idx="118">
                  <c:v>251948.68250000002</c:v>
                </c:pt>
                <c:pt idx="119">
                  <c:v>252975.02250000002</c:v>
                </c:pt>
                <c:pt idx="120">
                  <c:v>254001.36250000002</c:v>
                </c:pt>
                <c:pt idx="121">
                  <c:v>255027.70250000001</c:v>
                </c:pt>
                <c:pt idx="122">
                  <c:v>256054.04250000001</c:v>
                </c:pt>
                <c:pt idx="123">
                  <c:v>257080.38250000001</c:v>
                </c:pt>
                <c:pt idx="124">
                  <c:v>258106.72250000003</c:v>
                </c:pt>
                <c:pt idx="125">
                  <c:v>259133.0625</c:v>
                </c:pt>
                <c:pt idx="126">
                  <c:v>260159.40250000003</c:v>
                </c:pt>
                <c:pt idx="127">
                  <c:v>261185.74250000002</c:v>
                </c:pt>
                <c:pt idx="128">
                  <c:v>262212.08250000002</c:v>
                </c:pt>
                <c:pt idx="129">
                  <c:v>263238.42249999999</c:v>
                </c:pt>
                <c:pt idx="130">
                  <c:v>264264.76250000001</c:v>
                </c:pt>
                <c:pt idx="131">
                  <c:v>265291.10250000004</c:v>
                </c:pt>
                <c:pt idx="132">
                  <c:v>266317.4425</c:v>
                </c:pt>
                <c:pt idx="133">
                  <c:v>267343.78250000003</c:v>
                </c:pt>
                <c:pt idx="134">
                  <c:v>268370.12250000006</c:v>
                </c:pt>
                <c:pt idx="135">
                  <c:v>269396.46250000002</c:v>
                </c:pt>
                <c:pt idx="136">
                  <c:v>270422.80249999999</c:v>
                </c:pt>
                <c:pt idx="137">
                  <c:v>271449.14250000002</c:v>
                </c:pt>
                <c:pt idx="138">
                  <c:v>272475.48250000004</c:v>
                </c:pt>
                <c:pt idx="139">
                  <c:v>273501.82250000001</c:v>
                </c:pt>
                <c:pt idx="140">
                  <c:v>274528.16250000003</c:v>
                </c:pt>
                <c:pt idx="141">
                  <c:v>275554.50250000006</c:v>
                </c:pt>
                <c:pt idx="142">
                  <c:v>276580.84250000003</c:v>
                </c:pt>
                <c:pt idx="143">
                  <c:v>277607.1825</c:v>
                </c:pt>
                <c:pt idx="144">
                  <c:v>278633.52250000002</c:v>
                </c:pt>
                <c:pt idx="145">
                  <c:v>279659.86250000005</c:v>
                </c:pt>
                <c:pt idx="146">
                  <c:v>280686.20250000001</c:v>
                </c:pt>
                <c:pt idx="147">
                  <c:v>281712.54249999998</c:v>
                </c:pt>
                <c:pt idx="148">
                  <c:v>282738.88250000001</c:v>
                </c:pt>
                <c:pt idx="149">
                  <c:v>283765.22250000003</c:v>
                </c:pt>
                <c:pt idx="150">
                  <c:v>284791.5625</c:v>
                </c:pt>
                <c:pt idx="151">
                  <c:v>285817.90250000003</c:v>
                </c:pt>
                <c:pt idx="152">
                  <c:v>286844.24250000005</c:v>
                </c:pt>
                <c:pt idx="153">
                  <c:v>287870.58250000002</c:v>
                </c:pt>
                <c:pt idx="154">
                  <c:v>288896.92249999999</c:v>
                </c:pt>
                <c:pt idx="155">
                  <c:v>289923.26250000001</c:v>
                </c:pt>
                <c:pt idx="156">
                  <c:v>290949.60250000004</c:v>
                </c:pt>
                <c:pt idx="157">
                  <c:v>291975.9425</c:v>
                </c:pt>
                <c:pt idx="158">
                  <c:v>293002.28250000003</c:v>
                </c:pt>
                <c:pt idx="159">
                  <c:v>294028.62250000006</c:v>
                </c:pt>
                <c:pt idx="160">
                  <c:v>295054.96250000002</c:v>
                </c:pt>
                <c:pt idx="161">
                  <c:v>296081.30249999999</c:v>
                </c:pt>
                <c:pt idx="162">
                  <c:v>297107.64250000002</c:v>
                </c:pt>
                <c:pt idx="163">
                  <c:v>298133.98250000004</c:v>
                </c:pt>
                <c:pt idx="164">
                  <c:v>299160.32250000001</c:v>
                </c:pt>
                <c:pt idx="165">
                  <c:v>300186.66250000003</c:v>
                </c:pt>
                <c:pt idx="166">
                  <c:v>301213.00250000006</c:v>
                </c:pt>
                <c:pt idx="167">
                  <c:v>302239.34250000003</c:v>
                </c:pt>
                <c:pt idx="168">
                  <c:v>303265.6825</c:v>
                </c:pt>
                <c:pt idx="169">
                  <c:v>304292.02250000002</c:v>
                </c:pt>
                <c:pt idx="170">
                  <c:v>305318.36250000005</c:v>
                </c:pt>
                <c:pt idx="171">
                  <c:v>306344.70250000001</c:v>
                </c:pt>
                <c:pt idx="172">
                  <c:v>307371.04250000004</c:v>
                </c:pt>
                <c:pt idx="173">
                  <c:v>308397.38250000007</c:v>
                </c:pt>
                <c:pt idx="174">
                  <c:v>309423.72250000003</c:v>
                </c:pt>
                <c:pt idx="175">
                  <c:v>310450.0625</c:v>
                </c:pt>
                <c:pt idx="176">
                  <c:v>311476.40250000003</c:v>
                </c:pt>
                <c:pt idx="177">
                  <c:v>312502.74250000005</c:v>
                </c:pt>
                <c:pt idx="178">
                  <c:v>313529.08250000002</c:v>
                </c:pt>
                <c:pt idx="179">
                  <c:v>314555.42249999999</c:v>
                </c:pt>
                <c:pt idx="180">
                  <c:v>315581.76250000001</c:v>
                </c:pt>
                <c:pt idx="181">
                  <c:v>316608.10250000004</c:v>
                </c:pt>
                <c:pt idx="182">
                  <c:v>317634.4425</c:v>
                </c:pt>
                <c:pt idx="183">
                  <c:v>318660.78250000003</c:v>
                </c:pt>
                <c:pt idx="184">
                  <c:v>319687.12250000006</c:v>
                </c:pt>
                <c:pt idx="185">
                  <c:v>320713.46250000002</c:v>
                </c:pt>
                <c:pt idx="186">
                  <c:v>321739.80249999999</c:v>
                </c:pt>
                <c:pt idx="187">
                  <c:v>322766.14250000002</c:v>
                </c:pt>
                <c:pt idx="188">
                  <c:v>323792.48250000004</c:v>
                </c:pt>
                <c:pt idx="189">
                  <c:v>324818.82250000001</c:v>
                </c:pt>
                <c:pt idx="190">
                  <c:v>325845.16250000003</c:v>
                </c:pt>
                <c:pt idx="191">
                  <c:v>326871.50250000006</c:v>
                </c:pt>
                <c:pt idx="192">
                  <c:v>327897.84250000003</c:v>
                </c:pt>
                <c:pt idx="193">
                  <c:v>328924.1825</c:v>
                </c:pt>
                <c:pt idx="194">
                  <c:v>329950.52250000002</c:v>
                </c:pt>
                <c:pt idx="195">
                  <c:v>330976.86250000005</c:v>
                </c:pt>
                <c:pt idx="196">
                  <c:v>332003.20250000001</c:v>
                </c:pt>
                <c:pt idx="197">
                  <c:v>333029.54250000004</c:v>
                </c:pt>
                <c:pt idx="198">
                  <c:v>334055.88250000007</c:v>
                </c:pt>
                <c:pt idx="199">
                  <c:v>335082.22250000003</c:v>
                </c:pt>
                <c:pt idx="200">
                  <c:v>336108.5625</c:v>
                </c:pt>
                <c:pt idx="201">
                  <c:v>337134.90250000003</c:v>
                </c:pt>
                <c:pt idx="202">
                  <c:v>338161.24250000005</c:v>
                </c:pt>
                <c:pt idx="203">
                  <c:v>339187.58250000002</c:v>
                </c:pt>
                <c:pt idx="204">
                  <c:v>340213.92250000004</c:v>
                </c:pt>
                <c:pt idx="205">
                  <c:v>341240.26250000007</c:v>
                </c:pt>
                <c:pt idx="206">
                  <c:v>342266.60250000004</c:v>
                </c:pt>
                <c:pt idx="207">
                  <c:v>343292.9425</c:v>
                </c:pt>
                <c:pt idx="208">
                  <c:v>344319.28250000003</c:v>
                </c:pt>
                <c:pt idx="209">
                  <c:v>345345.62250000006</c:v>
                </c:pt>
                <c:pt idx="210">
                  <c:v>346371.96250000002</c:v>
                </c:pt>
                <c:pt idx="211">
                  <c:v>347398.30249999999</c:v>
                </c:pt>
                <c:pt idx="212">
                  <c:v>348424.64250000002</c:v>
                </c:pt>
                <c:pt idx="213">
                  <c:v>349450.98250000004</c:v>
                </c:pt>
                <c:pt idx="214">
                  <c:v>350477.32250000001</c:v>
                </c:pt>
                <c:pt idx="215">
                  <c:v>351503.66250000003</c:v>
                </c:pt>
                <c:pt idx="216">
                  <c:v>352530.00250000006</c:v>
                </c:pt>
                <c:pt idx="217">
                  <c:v>353556.34250000003</c:v>
                </c:pt>
                <c:pt idx="218">
                  <c:v>354582.6825</c:v>
                </c:pt>
                <c:pt idx="219">
                  <c:v>355609.02250000002</c:v>
                </c:pt>
                <c:pt idx="220">
                  <c:v>356635.36250000005</c:v>
                </c:pt>
                <c:pt idx="221">
                  <c:v>357661.70250000001</c:v>
                </c:pt>
                <c:pt idx="222">
                  <c:v>358688.04250000004</c:v>
                </c:pt>
                <c:pt idx="223">
                  <c:v>359714.38250000007</c:v>
                </c:pt>
                <c:pt idx="224">
                  <c:v>360740.72250000003</c:v>
                </c:pt>
                <c:pt idx="225">
                  <c:v>361767.0625</c:v>
                </c:pt>
                <c:pt idx="226">
                  <c:v>362793.40250000003</c:v>
                </c:pt>
                <c:pt idx="227">
                  <c:v>363819.74250000005</c:v>
                </c:pt>
                <c:pt idx="228">
                  <c:v>364846.08250000002</c:v>
                </c:pt>
                <c:pt idx="229">
                  <c:v>365872.42250000004</c:v>
                </c:pt>
                <c:pt idx="230">
                  <c:v>366898.76250000007</c:v>
                </c:pt>
                <c:pt idx="231">
                  <c:v>367925.10250000004</c:v>
                </c:pt>
                <c:pt idx="232">
                  <c:v>368951.4425</c:v>
                </c:pt>
                <c:pt idx="233">
                  <c:v>369977.78250000003</c:v>
                </c:pt>
                <c:pt idx="234">
                  <c:v>371004.12250000006</c:v>
                </c:pt>
                <c:pt idx="235">
                  <c:v>372030.46250000002</c:v>
                </c:pt>
                <c:pt idx="236">
                  <c:v>373056.80250000005</c:v>
                </c:pt>
                <c:pt idx="237">
                  <c:v>374083.14250000007</c:v>
                </c:pt>
                <c:pt idx="238">
                  <c:v>375109.48250000004</c:v>
                </c:pt>
                <c:pt idx="239">
                  <c:v>376135.82250000001</c:v>
                </c:pt>
                <c:pt idx="240">
                  <c:v>377162.16250000003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46D-48AB-87BE-12E5AEFDC745}"/>
            </c:ext>
          </c:extLst>
        </c:ser>
        <c:ser>
          <c:idx val="1"/>
          <c:order val="1"/>
          <c:tx>
            <c:strRef>
              <c:f>'Pto. Equi.'!$P$3</c:f>
              <c:strCache>
                <c:ptCount val="1"/>
                <c:pt idx="0">
                  <c:v>IT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trendlineLbl>
          </c:trendline>
          <c:xVal>
            <c:numRef>
              <c:f>'Pto. Equi.'!$N$4:$N$244</c:f>
              <c:numCache>
                <c:formatCode>0</c:formatCode>
                <c:ptCount val="2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</c:numCache>
            </c:numRef>
          </c:xVal>
          <c:yVal>
            <c:numRef>
              <c:f>'Pto. Equi.'!$P$4:$P$244</c:f>
              <c:numCache>
                <c:formatCode>0</c:formatCode>
                <c:ptCount val="241"/>
                <c:pt idx="0">
                  <c:v>0</c:v>
                </c:pt>
                <c:pt idx="1">
                  <c:v>3500</c:v>
                </c:pt>
                <c:pt idx="2">
                  <c:v>7000</c:v>
                </c:pt>
                <c:pt idx="3">
                  <c:v>10500</c:v>
                </c:pt>
                <c:pt idx="4">
                  <c:v>14000</c:v>
                </c:pt>
                <c:pt idx="5">
                  <c:v>17500</c:v>
                </c:pt>
                <c:pt idx="6">
                  <c:v>21000</c:v>
                </c:pt>
                <c:pt idx="7">
                  <c:v>24500</c:v>
                </c:pt>
                <c:pt idx="8">
                  <c:v>28000</c:v>
                </c:pt>
                <c:pt idx="9">
                  <c:v>31500</c:v>
                </c:pt>
                <c:pt idx="10">
                  <c:v>35000</c:v>
                </c:pt>
                <c:pt idx="11">
                  <c:v>38500</c:v>
                </c:pt>
                <c:pt idx="12">
                  <c:v>42000</c:v>
                </c:pt>
                <c:pt idx="13">
                  <c:v>45500</c:v>
                </c:pt>
                <c:pt idx="14">
                  <c:v>49000</c:v>
                </c:pt>
                <c:pt idx="15">
                  <c:v>52500</c:v>
                </c:pt>
                <c:pt idx="16">
                  <c:v>56000</c:v>
                </c:pt>
                <c:pt idx="17">
                  <c:v>59500</c:v>
                </c:pt>
                <c:pt idx="18">
                  <c:v>63000</c:v>
                </c:pt>
                <c:pt idx="19">
                  <c:v>66500</c:v>
                </c:pt>
                <c:pt idx="20">
                  <c:v>70000</c:v>
                </c:pt>
                <c:pt idx="21">
                  <c:v>73500</c:v>
                </c:pt>
                <c:pt idx="22">
                  <c:v>77000</c:v>
                </c:pt>
                <c:pt idx="23">
                  <c:v>80500</c:v>
                </c:pt>
                <c:pt idx="24">
                  <c:v>84000</c:v>
                </c:pt>
                <c:pt idx="25">
                  <c:v>87500</c:v>
                </c:pt>
                <c:pt idx="26">
                  <c:v>91000</c:v>
                </c:pt>
                <c:pt idx="27">
                  <c:v>94500</c:v>
                </c:pt>
                <c:pt idx="28">
                  <c:v>98000</c:v>
                </c:pt>
                <c:pt idx="29">
                  <c:v>101500</c:v>
                </c:pt>
                <c:pt idx="30">
                  <c:v>105000</c:v>
                </c:pt>
                <c:pt idx="31">
                  <c:v>108500</c:v>
                </c:pt>
                <c:pt idx="32">
                  <c:v>112000</c:v>
                </c:pt>
                <c:pt idx="33">
                  <c:v>115500</c:v>
                </c:pt>
                <c:pt idx="34">
                  <c:v>119000</c:v>
                </c:pt>
                <c:pt idx="35">
                  <c:v>122500</c:v>
                </c:pt>
                <c:pt idx="36">
                  <c:v>126000</c:v>
                </c:pt>
                <c:pt idx="37">
                  <c:v>129500</c:v>
                </c:pt>
                <c:pt idx="38">
                  <c:v>133000</c:v>
                </c:pt>
                <c:pt idx="39">
                  <c:v>136500</c:v>
                </c:pt>
                <c:pt idx="40">
                  <c:v>140000</c:v>
                </c:pt>
                <c:pt idx="41">
                  <c:v>143500</c:v>
                </c:pt>
                <c:pt idx="42">
                  <c:v>147000</c:v>
                </c:pt>
                <c:pt idx="43">
                  <c:v>150500</c:v>
                </c:pt>
                <c:pt idx="44">
                  <c:v>154000</c:v>
                </c:pt>
                <c:pt idx="45">
                  <c:v>157500</c:v>
                </c:pt>
                <c:pt idx="46">
                  <c:v>161000</c:v>
                </c:pt>
                <c:pt idx="47">
                  <c:v>164500</c:v>
                </c:pt>
                <c:pt idx="48">
                  <c:v>168000</c:v>
                </c:pt>
                <c:pt idx="49">
                  <c:v>171500</c:v>
                </c:pt>
                <c:pt idx="50">
                  <c:v>175000</c:v>
                </c:pt>
                <c:pt idx="51">
                  <c:v>178500</c:v>
                </c:pt>
                <c:pt idx="52">
                  <c:v>182000</c:v>
                </c:pt>
                <c:pt idx="53">
                  <c:v>185500</c:v>
                </c:pt>
                <c:pt idx="54">
                  <c:v>189000</c:v>
                </c:pt>
                <c:pt idx="55">
                  <c:v>192500</c:v>
                </c:pt>
                <c:pt idx="56">
                  <c:v>196000</c:v>
                </c:pt>
                <c:pt idx="57">
                  <c:v>199500</c:v>
                </c:pt>
                <c:pt idx="58">
                  <c:v>203000</c:v>
                </c:pt>
                <c:pt idx="59">
                  <c:v>206500</c:v>
                </c:pt>
                <c:pt idx="60">
                  <c:v>210000</c:v>
                </c:pt>
                <c:pt idx="61">
                  <c:v>213500</c:v>
                </c:pt>
                <c:pt idx="62">
                  <c:v>217000</c:v>
                </c:pt>
                <c:pt idx="63">
                  <c:v>220500</c:v>
                </c:pt>
                <c:pt idx="64">
                  <c:v>224000</c:v>
                </c:pt>
                <c:pt idx="65">
                  <c:v>227500</c:v>
                </c:pt>
                <c:pt idx="66">
                  <c:v>231000</c:v>
                </c:pt>
                <c:pt idx="67">
                  <c:v>234500</c:v>
                </c:pt>
                <c:pt idx="68">
                  <c:v>238000</c:v>
                </c:pt>
                <c:pt idx="69">
                  <c:v>241500</c:v>
                </c:pt>
                <c:pt idx="70">
                  <c:v>245000</c:v>
                </c:pt>
                <c:pt idx="71">
                  <c:v>248500</c:v>
                </c:pt>
                <c:pt idx="72">
                  <c:v>252000</c:v>
                </c:pt>
                <c:pt idx="73">
                  <c:v>255500</c:v>
                </c:pt>
                <c:pt idx="74">
                  <c:v>259000</c:v>
                </c:pt>
                <c:pt idx="75">
                  <c:v>262500</c:v>
                </c:pt>
                <c:pt idx="76">
                  <c:v>266000</c:v>
                </c:pt>
                <c:pt idx="77">
                  <c:v>269500</c:v>
                </c:pt>
                <c:pt idx="78">
                  <c:v>273000</c:v>
                </c:pt>
                <c:pt idx="79">
                  <c:v>276500</c:v>
                </c:pt>
                <c:pt idx="80">
                  <c:v>280000</c:v>
                </c:pt>
                <c:pt idx="81">
                  <c:v>283500</c:v>
                </c:pt>
                <c:pt idx="82">
                  <c:v>287000</c:v>
                </c:pt>
                <c:pt idx="83">
                  <c:v>290500</c:v>
                </c:pt>
                <c:pt idx="84">
                  <c:v>294000</c:v>
                </c:pt>
                <c:pt idx="85">
                  <c:v>297500</c:v>
                </c:pt>
                <c:pt idx="86">
                  <c:v>301000</c:v>
                </c:pt>
                <c:pt idx="87">
                  <c:v>304500</c:v>
                </c:pt>
                <c:pt idx="88">
                  <c:v>308000</c:v>
                </c:pt>
                <c:pt idx="89">
                  <c:v>311500</c:v>
                </c:pt>
                <c:pt idx="90">
                  <c:v>315000</c:v>
                </c:pt>
                <c:pt idx="91">
                  <c:v>318500</c:v>
                </c:pt>
                <c:pt idx="92">
                  <c:v>322000</c:v>
                </c:pt>
                <c:pt idx="93">
                  <c:v>325500</c:v>
                </c:pt>
                <c:pt idx="94">
                  <c:v>329000</c:v>
                </c:pt>
                <c:pt idx="95">
                  <c:v>332500</c:v>
                </c:pt>
                <c:pt idx="96">
                  <c:v>336000</c:v>
                </c:pt>
                <c:pt idx="97">
                  <c:v>339500</c:v>
                </c:pt>
                <c:pt idx="98">
                  <c:v>343000</c:v>
                </c:pt>
                <c:pt idx="99">
                  <c:v>346500</c:v>
                </c:pt>
                <c:pt idx="100">
                  <c:v>350000</c:v>
                </c:pt>
                <c:pt idx="101">
                  <c:v>353500</c:v>
                </c:pt>
                <c:pt idx="102">
                  <c:v>357000</c:v>
                </c:pt>
                <c:pt idx="103">
                  <c:v>360500</c:v>
                </c:pt>
                <c:pt idx="104">
                  <c:v>364000</c:v>
                </c:pt>
                <c:pt idx="105">
                  <c:v>367500</c:v>
                </c:pt>
                <c:pt idx="106">
                  <c:v>371000</c:v>
                </c:pt>
                <c:pt idx="107">
                  <c:v>374500</c:v>
                </c:pt>
                <c:pt idx="108">
                  <c:v>378000</c:v>
                </c:pt>
                <c:pt idx="109">
                  <c:v>381500</c:v>
                </c:pt>
                <c:pt idx="110">
                  <c:v>385000</c:v>
                </c:pt>
                <c:pt idx="111">
                  <c:v>388500</c:v>
                </c:pt>
                <c:pt idx="112">
                  <c:v>392000</c:v>
                </c:pt>
                <c:pt idx="113">
                  <c:v>395500</c:v>
                </c:pt>
                <c:pt idx="114">
                  <c:v>399000</c:v>
                </c:pt>
                <c:pt idx="115">
                  <c:v>402500</c:v>
                </c:pt>
                <c:pt idx="116">
                  <c:v>406000</c:v>
                </c:pt>
                <c:pt idx="117">
                  <c:v>409500</c:v>
                </c:pt>
                <c:pt idx="118">
                  <c:v>413000</c:v>
                </c:pt>
                <c:pt idx="119">
                  <c:v>416500</c:v>
                </c:pt>
                <c:pt idx="120">
                  <c:v>420000</c:v>
                </c:pt>
                <c:pt idx="121">
                  <c:v>423500</c:v>
                </c:pt>
                <c:pt idx="122">
                  <c:v>427000</c:v>
                </c:pt>
                <c:pt idx="123">
                  <c:v>430500</c:v>
                </c:pt>
                <c:pt idx="124">
                  <c:v>434000</c:v>
                </c:pt>
                <c:pt idx="125">
                  <c:v>437500</c:v>
                </c:pt>
                <c:pt idx="126">
                  <c:v>441000</c:v>
                </c:pt>
                <c:pt idx="127">
                  <c:v>444500</c:v>
                </c:pt>
                <c:pt idx="128">
                  <c:v>448000</c:v>
                </c:pt>
                <c:pt idx="129">
                  <c:v>451500</c:v>
                </c:pt>
                <c:pt idx="130">
                  <c:v>455000</c:v>
                </c:pt>
                <c:pt idx="131">
                  <c:v>458500</c:v>
                </c:pt>
                <c:pt idx="132">
                  <c:v>462000</c:v>
                </c:pt>
                <c:pt idx="133">
                  <c:v>465500</c:v>
                </c:pt>
                <c:pt idx="134">
                  <c:v>469000</c:v>
                </c:pt>
                <c:pt idx="135">
                  <c:v>472500</c:v>
                </c:pt>
                <c:pt idx="136">
                  <c:v>476000</c:v>
                </c:pt>
                <c:pt idx="137">
                  <c:v>479500</c:v>
                </c:pt>
                <c:pt idx="138">
                  <c:v>483000</c:v>
                </c:pt>
                <c:pt idx="139">
                  <c:v>486500</c:v>
                </c:pt>
                <c:pt idx="140">
                  <c:v>490000</c:v>
                </c:pt>
                <c:pt idx="141">
                  <c:v>493500</c:v>
                </c:pt>
                <c:pt idx="142">
                  <c:v>497000</c:v>
                </c:pt>
                <c:pt idx="143">
                  <c:v>500500</c:v>
                </c:pt>
                <c:pt idx="144">
                  <c:v>504000</c:v>
                </c:pt>
                <c:pt idx="145">
                  <c:v>507500</c:v>
                </c:pt>
                <c:pt idx="146">
                  <c:v>511000</c:v>
                </c:pt>
                <c:pt idx="147">
                  <c:v>514500</c:v>
                </c:pt>
                <c:pt idx="148">
                  <c:v>518000</c:v>
                </c:pt>
                <c:pt idx="149">
                  <c:v>521500</c:v>
                </c:pt>
                <c:pt idx="150">
                  <c:v>525000</c:v>
                </c:pt>
                <c:pt idx="151">
                  <c:v>528500</c:v>
                </c:pt>
                <c:pt idx="152">
                  <c:v>532000</c:v>
                </c:pt>
                <c:pt idx="153">
                  <c:v>535500</c:v>
                </c:pt>
                <c:pt idx="154">
                  <c:v>539000</c:v>
                </c:pt>
                <c:pt idx="155">
                  <c:v>542500</c:v>
                </c:pt>
                <c:pt idx="156">
                  <c:v>546000</c:v>
                </c:pt>
                <c:pt idx="157">
                  <c:v>549500</c:v>
                </c:pt>
                <c:pt idx="158">
                  <c:v>553000</c:v>
                </c:pt>
                <c:pt idx="159">
                  <c:v>556500</c:v>
                </c:pt>
                <c:pt idx="160">
                  <c:v>560000</c:v>
                </c:pt>
                <c:pt idx="161">
                  <c:v>563500</c:v>
                </c:pt>
                <c:pt idx="162">
                  <c:v>567000</c:v>
                </c:pt>
                <c:pt idx="163">
                  <c:v>570500</c:v>
                </c:pt>
                <c:pt idx="164">
                  <c:v>574000</c:v>
                </c:pt>
                <c:pt idx="165">
                  <c:v>577500</c:v>
                </c:pt>
                <c:pt idx="166">
                  <c:v>581000</c:v>
                </c:pt>
                <c:pt idx="167">
                  <c:v>584500</c:v>
                </c:pt>
                <c:pt idx="168">
                  <c:v>588000</c:v>
                </c:pt>
                <c:pt idx="169">
                  <c:v>591500</c:v>
                </c:pt>
                <c:pt idx="170">
                  <c:v>595000</c:v>
                </c:pt>
                <c:pt idx="171">
                  <c:v>598500</c:v>
                </c:pt>
                <c:pt idx="172">
                  <c:v>602000</c:v>
                </c:pt>
                <c:pt idx="173">
                  <c:v>605500</c:v>
                </c:pt>
                <c:pt idx="174">
                  <c:v>609000</c:v>
                </c:pt>
                <c:pt idx="175">
                  <c:v>612500</c:v>
                </c:pt>
                <c:pt idx="176">
                  <c:v>616000</c:v>
                </c:pt>
                <c:pt idx="177">
                  <c:v>619500</c:v>
                </c:pt>
                <c:pt idx="178">
                  <c:v>623000</c:v>
                </c:pt>
                <c:pt idx="179">
                  <c:v>626500</c:v>
                </c:pt>
                <c:pt idx="180">
                  <c:v>630000</c:v>
                </c:pt>
                <c:pt idx="181">
                  <c:v>633500</c:v>
                </c:pt>
                <c:pt idx="182">
                  <c:v>637000</c:v>
                </c:pt>
                <c:pt idx="183">
                  <c:v>640500</c:v>
                </c:pt>
                <c:pt idx="184">
                  <c:v>644000</c:v>
                </c:pt>
                <c:pt idx="185">
                  <c:v>647500</c:v>
                </c:pt>
                <c:pt idx="186">
                  <c:v>651000</c:v>
                </c:pt>
                <c:pt idx="187">
                  <c:v>654500</c:v>
                </c:pt>
                <c:pt idx="188">
                  <c:v>658000</c:v>
                </c:pt>
                <c:pt idx="189">
                  <c:v>661500</c:v>
                </c:pt>
                <c:pt idx="190">
                  <c:v>665000</c:v>
                </c:pt>
                <c:pt idx="191">
                  <c:v>668500</c:v>
                </c:pt>
                <c:pt idx="192">
                  <c:v>672000</c:v>
                </c:pt>
                <c:pt idx="193">
                  <c:v>675500</c:v>
                </c:pt>
                <c:pt idx="194">
                  <c:v>679000</c:v>
                </c:pt>
                <c:pt idx="195">
                  <c:v>682500</c:v>
                </c:pt>
                <c:pt idx="196">
                  <c:v>686000</c:v>
                </c:pt>
                <c:pt idx="197">
                  <c:v>689500</c:v>
                </c:pt>
                <c:pt idx="198">
                  <c:v>693000</c:v>
                </c:pt>
                <c:pt idx="199">
                  <c:v>696500</c:v>
                </c:pt>
                <c:pt idx="200">
                  <c:v>700000</c:v>
                </c:pt>
                <c:pt idx="201">
                  <c:v>703500</c:v>
                </c:pt>
                <c:pt idx="202">
                  <c:v>707000</c:v>
                </c:pt>
                <c:pt idx="203">
                  <c:v>710500</c:v>
                </c:pt>
                <c:pt idx="204">
                  <c:v>714000</c:v>
                </c:pt>
                <c:pt idx="205">
                  <c:v>717500</c:v>
                </c:pt>
                <c:pt idx="206">
                  <c:v>721000</c:v>
                </c:pt>
                <c:pt idx="207">
                  <c:v>724500</c:v>
                </c:pt>
                <c:pt idx="208">
                  <c:v>728000</c:v>
                </c:pt>
                <c:pt idx="209">
                  <c:v>731500</c:v>
                </c:pt>
                <c:pt idx="210">
                  <c:v>735000</c:v>
                </c:pt>
                <c:pt idx="211">
                  <c:v>738500</c:v>
                </c:pt>
                <c:pt idx="212">
                  <c:v>742000</c:v>
                </c:pt>
                <c:pt idx="213">
                  <c:v>745500</c:v>
                </c:pt>
                <c:pt idx="214">
                  <c:v>749000</c:v>
                </c:pt>
                <c:pt idx="215">
                  <c:v>752500</c:v>
                </c:pt>
                <c:pt idx="216">
                  <c:v>756000</c:v>
                </c:pt>
                <c:pt idx="217">
                  <c:v>759500</c:v>
                </c:pt>
                <c:pt idx="218">
                  <c:v>763000</c:v>
                </c:pt>
                <c:pt idx="219">
                  <c:v>766500</c:v>
                </c:pt>
                <c:pt idx="220">
                  <c:v>770000</c:v>
                </c:pt>
                <c:pt idx="221">
                  <c:v>773500</c:v>
                </c:pt>
                <c:pt idx="222">
                  <c:v>777000</c:v>
                </c:pt>
                <c:pt idx="223">
                  <c:v>780500</c:v>
                </c:pt>
                <c:pt idx="224">
                  <c:v>784000</c:v>
                </c:pt>
                <c:pt idx="225">
                  <c:v>787500</c:v>
                </c:pt>
                <c:pt idx="226">
                  <c:v>791000</c:v>
                </c:pt>
                <c:pt idx="227">
                  <c:v>794500</c:v>
                </c:pt>
                <c:pt idx="228">
                  <c:v>798000</c:v>
                </c:pt>
                <c:pt idx="229">
                  <c:v>801500</c:v>
                </c:pt>
                <c:pt idx="230">
                  <c:v>805000</c:v>
                </c:pt>
                <c:pt idx="231">
                  <c:v>808500</c:v>
                </c:pt>
                <c:pt idx="232">
                  <c:v>812000</c:v>
                </c:pt>
                <c:pt idx="233">
                  <c:v>815500</c:v>
                </c:pt>
                <c:pt idx="234">
                  <c:v>819000</c:v>
                </c:pt>
                <c:pt idx="235">
                  <c:v>822500</c:v>
                </c:pt>
                <c:pt idx="236">
                  <c:v>826000</c:v>
                </c:pt>
                <c:pt idx="237">
                  <c:v>829500</c:v>
                </c:pt>
                <c:pt idx="238">
                  <c:v>833000</c:v>
                </c:pt>
                <c:pt idx="239">
                  <c:v>836500</c:v>
                </c:pt>
                <c:pt idx="240">
                  <c:v>840000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46D-48AB-87BE-12E5AEFDC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6966023"/>
        <c:axId val="2147009543"/>
      </c:scatterChart>
      <c:valAx>
        <c:axId val="21469660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47009543"/>
        <c:crosses val="autoZero"/>
        <c:crossBetween val="midCat"/>
      </c:valAx>
      <c:valAx>
        <c:axId val="2147009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469660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300990</xdr:colOff>
      <xdr:row>0</xdr:row>
      <xdr:rowOff>83820</xdr:rowOff>
    </xdr:from>
    <xdr:to>
      <xdr:col>24</xdr:col>
      <xdr:colOff>419100</xdr:colOff>
      <xdr:row>18</xdr:row>
      <xdr:rowOff>76200</xdr:rowOff>
    </xdr:to>
    <xdr:graphicFrame macro="">
      <xdr:nvGraphicFramePr>
        <xdr:cNvPr id="5" name="Gráfico 2">
          <a:extLst>
            <a:ext uri="{FF2B5EF4-FFF2-40B4-BE49-F238E27FC236}">
              <a16:creationId xmlns:a16="http://schemas.microsoft.com/office/drawing/2014/main" id="{A598C466-4C0E-D305-EE59-49F4D48A18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eonardo Ariza Pinilla" id="{0042C77D-2A67-4C0D-BEC6-A577C102B8AF}" userId="517fb15964e2e40b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9" dT="2025-05-08T20:01:31.69" personId="{0042C77D-2A67-4C0D-BEC6-A577C102B8AF}" id="{E949A799-6A2E-4E49-B34B-2E5FCD3D4F0F}">
    <text>con proyección de indicadores financieros por escenarios</text>
  </threadedComment>
</ThreadedComment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F3DB2-0A65-4C14-B621-6F08690F97DC}">
  <dimension ref="B2:C12"/>
  <sheetViews>
    <sheetView workbookViewId="0">
      <selection activeCell="D9" sqref="D9"/>
    </sheetView>
  </sheetViews>
  <sheetFormatPr baseColWidth="10" defaultColWidth="11.140625" defaultRowHeight="13.5" x14ac:dyDescent="0.25"/>
  <cols>
    <col min="1" max="1" width="2.7109375" style="183" customWidth="1"/>
    <col min="2" max="16384" width="11.140625" style="183"/>
  </cols>
  <sheetData>
    <row r="2" spans="2:3" x14ac:dyDescent="0.25">
      <c r="B2" s="184" t="s">
        <v>0</v>
      </c>
      <c r="C2" s="184" t="s">
        <v>1</v>
      </c>
    </row>
    <row r="3" spans="2:3" x14ac:dyDescent="0.25">
      <c r="B3" s="183" t="s">
        <v>2</v>
      </c>
      <c r="C3" s="183" t="s">
        <v>2</v>
      </c>
    </row>
    <row r="4" spans="2:3" x14ac:dyDescent="0.25">
      <c r="B4" s="185" t="s">
        <v>3</v>
      </c>
      <c r="C4" s="185" t="s">
        <v>3</v>
      </c>
    </row>
    <row r="5" spans="2:3" x14ac:dyDescent="0.25">
      <c r="B5" s="183" t="s">
        <v>4</v>
      </c>
      <c r="C5" s="183" t="s">
        <v>5</v>
      </c>
    </row>
    <row r="6" spans="2:3" x14ac:dyDescent="0.25">
      <c r="B6" s="183" t="s">
        <v>6</v>
      </c>
      <c r="C6" s="183" t="s">
        <v>5</v>
      </c>
    </row>
    <row r="7" spans="2:3" x14ac:dyDescent="0.25">
      <c r="B7" s="183" t="s">
        <v>5</v>
      </c>
      <c r="C7" s="183" t="s">
        <v>5</v>
      </c>
    </row>
    <row r="8" spans="2:3" x14ac:dyDescent="0.25">
      <c r="B8" s="185" t="s">
        <v>7</v>
      </c>
      <c r="C8" s="185" t="s">
        <v>8</v>
      </c>
    </row>
    <row r="9" spans="2:3" x14ac:dyDescent="0.25">
      <c r="B9" s="185" t="s">
        <v>8</v>
      </c>
      <c r="C9" s="185" t="s">
        <v>8</v>
      </c>
    </row>
    <row r="10" spans="2:3" x14ac:dyDescent="0.25">
      <c r="B10" s="185" t="s">
        <v>9</v>
      </c>
      <c r="C10" s="185" t="s">
        <v>10</v>
      </c>
    </row>
    <row r="11" spans="2:3" x14ac:dyDescent="0.25">
      <c r="B11" s="185" t="s">
        <v>10</v>
      </c>
      <c r="C11" s="185" t="s">
        <v>10</v>
      </c>
    </row>
    <row r="12" spans="2:3" x14ac:dyDescent="0.25">
      <c r="B12" s="185" t="s">
        <v>11</v>
      </c>
      <c r="C12" s="185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59D38-CF3B-47E7-9ACF-59419874AF3D}">
  <dimension ref="A1:H46"/>
  <sheetViews>
    <sheetView showGridLines="0" zoomScale="108" zoomScaleNormal="60" workbookViewId="0">
      <pane ySplit="4" topLeftCell="A24" activePane="bottomLeft" state="frozen"/>
      <selection pane="bottomLeft" activeCell="B7" sqref="B7:C32"/>
    </sheetView>
  </sheetViews>
  <sheetFormatPr baseColWidth="10" defaultColWidth="11.140625" defaultRowHeight="13.5" x14ac:dyDescent="0.25"/>
  <cols>
    <col min="1" max="1" width="2.85546875" style="186" customWidth="1"/>
    <col min="2" max="2" width="61.85546875" style="186" customWidth="1"/>
    <col min="3" max="3" width="18" style="258" bestFit="1" customWidth="1"/>
    <col min="4" max="7" width="18" style="186" bestFit="1" customWidth="1"/>
    <col min="8" max="16384" width="11.140625" style="186"/>
  </cols>
  <sheetData>
    <row r="1" spans="1:7" x14ac:dyDescent="0.25">
      <c r="A1" s="210"/>
      <c r="B1" s="210"/>
      <c r="C1" s="261">
        <v>2025</v>
      </c>
      <c r="D1" s="261">
        <f>+C1+1</f>
        <v>2026</v>
      </c>
      <c r="E1" s="261">
        <f>+D1+1</f>
        <v>2027</v>
      </c>
      <c r="F1" s="261">
        <f>+E1+1</f>
        <v>2028</v>
      </c>
      <c r="G1" s="261">
        <f>+F1+1</f>
        <v>2029</v>
      </c>
    </row>
    <row r="2" spans="1:7" x14ac:dyDescent="0.25">
      <c r="B2" s="212" t="s">
        <v>236</v>
      </c>
      <c r="C2" s="262">
        <v>0.09</v>
      </c>
      <c r="D2" s="262">
        <f>+C2</f>
        <v>0.09</v>
      </c>
      <c r="E2" s="262">
        <f>+D2</f>
        <v>0.09</v>
      </c>
      <c r="F2" s="262">
        <f>+E2</f>
        <v>0.09</v>
      </c>
      <c r="G2" s="262">
        <f>+F2</f>
        <v>0.09</v>
      </c>
    </row>
    <row r="3" spans="1:7" x14ac:dyDescent="0.25">
      <c r="B3" s="212" t="s">
        <v>237</v>
      </c>
      <c r="C3" s="262">
        <v>1.2E-2</v>
      </c>
      <c r="D3" s="262">
        <f>+C3</f>
        <v>1.2E-2</v>
      </c>
      <c r="E3" s="262">
        <f t="shared" ref="E3:G3" si="0">+D3</f>
        <v>1.2E-2</v>
      </c>
      <c r="F3" s="262">
        <f t="shared" si="0"/>
        <v>1.2E-2</v>
      </c>
      <c r="G3" s="262">
        <f t="shared" si="0"/>
        <v>1.2E-2</v>
      </c>
    </row>
    <row r="4" spans="1:7" x14ac:dyDescent="0.25">
      <c r="B4" s="212" t="s">
        <v>238</v>
      </c>
      <c r="C4" s="262">
        <f t="shared" ref="C4:G4" si="1">C2+C3+C2*C3</f>
        <v>0.10307999999999999</v>
      </c>
      <c r="D4" s="262">
        <f t="shared" si="1"/>
        <v>0.10307999999999999</v>
      </c>
      <c r="E4" s="262">
        <f t="shared" si="1"/>
        <v>0.10307999999999999</v>
      </c>
      <c r="F4" s="262">
        <f t="shared" si="1"/>
        <v>0.10307999999999999</v>
      </c>
      <c r="G4" s="262">
        <f t="shared" si="1"/>
        <v>0.10307999999999999</v>
      </c>
    </row>
    <row r="6" spans="1:7" ht="14.25" thickBot="1" x14ac:dyDescent="0.3">
      <c r="B6" s="367"/>
      <c r="C6" s="360"/>
      <c r="D6" s="367"/>
      <c r="E6" s="367"/>
      <c r="F6" s="367"/>
      <c r="G6" s="367"/>
    </row>
    <row r="7" spans="1:7" ht="14.25" thickBot="1" x14ac:dyDescent="0.3">
      <c r="B7" s="364" t="s">
        <v>248</v>
      </c>
      <c r="C7" s="266">
        <v>2025</v>
      </c>
      <c r="D7" s="266">
        <f>+C7+1</f>
        <v>2026</v>
      </c>
      <c r="E7" s="266">
        <f>+D7+1</f>
        <v>2027</v>
      </c>
      <c r="F7" s="266">
        <f>+E7+1</f>
        <v>2028</v>
      </c>
      <c r="G7" s="267">
        <f>+F7+1</f>
        <v>2029</v>
      </c>
    </row>
    <row r="8" spans="1:7" x14ac:dyDescent="0.25">
      <c r="B8" s="309" t="s">
        <v>249</v>
      </c>
      <c r="C8" s="373">
        <f>SUM(C9,C13)</f>
        <v>63357000</v>
      </c>
      <c r="D8" s="373">
        <f t="shared" ref="D8:G8" si="2">SUM(D9,D13)</f>
        <v>64787131.920000002</v>
      </c>
      <c r="E8" s="373">
        <f t="shared" si="2"/>
        <v>66364681.838313602</v>
      </c>
      <c r="F8" s="373">
        <f t="shared" si="2"/>
        <v>68104845.602206975</v>
      </c>
      <c r="G8" s="373">
        <f t="shared" si="2"/>
        <v>70024385.446882457</v>
      </c>
    </row>
    <row r="9" spans="1:7" x14ac:dyDescent="0.25">
      <c r="B9" s="372" t="s">
        <v>250</v>
      </c>
      <c r="C9" s="373">
        <f>SUM(C10:C12)</f>
        <v>13874000</v>
      </c>
      <c r="D9" s="373">
        <f t="shared" ref="D9:G9" si="3">SUM(D10:D12)</f>
        <v>15304131.92</v>
      </c>
      <c r="E9" s="373">
        <f t="shared" si="3"/>
        <v>16881681.838313602</v>
      </c>
      <c r="F9" s="373">
        <f t="shared" si="3"/>
        <v>18621845.602206968</v>
      </c>
      <c r="G9" s="373">
        <f t="shared" si="3"/>
        <v>20541385.446882464</v>
      </c>
    </row>
    <row r="10" spans="1:7" x14ac:dyDescent="0.25">
      <c r="B10" s="368" t="s">
        <v>251</v>
      </c>
      <c r="C10" s="258">
        <f>(C32-C13)*90%</f>
        <v>12486600</v>
      </c>
      <c r="D10" s="258">
        <f>+C10*(1+D4)</f>
        <v>13773718.728</v>
      </c>
      <c r="E10" s="258">
        <f t="shared" ref="E10:G10" si="4">+D10*(1+E4)</f>
        <v>15193513.654482242</v>
      </c>
      <c r="F10" s="258">
        <f t="shared" si="4"/>
        <v>16759661.041986272</v>
      </c>
      <c r="G10" s="258">
        <f t="shared" si="4"/>
        <v>18487246.902194217</v>
      </c>
    </row>
    <row r="11" spans="1:7" x14ac:dyDescent="0.25">
      <c r="B11" s="368" t="s">
        <v>252</v>
      </c>
      <c r="C11" s="258">
        <f>(C32-C13)*10%</f>
        <v>1387400</v>
      </c>
      <c r="D11" s="258">
        <f>+C11*(1+D4)</f>
        <v>1530413.192</v>
      </c>
      <c r="E11" s="258">
        <f t="shared" ref="E11:G11" si="5">+D11*(1+E4)</f>
        <v>1688168.1838313602</v>
      </c>
      <c r="F11" s="258">
        <f t="shared" si="5"/>
        <v>1862184.560220697</v>
      </c>
      <c r="G11" s="258">
        <f t="shared" si="5"/>
        <v>2054138.5446882464</v>
      </c>
    </row>
    <row r="12" spans="1:7" x14ac:dyDescent="0.25">
      <c r="B12" s="368" t="s">
        <v>253</v>
      </c>
      <c r="D12" s="258"/>
      <c r="E12" s="258"/>
      <c r="F12" s="258"/>
      <c r="G12" s="258"/>
    </row>
    <row r="13" spans="1:7" x14ac:dyDescent="0.25">
      <c r="B13" s="372" t="s">
        <v>254</v>
      </c>
      <c r="C13" s="373">
        <f>SUM(C14:C15)</f>
        <v>49483000</v>
      </c>
      <c r="D13" s="373">
        <f t="shared" ref="D13:G13" si="6">SUM(D14:D15)</f>
        <v>49483000</v>
      </c>
      <c r="E13" s="373">
        <f t="shared" si="6"/>
        <v>49483000</v>
      </c>
      <c r="F13" s="373">
        <f t="shared" si="6"/>
        <v>49483000</v>
      </c>
      <c r="G13" s="373">
        <f t="shared" si="6"/>
        <v>49483000</v>
      </c>
    </row>
    <row r="14" spans="1:7" x14ac:dyDescent="0.25">
      <c r="B14" s="368" t="s">
        <v>255</v>
      </c>
      <c r="C14" s="258">
        <f>SUM(Inver.!G5:G30)</f>
        <v>49483000</v>
      </c>
      <c r="D14" s="258">
        <f>+C14</f>
        <v>49483000</v>
      </c>
      <c r="E14" s="258">
        <f t="shared" ref="E14:G14" si="7">+D14</f>
        <v>49483000</v>
      </c>
      <c r="F14" s="258">
        <f t="shared" si="7"/>
        <v>49483000</v>
      </c>
      <c r="G14" s="258">
        <f t="shared" si="7"/>
        <v>49483000</v>
      </c>
    </row>
    <row r="15" spans="1:7" x14ac:dyDescent="0.25">
      <c r="B15" s="369" t="s">
        <v>256</v>
      </c>
      <c r="C15" s="370"/>
      <c r="D15" s="371"/>
      <c r="E15" s="371"/>
      <c r="F15" s="371"/>
      <c r="G15" s="371"/>
    </row>
    <row r="16" spans="1:7" x14ac:dyDescent="0.25">
      <c r="B16" s="309" t="s">
        <v>257</v>
      </c>
      <c r="C16" s="373">
        <f>SUM(C17,C23)</f>
        <v>12405830.462979799</v>
      </c>
      <c r="D16" s="373">
        <f>SUM(D17,D23)</f>
        <v>13684623.467103757</v>
      </c>
      <c r="E16" s="373">
        <f>SUM(E17,E23)</f>
        <v>15095234.454092812</v>
      </c>
      <c r="F16" s="373">
        <f>SUM(F17,F23)</f>
        <v>16651251.221620701</v>
      </c>
      <c r="G16" s="373">
        <f>SUM(G17,G23)</f>
        <v>18367662.197545364</v>
      </c>
    </row>
    <row r="17" spans="2:7" x14ac:dyDescent="0.25">
      <c r="B17" s="372" t="s">
        <v>258</v>
      </c>
      <c r="C17" s="373">
        <f>SUM(C18:C22)</f>
        <v>12405830.462979799</v>
      </c>
      <c r="D17" s="373">
        <f>SUM(D18:D22)</f>
        <v>13684623.467103757</v>
      </c>
      <c r="E17" s="373">
        <f>SUM(E18:E22)</f>
        <v>15095234.454092812</v>
      </c>
      <c r="F17" s="373">
        <f>SUM(F18:F22)</f>
        <v>16651251.221620701</v>
      </c>
      <c r="G17" s="373">
        <f>SUM(G18:G22)</f>
        <v>18367662.197545364</v>
      </c>
    </row>
    <row r="18" spans="2:7" x14ac:dyDescent="0.25">
      <c r="B18" s="368" t="s">
        <v>259</v>
      </c>
      <c r="C18" s="258">
        <f>+(C36+C38+C39)/12</f>
        <v>12278163.546717172</v>
      </c>
      <c r="D18" s="258">
        <f>+C18*(1+D4)</f>
        <v>13543796.645112779</v>
      </c>
      <c r="E18" s="258">
        <f t="shared" ref="E18:G18" si="8">+D18*(1+E4)</f>
        <v>14939891.203291005</v>
      </c>
      <c r="F18" s="258">
        <f t="shared" si="8"/>
        <v>16479895.188526243</v>
      </c>
      <c r="G18" s="258">
        <f t="shared" si="8"/>
        <v>18178642.784559529</v>
      </c>
    </row>
    <row r="19" spans="2:7" x14ac:dyDescent="0.25">
      <c r="B19" s="368" t="s">
        <v>260</v>
      </c>
      <c r="D19" s="258"/>
      <c r="E19" s="258"/>
      <c r="F19" s="258"/>
      <c r="G19" s="258"/>
    </row>
    <row r="20" spans="2:7" x14ac:dyDescent="0.25">
      <c r="B20" s="368" t="s">
        <v>261</v>
      </c>
      <c r="D20" s="258"/>
      <c r="E20" s="258"/>
      <c r="F20" s="258"/>
      <c r="G20" s="258"/>
    </row>
    <row r="21" spans="2:7" x14ac:dyDescent="0.25">
      <c r="B21" s="368" t="s">
        <v>262</v>
      </c>
      <c r="C21" s="258">
        <f>+C43/12</f>
        <v>127666.9162626263</v>
      </c>
      <c r="D21" s="258">
        <f t="shared" ref="D21:G21" si="9">+D43/12</f>
        <v>140826.82199097783</v>
      </c>
      <c r="E21" s="258">
        <f t="shared" si="9"/>
        <v>155343.25080180782</v>
      </c>
      <c r="F21" s="258">
        <f t="shared" si="9"/>
        <v>171356.03309445817</v>
      </c>
      <c r="G21" s="258">
        <f t="shared" si="9"/>
        <v>189019.4129858349</v>
      </c>
    </row>
    <row r="22" spans="2:7" x14ac:dyDescent="0.25">
      <c r="B22" s="368" t="s">
        <v>263</v>
      </c>
      <c r="D22" s="258"/>
      <c r="E22" s="258"/>
      <c r="F22" s="258"/>
      <c r="G22" s="258"/>
    </row>
    <row r="23" spans="2:7" x14ac:dyDescent="0.25">
      <c r="B23" s="372" t="s">
        <v>264</v>
      </c>
      <c r="C23" s="373">
        <f>SUM(C24:C26)</f>
        <v>0</v>
      </c>
      <c r="D23" s="373">
        <f t="shared" ref="D23:G23" si="10">SUM(D24:D26)</f>
        <v>0</v>
      </c>
      <c r="E23" s="373">
        <f t="shared" si="10"/>
        <v>0</v>
      </c>
      <c r="F23" s="373">
        <f t="shared" si="10"/>
        <v>0</v>
      </c>
      <c r="G23" s="373">
        <f t="shared" si="10"/>
        <v>0</v>
      </c>
    </row>
    <row r="24" spans="2:7" x14ac:dyDescent="0.25">
      <c r="B24" s="368" t="s">
        <v>265</v>
      </c>
      <c r="D24" s="258"/>
      <c r="E24" s="258"/>
      <c r="F24" s="258"/>
      <c r="G24" s="258"/>
    </row>
    <row r="25" spans="2:7" x14ac:dyDescent="0.25">
      <c r="B25" s="368" t="s">
        <v>266</v>
      </c>
      <c r="D25" s="258"/>
      <c r="E25" s="258"/>
      <c r="F25" s="258"/>
      <c r="G25" s="258"/>
    </row>
    <row r="26" spans="2:7" x14ac:dyDescent="0.25">
      <c r="B26" s="369" t="s">
        <v>267</v>
      </c>
      <c r="C26" s="370"/>
      <c r="D26" s="370"/>
      <c r="E26" s="370"/>
      <c r="F26" s="370"/>
      <c r="G26" s="370"/>
    </row>
    <row r="27" spans="2:7" x14ac:dyDescent="0.25">
      <c r="B27" s="309" t="s">
        <v>268</v>
      </c>
      <c r="C27" s="373">
        <f>SUM(C28:C31)</f>
        <v>50951169.537020199</v>
      </c>
      <c r="D27" s="373">
        <f t="shared" ref="D27:G27" si="11">SUM(D28:D31)</f>
        <v>51102508.452896245</v>
      </c>
      <c r="E27" s="373">
        <f t="shared" si="11"/>
        <v>51269447.384220786</v>
      </c>
      <c r="F27" s="373">
        <f t="shared" si="11"/>
        <v>51453594.380586267</v>
      </c>
      <c r="G27" s="373">
        <f t="shared" si="11"/>
        <v>51656723.249337099</v>
      </c>
    </row>
    <row r="28" spans="2:7" x14ac:dyDescent="0.25">
      <c r="B28" s="368" t="s">
        <v>269</v>
      </c>
      <c r="C28" s="258">
        <f>+C13</f>
        <v>49483000</v>
      </c>
      <c r="D28" s="258">
        <f t="shared" ref="D28:G28" si="12">+D13</f>
        <v>49483000</v>
      </c>
      <c r="E28" s="258">
        <f t="shared" si="12"/>
        <v>49483000</v>
      </c>
      <c r="F28" s="258">
        <f t="shared" si="12"/>
        <v>49483000</v>
      </c>
      <c r="G28" s="258">
        <f t="shared" si="12"/>
        <v>49483000</v>
      </c>
    </row>
    <row r="29" spans="2:7" x14ac:dyDescent="0.25">
      <c r="B29" s="368" t="s">
        <v>270</v>
      </c>
      <c r="D29" s="258"/>
      <c r="E29" s="258"/>
      <c r="F29" s="258"/>
      <c r="G29" s="258"/>
    </row>
    <row r="30" spans="2:7" x14ac:dyDescent="0.25">
      <c r="B30" s="368" t="s">
        <v>271</v>
      </c>
      <c r="D30" s="258"/>
      <c r="E30" s="258"/>
      <c r="F30" s="258"/>
      <c r="G30" s="258"/>
    </row>
    <row r="31" spans="2:7" x14ac:dyDescent="0.25">
      <c r="B31" s="369" t="s">
        <v>272</v>
      </c>
      <c r="C31" s="370">
        <f>+C44/12</f>
        <v>1468169.5370202025</v>
      </c>
      <c r="D31" s="370">
        <f t="shared" ref="D31:G31" si="13">+D44/12</f>
        <v>1619508.4528962448</v>
      </c>
      <c r="E31" s="370">
        <f t="shared" si="13"/>
        <v>1786447.3842207899</v>
      </c>
      <c r="F31" s="370">
        <f t="shared" si="13"/>
        <v>1970594.3805862691</v>
      </c>
      <c r="G31" s="370">
        <f t="shared" si="13"/>
        <v>2173723.2493371018</v>
      </c>
    </row>
    <row r="32" spans="2:7" x14ac:dyDescent="0.25">
      <c r="B32" s="309" t="s">
        <v>273</v>
      </c>
      <c r="C32" s="373">
        <f>SUM(C27,C17)</f>
        <v>63357000</v>
      </c>
      <c r="D32" s="373">
        <f>SUM(D27,D17)</f>
        <v>64787131.920000002</v>
      </c>
      <c r="E32" s="373">
        <f>SUM(E27,E17)</f>
        <v>66364681.838313594</v>
      </c>
      <c r="F32" s="373">
        <f>SUM(F27,F17)</f>
        <v>68104845.602206975</v>
      </c>
      <c r="G32" s="373">
        <f>SUM(G27,G17)</f>
        <v>70024385.446882457</v>
      </c>
    </row>
    <row r="33" spans="2:8" ht="14.25" thickBot="1" x14ac:dyDescent="0.3">
      <c r="B33" s="367"/>
      <c r="C33" s="360"/>
      <c r="D33" s="367"/>
      <c r="E33" s="367"/>
      <c r="F33" s="367"/>
      <c r="G33" s="367"/>
    </row>
    <row r="34" spans="2:8" ht="14.25" thickBot="1" x14ac:dyDescent="0.3">
      <c r="B34" s="364" t="s">
        <v>274</v>
      </c>
      <c r="C34" s="266">
        <v>2025</v>
      </c>
      <c r="D34" s="266">
        <f>+C34+1</f>
        <v>2026</v>
      </c>
      <c r="E34" s="266">
        <f>+D34+1</f>
        <v>2027</v>
      </c>
      <c r="F34" s="266">
        <f>+E34+1</f>
        <v>2028</v>
      </c>
      <c r="G34" s="267">
        <f>+F34+1</f>
        <v>2029</v>
      </c>
    </row>
    <row r="35" spans="2:8" x14ac:dyDescent="0.25">
      <c r="B35" s="344" t="s">
        <v>275</v>
      </c>
      <c r="C35" s="363">
        <f>SUMPRODUCT('$ Producto'!D4:D19,'$ Producto'!E4:E19)*12</f>
        <v>166488000</v>
      </c>
      <c r="D35" s="363">
        <f>+C35*(1+$D$4)</f>
        <v>183649583.04000002</v>
      </c>
      <c r="E35" s="363">
        <f>+D35*(1+$E$4)</f>
        <v>202580182.05976322</v>
      </c>
      <c r="F35" s="363">
        <f>+E35*(1+$F$4)</f>
        <v>223462147.22648364</v>
      </c>
      <c r="G35" s="363">
        <f>+F35*(1+$G$4)</f>
        <v>246496625.3625896</v>
      </c>
    </row>
    <row r="36" spans="2:8" x14ac:dyDescent="0.25">
      <c r="B36" s="345" t="s">
        <v>276</v>
      </c>
      <c r="C36" s="258">
        <f>(SUMIF('C. Prod.'!C:C,"Cf",'C. Prod.'!J:J)*12)+SUM(Presu.!AD:AD)</f>
        <v>82194873.833333328</v>
      </c>
      <c r="D36" s="258">
        <f t="shared" ref="D36:D44" si="14">+C36*(1+$D$4)</f>
        <v>90667521.428073332</v>
      </c>
      <c r="E36" s="258">
        <f t="shared" ref="E36:E44" si="15">+D36*(1+$E$4)</f>
        <v>100013529.53687914</v>
      </c>
      <c r="F36" s="258">
        <f t="shared" ref="F36:F44" si="16">+E36*(1+$F$4)</f>
        <v>110322924.16154064</v>
      </c>
      <c r="G36" s="258">
        <f t="shared" ref="G36:G44" si="17">+F36*(1+$G$4)</f>
        <v>121695011.18411227</v>
      </c>
      <c r="H36" s="186">
        <f>+C36/12</f>
        <v>6849572.819444444</v>
      </c>
    </row>
    <row r="37" spans="2:8" x14ac:dyDescent="0.25">
      <c r="B37" s="343" t="s">
        <v>277</v>
      </c>
      <c r="C37" s="363">
        <f>+C35-C36</f>
        <v>84293126.166666672</v>
      </c>
      <c r="D37" s="363">
        <f t="shared" si="14"/>
        <v>92982061.611926675</v>
      </c>
      <c r="E37" s="363">
        <f t="shared" si="15"/>
        <v>102566652.52288409</v>
      </c>
      <c r="F37" s="363">
        <f t="shared" si="16"/>
        <v>113139223.06494299</v>
      </c>
      <c r="G37" s="363">
        <f t="shared" si="17"/>
        <v>124801614.17847732</v>
      </c>
    </row>
    <row r="38" spans="2:8" x14ac:dyDescent="0.25">
      <c r="B38" s="345" t="s">
        <v>278</v>
      </c>
      <c r="C38" s="258">
        <f>SUMIF('G. AyV'!B:B,"Admin",'G. AyV'!G:G)*12</f>
        <v>40993584</v>
      </c>
      <c r="D38" s="258">
        <f t="shared" si="14"/>
        <v>45219202.638720006</v>
      </c>
      <c r="E38" s="258">
        <f t="shared" si="15"/>
        <v>49880398.046719268</v>
      </c>
      <c r="F38" s="258">
        <f t="shared" si="16"/>
        <v>55022069.47737509</v>
      </c>
      <c r="G38" s="258">
        <f t="shared" si="17"/>
        <v>60693744.399102919</v>
      </c>
    </row>
    <row r="39" spans="2:8" x14ac:dyDescent="0.25">
      <c r="B39" s="345" t="s">
        <v>279</v>
      </c>
      <c r="C39" s="258">
        <f>SUMIF('G. AyV'!B:B,"Vent",'G. AyV'!G:G)*12</f>
        <v>24149504.727272727</v>
      </c>
      <c r="D39" s="258">
        <f t="shared" si="14"/>
        <v>26638835.674559999</v>
      </c>
      <c r="E39" s="258">
        <f t="shared" si="15"/>
        <v>29384766.855893645</v>
      </c>
      <c r="F39" s="258">
        <f t="shared" si="16"/>
        <v>32413748.623399165</v>
      </c>
      <c r="G39" s="258">
        <f t="shared" si="17"/>
        <v>35754957.831499152</v>
      </c>
    </row>
    <row r="40" spans="2:8" x14ac:dyDescent="0.25">
      <c r="B40" s="343" t="s">
        <v>280</v>
      </c>
      <c r="C40" s="363">
        <f>+C37-C38-C39</f>
        <v>19150037.439393945</v>
      </c>
      <c r="D40" s="363">
        <f t="shared" si="14"/>
        <v>21124023.298646674</v>
      </c>
      <c r="E40" s="363">
        <f t="shared" si="15"/>
        <v>23301487.620271172</v>
      </c>
      <c r="F40" s="363">
        <f t="shared" si="16"/>
        <v>25703404.964168727</v>
      </c>
      <c r="G40" s="363">
        <f t="shared" si="17"/>
        <v>28352911.947875243</v>
      </c>
    </row>
    <row r="41" spans="2:8" x14ac:dyDescent="0.25">
      <c r="B41" s="345" t="s">
        <v>281</v>
      </c>
      <c r="C41" s="258">
        <v>0</v>
      </c>
      <c r="D41" s="258">
        <f t="shared" si="14"/>
        <v>0</v>
      </c>
      <c r="E41" s="258">
        <f t="shared" si="15"/>
        <v>0</v>
      </c>
      <c r="F41" s="258">
        <f t="shared" si="16"/>
        <v>0</v>
      </c>
      <c r="G41" s="258">
        <f t="shared" si="17"/>
        <v>0</v>
      </c>
    </row>
    <row r="42" spans="2:8" x14ac:dyDescent="0.25">
      <c r="B42" s="343" t="s">
        <v>282</v>
      </c>
      <c r="C42" s="363">
        <f>+C40+C41</f>
        <v>19150037.439393945</v>
      </c>
      <c r="D42" s="363">
        <f t="shared" si="14"/>
        <v>21124023.298646674</v>
      </c>
      <c r="E42" s="363">
        <f t="shared" si="15"/>
        <v>23301487.620271172</v>
      </c>
      <c r="F42" s="363">
        <f t="shared" si="16"/>
        <v>25703404.964168727</v>
      </c>
      <c r="G42" s="363">
        <f t="shared" si="17"/>
        <v>28352911.947875243</v>
      </c>
    </row>
    <row r="43" spans="2:8" x14ac:dyDescent="0.25">
      <c r="B43" s="374">
        <v>0.08</v>
      </c>
      <c r="C43" s="258">
        <f>+C42*B43</f>
        <v>1532002.9951515156</v>
      </c>
      <c r="D43" s="258">
        <f t="shared" si="14"/>
        <v>1689921.8638917338</v>
      </c>
      <c r="E43" s="258">
        <f t="shared" si="15"/>
        <v>1864119.0096216938</v>
      </c>
      <c r="F43" s="258">
        <f t="shared" si="16"/>
        <v>2056272.397133498</v>
      </c>
      <c r="G43" s="258">
        <f t="shared" si="17"/>
        <v>2268232.955830019</v>
      </c>
    </row>
    <row r="44" spans="2:8" ht="14.25" thickBot="1" x14ac:dyDescent="0.3">
      <c r="B44" s="365" t="s">
        <v>283</v>
      </c>
      <c r="C44" s="366">
        <f>+C42-C43</f>
        <v>17618034.444242429</v>
      </c>
      <c r="D44" s="366">
        <f t="shared" si="14"/>
        <v>19434101.434754938</v>
      </c>
      <c r="E44" s="366">
        <f t="shared" si="15"/>
        <v>21437368.610649478</v>
      </c>
      <c r="F44" s="366">
        <f t="shared" si="16"/>
        <v>23647132.567035228</v>
      </c>
      <c r="G44" s="366">
        <f t="shared" si="17"/>
        <v>26084678.99204522</v>
      </c>
    </row>
    <row r="45" spans="2:8" x14ac:dyDescent="0.25">
      <c r="D45" s="258"/>
      <c r="E45" s="258"/>
      <c r="F45" s="258"/>
      <c r="G45" s="258"/>
    </row>
    <row r="46" spans="2:8" x14ac:dyDescent="0.25">
      <c r="D46" s="258"/>
      <c r="E46" s="258"/>
      <c r="F46" s="258"/>
      <c r="G46" s="258"/>
    </row>
  </sheetData>
  <sheetProtection algorithmName="SHA-512" hashValue="yh4yuduNCaKYHlDR8i/iWc4CTIaacKhYuZph8Z4LP2l9FPJycYpAQ2h9qdAdbs5cAwO6QyID21vU2PZSbMqaCg==" saltValue="NC+ARlXze9nLeXAj/aajYg==" spinCount="100000" sheet="1" formatCells="0" formatColumns="0" formatRows="0" insertColumns="0" insertRows="0" insertHyperlinks="0" deleteColumns="0" deleteRows="0" sort="0" pivotTables="0"/>
  <phoneticPr fontId="1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0AD9A-2146-49DA-AAEA-8DC8F0FDA510}">
  <dimension ref="B4:H12"/>
  <sheetViews>
    <sheetView workbookViewId="0">
      <selection activeCell="I19" sqref="I19"/>
    </sheetView>
  </sheetViews>
  <sheetFormatPr baseColWidth="10" defaultColWidth="11.42578125" defaultRowHeight="13.5" x14ac:dyDescent="0.25"/>
  <cols>
    <col min="2" max="3" width="17.85546875" bestFit="1" customWidth="1"/>
    <col min="4" max="8" width="16.5703125" bestFit="1" customWidth="1"/>
  </cols>
  <sheetData>
    <row r="4" spans="2:8" x14ac:dyDescent="0.25">
      <c r="D4" s="430" t="s">
        <v>284</v>
      </c>
      <c r="E4" s="430" t="s">
        <v>285</v>
      </c>
      <c r="F4" s="430" t="s">
        <v>286</v>
      </c>
      <c r="G4" s="430" t="s">
        <v>287</v>
      </c>
      <c r="H4" s="430" t="s">
        <v>288</v>
      </c>
    </row>
    <row r="5" spans="2:8" ht="14.25" thickBot="1" x14ac:dyDescent="0.3">
      <c r="B5" s="271" t="s">
        <v>241</v>
      </c>
      <c r="C5" s="272">
        <f>+Flujo!F25</f>
        <v>0</v>
      </c>
      <c r="D5" s="273">
        <f>+Flujo!G25</f>
        <v>166488000</v>
      </c>
      <c r="E5" s="273">
        <f>+Flujo!H25</f>
        <v>183649582</v>
      </c>
      <c r="F5" s="273">
        <f>+Flujo!I25</f>
        <v>202580183</v>
      </c>
      <c r="G5" s="273">
        <f>+Flujo!J25</f>
        <v>223462148</v>
      </c>
      <c r="H5" s="274">
        <f>+Flujo!K25</f>
        <v>246496624</v>
      </c>
    </row>
    <row r="6" spans="2:8" ht="14.25" thickBot="1" x14ac:dyDescent="0.3">
      <c r="B6" s="271" t="s">
        <v>245</v>
      </c>
      <c r="C6" s="273">
        <f>+Flujo!F34</f>
        <v>49483000</v>
      </c>
      <c r="D6" s="273">
        <f>+Flujo!G34</f>
        <v>147337962.56060606</v>
      </c>
      <c r="E6" s="273">
        <f>+Flujo!H34</f>
        <v>162525559</v>
      </c>
      <c r="F6" s="273">
        <f>+Flujo!I34</f>
        <v>179278695</v>
      </c>
      <c r="G6" s="273">
        <f>+Flujo!J34</f>
        <v>197758742</v>
      </c>
      <c r="H6" s="273">
        <f>+Flujo!K34</f>
        <v>218143713</v>
      </c>
    </row>
    <row r="7" spans="2:8" ht="14.25" thickBot="1" x14ac:dyDescent="0.3">
      <c r="B7" s="271" t="s">
        <v>246</v>
      </c>
      <c r="C7" s="273">
        <f>+C5-C6</f>
        <v>-49483000</v>
      </c>
      <c r="D7" s="273">
        <f t="shared" ref="D7:H7" si="0">+D5-D6</f>
        <v>19150037.439393938</v>
      </c>
      <c r="E7" s="273">
        <f t="shared" si="0"/>
        <v>21124023</v>
      </c>
      <c r="F7" s="273">
        <f t="shared" si="0"/>
        <v>23301488</v>
      </c>
      <c r="G7" s="273">
        <f t="shared" si="0"/>
        <v>25703406</v>
      </c>
      <c r="H7" s="273">
        <f t="shared" si="0"/>
        <v>28352911</v>
      </c>
    </row>
    <row r="8" spans="2:8" x14ac:dyDescent="0.25">
      <c r="D8" s="308">
        <f>+D7/12</f>
        <v>1595836.4532828282</v>
      </c>
      <c r="E8" s="308">
        <f t="shared" ref="E8:H8" si="1">+E7/12</f>
        <v>1760335.25</v>
      </c>
      <c r="F8" s="308">
        <f t="shared" si="1"/>
        <v>1941790.6666666667</v>
      </c>
      <c r="G8" s="308">
        <f t="shared" si="1"/>
        <v>2141950.5</v>
      </c>
      <c r="H8" s="308">
        <f t="shared" si="1"/>
        <v>2362742.5833333335</v>
      </c>
    </row>
    <row r="9" spans="2:8" x14ac:dyDescent="0.25">
      <c r="B9" s="278" t="s">
        <v>289</v>
      </c>
      <c r="C9" s="279">
        <v>0.12</v>
      </c>
    </row>
    <row r="10" spans="2:8" x14ac:dyDescent="0.25">
      <c r="B10" s="278" t="s">
        <v>290</v>
      </c>
      <c r="C10" s="431">
        <f>IRR(C7:H7)</f>
        <v>0.34816643960985227</v>
      </c>
    </row>
    <row r="11" spans="2:8" x14ac:dyDescent="0.25">
      <c r="B11" s="278" t="s">
        <v>291</v>
      </c>
      <c r="C11" s="280">
        <f>NPV(C9,C7,D7:H7)</f>
        <v>29878491.741456453</v>
      </c>
    </row>
    <row r="12" spans="2:8" x14ac:dyDescent="0.25">
      <c r="B12" s="278"/>
    </row>
  </sheetData>
  <sheetProtection algorithmName="SHA-512" hashValue="yhjwPjJq7wKeWf5GWhxcLEl1xDj87tNd99klqcWk7rW5zcKVuxlCYjRKSd8c1cMwV9WYI1N5SIG7FZpuIZQfwA==" saltValue="QESKiWmoJTlcZaLWGR+5Sw==" spinCount="100000" sheet="1" formatCells="0" formatColumns="0" formatRows="0" insertColumns="0" insertRows="0" insertHyperlinks="0" deleteColumns="0" deleteRows="0" autoFilter="0" pivotTables="0"/>
  <phoneticPr fontId="1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9CF8A-8377-45A3-B3CE-4493F5EAE310}">
  <dimension ref="A1:K29"/>
  <sheetViews>
    <sheetView showGridLines="0" zoomScale="70" zoomScaleNormal="70" workbookViewId="0">
      <selection activeCell="B2" sqref="B2:I14"/>
    </sheetView>
  </sheetViews>
  <sheetFormatPr baseColWidth="10" defaultColWidth="34.140625" defaultRowHeight="13.5" x14ac:dyDescent="0.25"/>
  <cols>
    <col min="1" max="1" width="14.140625" style="378" bestFit="1" customWidth="1"/>
    <col min="2" max="2" width="18.42578125" style="378" bestFit="1" customWidth="1"/>
    <col min="3" max="3" width="33.5703125" style="378" bestFit="1" customWidth="1"/>
    <col min="4" max="4" width="25.140625" style="378" hidden="1" customWidth="1"/>
    <col min="5" max="5" width="2.140625" style="378" hidden="1" customWidth="1"/>
    <col min="6" max="6" width="20.7109375" style="379" hidden="1" customWidth="1"/>
    <col min="7" max="7" width="1.7109375" style="378" hidden="1" customWidth="1"/>
    <col min="8" max="8" width="0" style="378" hidden="1" customWidth="1"/>
    <col min="9" max="9" width="15.42578125" style="380" bestFit="1" customWidth="1"/>
    <col min="10" max="10" width="29.5703125" style="378" hidden="1" customWidth="1"/>
    <col min="11" max="11" width="82.7109375" style="378" customWidth="1"/>
    <col min="12" max="16384" width="34.140625" style="378"/>
  </cols>
  <sheetData>
    <row r="1" spans="1:11" ht="14.25" thickBot="1" x14ac:dyDescent="0.3"/>
    <row r="2" spans="1:11" ht="15.75" thickBot="1" x14ac:dyDescent="0.3">
      <c r="B2" s="381" t="s">
        <v>292</v>
      </c>
      <c r="C2" s="382" t="s">
        <v>293</v>
      </c>
      <c r="D2" s="460" t="s">
        <v>294</v>
      </c>
      <c r="E2" s="460"/>
      <c r="F2" s="460"/>
      <c r="G2" s="382"/>
      <c r="H2" s="383" t="s">
        <v>295</v>
      </c>
      <c r="I2" s="382" t="s">
        <v>296</v>
      </c>
      <c r="J2" s="383" t="s">
        <v>1</v>
      </c>
      <c r="K2" s="384" t="s">
        <v>297</v>
      </c>
    </row>
    <row r="3" spans="1:11" ht="15" x14ac:dyDescent="0.25">
      <c r="A3" s="306" t="s">
        <v>298</v>
      </c>
      <c r="B3" s="461" t="s">
        <v>299</v>
      </c>
      <c r="C3" s="391" t="s">
        <v>300</v>
      </c>
      <c r="D3" s="385" t="s">
        <v>277</v>
      </c>
      <c r="E3" s="377"/>
      <c r="F3" s="375"/>
      <c r="G3" s="377" t="s">
        <v>301</v>
      </c>
      <c r="H3" s="375" t="s">
        <v>275</v>
      </c>
      <c r="I3" s="392">
        <f>_xlfn.XLOOKUP(D3,'Estados finan.'!B:B,'Estados finan.'!C:C)/_xlfn.XLOOKUP(H3,'Estados finan.'!B:B,'Estados finan.'!C:C)</f>
        <v>0.50630151222110109</v>
      </c>
      <c r="J3" s="393" t="s">
        <v>302</v>
      </c>
      <c r="K3" s="394" t="s">
        <v>303</v>
      </c>
    </row>
    <row r="4" spans="1:11" ht="15" x14ac:dyDescent="0.25">
      <c r="B4" s="462"/>
      <c r="C4" s="395" t="s">
        <v>304</v>
      </c>
      <c r="D4" s="389" t="s">
        <v>283</v>
      </c>
      <c r="E4" s="396"/>
      <c r="F4" s="388"/>
      <c r="G4" s="396" t="s">
        <v>301</v>
      </c>
      <c r="H4" s="388" t="s">
        <v>275</v>
      </c>
      <c r="I4" s="397">
        <f>_xlfn.XLOOKUP(D4,'Estados finan.'!B:B,'Estados finan.'!C:C)/_xlfn.XLOOKUP(H4,'Estados finan.'!B:B,'Estados finan.'!C:C)</f>
        <v>0.10582164747154407</v>
      </c>
      <c r="J4" s="398" t="s">
        <v>302</v>
      </c>
      <c r="K4" s="399" t="s">
        <v>305</v>
      </c>
    </row>
    <row r="5" spans="1:11" ht="15" x14ac:dyDescent="0.25">
      <c r="B5" s="462"/>
      <c r="C5" s="395" t="s">
        <v>306</v>
      </c>
      <c r="D5" s="389" t="s">
        <v>283</v>
      </c>
      <c r="E5" s="396"/>
      <c r="F5" s="388"/>
      <c r="G5" s="396" t="s">
        <v>301</v>
      </c>
      <c r="H5" s="388" t="s">
        <v>249</v>
      </c>
      <c r="I5" s="397">
        <f>_xlfn.XLOOKUP(D5,'Estados finan.'!B:B,'Estados finan.'!C:C)/_xlfn.XLOOKUP(H5,'Estados finan.'!B:B,'Estados finan.'!C:C)</f>
        <v>0.27807557877176048</v>
      </c>
      <c r="J5" s="398" t="s">
        <v>302</v>
      </c>
      <c r="K5" s="399" t="s">
        <v>307</v>
      </c>
    </row>
    <row r="6" spans="1:11" ht="15.75" thickBot="1" x14ac:dyDescent="0.3">
      <c r="B6" s="463"/>
      <c r="C6" s="400" t="s">
        <v>308</v>
      </c>
      <c r="D6" s="387" t="s">
        <v>283</v>
      </c>
      <c r="E6" s="401"/>
      <c r="F6" s="390"/>
      <c r="G6" s="401" t="s">
        <v>301</v>
      </c>
      <c r="H6" s="390" t="s">
        <v>268</v>
      </c>
      <c r="I6" s="402">
        <f>_xlfn.XLOOKUP(D6,'Estados finan.'!B:B,'Estados finan.'!C:C)/_xlfn.XLOOKUP(H6,'Estados finan.'!B:B,'Estados finan.'!C:C)</f>
        <v>0.34578272892129558</v>
      </c>
      <c r="J6" s="403" t="s">
        <v>302</v>
      </c>
      <c r="K6" s="404" t="s">
        <v>309</v>
      </c>
    </row>
    <row r="7" spans="1:11" ht="15" x14ac:dyDescent="0.25">
      <c r="A7" s="306" t="s">
        <v>310</v>
      </c>
      <c r="B7" s="464" t="s">
        <v>311</v>
      </c>
      <c r="C7" s="391" t="s">
        <v>312</v>
      </c>
      <c r="D7" s="385" t="s">
        <v>257</v>
      </c>
      <c r="E7" s="377"/>
      <c r="F7" s="375"/>
      <c r="G7" s="377" t="s">
        <v>301</v>
      </c>
      <c r="H7" s="375" t="s">
        <v>249</v>
      </c>
      <c r="I7" s="405">
        <f>_xlfn.XLOOKUP(D7,'Estados finan.'!B:B,'Estados finan.'!C:C)/_xlfn.XLOOKUP(H7,'Estados finan.'!B:B,'Estados finan.'!C:C)</f>
        <v>0.19580836313240524</v>
      </c>
      <c r="J7" s="393" t="s">
        <v>302</v>
      </c>
      <c r="K7" s="394" t="s">
        <v>313</v>
      </c>
    </row>
    <row r="8" spans="1:11" ht="15.75" thickBot="1" x14ac:dyDescent="0.3">
      <c r="B8" s="465"/>
      <c r="C8" s="400" t="s">
        <v>314</v>
      </c>
      <c r="D8" s="387" t="s">
        <v>258</v>
      </c>
      <c r="E8" s="401"/>
      <c r="F8" s="390"/>
      <c r="G8" s="401" t="s">
        <v>301</v>
      </c>
      <c r="H8" s="390" t="s">
        <v>268</v>
      </c>
      <c r="I8" s="406">
        <f>_xlfn.XLOOKUP(D8,'Estados finan.'!B:B,'Estados finan.'!C:C)/_xlfn.XLOOKUP(H8,'Estados finan.'!B:B,'Estados finan.'!C:C)</f>
        <v>0.24348470458496438</v>
      </c>
      <c r="J8" s="403" t="s">
        <v>315</v>
      </c>
      <c r="K8" s="404" t="s">
        <v>316</v>
      </c>
    </row>
    <row r="9" spans="1:11" ht="15" x14ac:dyDescent="0.25">
      <c r="A9" s="378" t="s">
        <v>317</v>
      </c>
      <c r="B9" s="464" t="s">
        <v>317</v>
      </c>
      <c r="C9" s="395" t="s">
        <v>317</v>
      </c>
      <c r="D9" s="389" t="s">
        <v>257</v>
      </c>
      <c r="E9" s="396"/>
      <c r="F9" s="388"/>
      <c r="G9" s="396" t="s">
        <v>301</v>
      </c>
      <c r="H9" s="388" t="s">
        <v>268</v>
      </c>
      <c r="I9" s="407">
        <f>_xlfn.XLOOKUP(D9,'Estados finan.'!B:B,'Estados finan.'!C:C)/_xlfn.XLOOKUP(H9,'Estados finan.'!B:B,'Estados finan.'!C:C)</f>
        <v>0.24348470458496438</v>
      </c>
      <c r="J9" s="398" t="s">
        <v>302</v>
      </c>
      <c r="K9" s="399" t="s">
        <v>318</v>
      </c>
    </row>
    <row r="10" spans="1:11" ht="15.75" thickBot="1" x14ac:dyDescent="0.3">
      <c r="B10" s="465"/>
      <c r="C10" s="400" t="s">
        <v>319</v>
      </c>
      <c r="D10" s="387" t="s">
        <v>268</v>
      </c>
      <c r="E10" s="401"/>
      <c r="F10" s="390"/>
      <c r="G10" s="401" t="s">
        <v>301</v>
      </c>
      <c r="H10" s="390" t="s">
        <v>249</v>
      </c>
      <c r="I10" s="408">
        <f>_xlfn.XLOOKUP(D10,'Estados finan.'!B:B,'Estados finan.'!C:C)/_xlfn.XLOOKUP(H10,'Estados finan.'!B:B,'Estados finan.'!C:C)</f>
        <v>0.80419163686759476</v>
      </c>
      <c r="J10" s="403" t="s">
        <v>302</v>
      </c>
      <c r="K10" s="404" t="s">
        <v>320</v>
      </c>
    </row>
    <row r="11" spans="1:11" ht="15" x14ac:dyDescent="0.25">
      <c r="A11" s="306" t="s">
        <v>321</v>
      </c>
      <c r="B11" s="461" t="s">
        <v>322</v>
      </c>
      <c r="C11" s="391" t="s">
        <v>323</v>
      </c>
      <c r="D11" s="385" t="s">
        <v>250</v>
      </c>
      <c r="E11" s="377" t="s">
        <v>324</v>
      </c>
      <c r="G11" s="409"/>
      <c r="H11" s="386" t="s">
        <v>258</v>
      </c>
      <c r="I11" s="410">
        <f>_xlfn.XLOOKUP(D11,'Estados finan.'!B:B,'Estados finan.'!C:C)/_xlfn.XLOOKUP(H11,'Estados finan.'!B:B,'Estados finan.'!C:C)</f>
        <v>1.1183451233999497</v>
      </c>
      <c r="J11" s="393" t="s">
        <v>315</v>
      </c>
      <c r="K11" s="394" t="s">
        <v>325</v>
      </c>
    </row>
    <row r="12" spans="1:11" ht="15" x14ac:dyDescent="0.25">
      <c r="B12" s="462"/>
      <c r="C12" s="395" t="s">
        <v>326</v>
      </c>
      <c r="D12" s="389" t="s">
        <v>250</v>
      </c>
      <c r="E12" s="396"/>
      <c r="F12" s="388"/>
      <c r="G12" s="396" t="s">
        <v>301</v>
      </c>
      <c r="H12" s="388" t="s">
        <v>258</v>
      </c>
      <c r="I12" s="411">
        <f>_xlfn.XLOOKUP(D12,'Estados finan.'!B:B,'Estados finan.'!C:C)/_xlfn.XLOOKUP(H12,'Estados finan.'!B:B,'Estados finan.'!C:C)</f>
        <v>1.1183451233999497</v>
      </c>
      <c r="J12" s="398" t="s">
        <v>315</v>
      </c>
      <c r="K12" s="399" t="s">
        <v>327</v>
      </c>
    </row>
    <row r="13" spans="1:11" ht="15" x14ac:dyDescent="0.25">
      <c r="B13" s="462"/>
      <c r="C13" s="395" t="s">
        <v>328</v>
      </c>
      <c r="D13" s="389" t="s">
        <v>250</v>
      </c>
      <c r="E13" s="396" t="s">
        <v>324</v>
      </c>
      <c r="F13" s="376" t="s">
        <v>252</v>
      </c>
      <c r="G13" s="412" t="s">
        <v>301</v>
      </c>
      <c r="H13" s="388" t="s">
        <v>258</v>
      </c>
      <c r="I13" s="411">
        <f>( _xlfn.XLOOKUP(D13,'Estados finan.'!B:B,'Estados finan.'!C:C) - _xlfn.XLOOKUP(F13,'Estados finan.'!B:B,'Estados finan.'!C:C) ) /_xlfn.XLOOKUP(H13,'Estados finan.'!B:B,'Estados finan.'!C:C)</f>
        <v>1.0065106110599549</v>
      </c>
      <c r="J13" s="398" t="s">
        <v>315</v>
      </c>
      <c r="K13" s="399" t="s">
        <v>329</v>
      </c>
    </row>
    <row r="14" spans="1:11" ht="15.75" thickBot="1" x14ac:dyDescent="0.3">
      <c r="B14" s="463"/>
      <c r="C14" s="400" t="s">
        <v>330</v>
      </c>
      <c r="D14" s="387" t="s">
        <v>250</v>
      </c>
      <c r="E14" s="401"/>
      <c r="F14" s="390"/>
      <c r="G14" s="401" t="s">
        <v>301</v>
      </c>
      <c r="H14" s="390" t="s">
        <v>249</v>
      </c>
      <c r="I14" s="408">
        <f>_xlfn.XLOOKUP(D14,'Estados finan.'!B:B,'Estados finan.'!C:C)/_xlfn.XLOOKUP(H14,'Estados finan.'!B:B,'Estados finan.'!C:C)</f>
        <v>0.21898132803005194</v>
      </c>
      <c r="J14" s="403" t="s">
        <v>302</v>
      </c>
      <c r="K14" s="404" t="s">
        <v>331</v>
      </c>
    </row>
    <row r="29" spans="3:3" x14ac:dyDescent="0.25">
      <c r="C29" s="436" t="s">
        <v>332</v>
      </c>
    </row>
  </sheetData>
  <sheetProtection algorithmName="SHA-512" hashValue="2PdGipZVw7j0mHNuVXN+kRrbLZiuq+dE7E8e8uRg9h+kkCyGRWatLy/pUXaUxT1Qh2+MR2SlbxTCp6hF2SKW1Q==" saltValue="DQX4RDPvrm0xAvoNRWo4qA==" spinCount="100000" sheet="1" formatCells="0" formatColumns="0" formatRows="0" insertColumns="0" insertRows="0" insertHyperlinks="0" deleteColumns="0" deleteRows="0" sort="0" pivotTables="0"/>
  <mergeCells count="5">
    <mergeCell ref="D2:F2"/>
    <mergeCell ref="B11:B14"/>
    <mergeCell ref="B3:B6"/>
    <mergeCell ref="B7:B8"/>
    <mergeCell ref="B9:B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B9EA5-8AAB-4518-896E-0549124CBE07}">
  <dimension ref="B1:AM428"/>
  <sheetViews>
    <sheetView showGridLines="0" topLeftCell="A17" zoomScale="103" zoomScaleNormal="103" workbookViewId="0">
      <selection activeCell="M4" sqref="M4"/>
    </sheetView>
  </sheetViews>
  <sheetFormatPr baseColWidth="10" defaultColWidth="11.140625" defaultRowHeight="12" x14ac:dyDescent="0.25"/>
  <cols>
    <col min="1" max="1" width="2.7109375" style="226" customWidth="1"/>
    <col min="2" max="2" width="3.140625" style="226" bestFit="1" customWidth="1"/>
    <col min="3" max="3" width="22" style="226" bestFit="1" customWidth="1"/>
    <col min="4" max="4" width="9.7109375" style="226" bestFit="1" customWidth="1"/>
    <col min="5" max="5" width="16" style="228" customWidth="1"/>
    <col min="6" max="6" width="10.85546875" style="228" bestFit="1" customWidth="1"/>
    <col min="7" max="7" width="10.85546875" style="228" customWidth="1"/>
    <col min="8" max="8" width="2.28515625" style="228" hidden="1" customWidth="1"/>
    <col min="9" max="9" width="35.42578125" style="228" hidden="1" customWidth="1"/>
    <col min="10" max="10" width="2.42578125" style="228" hidden="1" customWidth="1"/>
    <col min="11" max="11" width="22" style="228" bestFit="1" customWidth="1"/>
    <col min="12" max="12" width="20.28515625" style="226" hidden="1" customWidth="1"/>
    <col min="13" max="13" width="11.140625" style="336"/>
    <col min="14" max="14" width="4" style="336" bestFit="1" customWidth="1"/>
    <col min="15" max="16" width="7" style="336" bestFit="1" customWidth="1"/>
    <col min="17" max="17" width="8" style="226" bestFit="1" customWidth="1"/>
    <col min="18" max="18" width="9" style="417" bestFit="1" customWidth="1"/>
    <col min="19" max="25" width="11.140625" style="226"/>
    <col min="26" max="26" width="7" style="228" bestFit="1" customWidth="1"/>
    <col min="27" max="27" width="5.28515625" style="226" customWidth="1"/>
    <col min="28" max="28" width="7" style="228" bestFit="1" customWidth="1"/>
    <col min="29" max="29" width="5.28515625" style="228" customWidth="1"/>
    <col min="30" max="30" width="8" style="226" bestFit="1" customWidth="1"/>
    <col min="31" max="32" width="7" style="226" bestFit="1" customWidth="1"/>
    <col min="33" max="33" width="2" style="226" bestFit="1" customWidth="1"/>
    <col min="34" max="34" width="7" style="226" bestFit="1" customWidth="1"/>
    <col min="35" max="35" width="4" style="226" bestFit="1" customWidth="1"/>
    <col min="36" max="36" width="7" style="226" bestFit="1" customWidth="1"/>
    <col min="37" max="37" width="3.42578125" style="226" customWidth="1"/>
    <col min="38" max="38" width="3" style="226" bestFit="1" customWidth="1"/>
    <col min="39" max="39" width="10" style="226" bestFit="1" customWidth="1"/>
    <col min="40" max="16384" width="11.140625" style="226"/>
  </cols>
  <sheetData>
    <row r="1" spans="2:39" x14ac:dyDescent="0.25">
      <c r="E1" s="341"/>
      <c r="L1" s="228"/>
    </row>
    <row r="2" spans="2:39" x14ac:dyDescent="0.25">
      <c r="F2" s="227" t="s">
        <v>223</v>
      </c>
      <c r="G2" s="227" t="s">
        <v>61</v>
      </c>
      <c r="I2" s="228" t="s">
        <v>333</v>
      </c>
      <c r="L2" s="341"/>
    </row>
    <row r="3" spans="2:39" ht="13.5" thickBot="1" x14ac:dyDescent="0.3">
      <c r="B3" s="337" t="s">
        <v>201</v>
      </c>
      <c r="C3" s="337" t="s">
        <v>44</v>
      </c>
      <c r="D3" s="337" t="s">
        <v>50</v>
      </c>
      <c r="E3" s="337" t="s">
        <v>89</v>
      </c>
      <c r="F3" s="337" t="s">
        <v>334</v>
      </c>
      <c r="G3" s="337" t="s">
        <v>335</v>
      </c>
      <c r="H3" s="342" t="s">
        <v>336</v>
      </c>
      <c r="I3" s="337" t="s">
        <v>337</v>
      </c>
      <c r="J3" s="342" t="s">
        <v>336</v>
      </c>
      <c r="K3" s="337" t="s">
        <v>338</v>
      </c>
      <c r="L3" s="337" t="s">
        <v>339</v>
      </c>
      <c r="N3" s="336" t="s">
        <v>340</v>
      </c>
      <c r="O3" s="336" t="s">
        <v>219</v>
      </c>
      <c r="P3" s="336" t="s">
        <v>341</v>
      </c>
      <c r="Q3" s="226" t="s">
        <v>342</v>
      </c>
      <c r="Z3" s="228" t="s">
        <v>219</v>
      </c>
      <c r="AA3" s="226" t="s">
        <v>343</v>
      </c>
      <c r="AB3" s="228" t="s">
        <v>89</v>
      </c>
      <c r="AC3" s="228" t="s">
        <v>344</v>
      </c>
      <c r="AD3" s="418" t="s">
        <v>61</v>
      </c>
      <c r="AE3" s="226" t="s">
        <v>340</v>
      </c>
    </row>
    <row r="4" spans="2:39" ht="12.75" thickBot="1" x14ac:dyDescent="0.3">
      <c r="B4" s="226" cm="1">
        <f t="array" ref="B4:B19">_xlfn.SEQUENCE(16)</f>
        <v>1</v>
      </c>
      <c r="C4" s="226" t="str">
        <f>_xlfn.XLOOKUP(B4,'$ Producto'!O:O,'$ Producto'!I:I)</f>
        <v>Choco maní</v>
      </c>
      <c r="D4" s="338">
        <f>_xlfn.XLOOKUP(B4,'$ Producto'!O:O,'$ Producto'!J:J)</f>
        <v>240</v>
      </c>
      <c r="E4" s="339">
        <f>SUMIFS('$ Producto'!$N:$N,'$ Producto'!$I:$I,C4,'$ Producto'!$K:$K,$E$3)*D4</f>
        <v>130840.5625</v>
      </c>
      <c r="F4" s="339">
        <f>SUMIFS('$ Producto'!$N:$N,'$ Producto'!$I:$I,C4,'$ Producto'!$K:$K,$F$2)</f>
        <v>3500</v>
      </c>
      <c r="G4" s="339">
        <f>SUMIFS('$ Producto'!$N:$N,'$ Producto'!$I:$I,C4,'$ Producto'!$K:$K,$G$2)</f>
        <v>1026.3400000000001</v>
      </c>
      <c r="I4" s="340" t="str">
        <f>ROUND(E4,2)&amp;" / ( "&amp;ROUND(F4,2)&amp;" - "&amp;G4&amp;" )"</f>
        <v>130840,56 / ( 3500 - 1026,34 )</v>
      </c>
      <c r="K4" s="413">
        <f t="shared" ref="K4:K19" si="0">ROUND(E4/(F4-G4),0)</f>
        <v>53</v>
      </c>
      <c r="L4" s="339">
        <f>+E4+G4*K4</f>
        <v>185236.58250000002</v>
      </c>
      <c r="M4" s="414">
        <f>K4/D4</f>
        <v>0.22083333333333333</v>
      </c>
      <c r="N4" s="336">
        <v>0</v>
      </c>
      <c r="O4" s="336">
        <f>+$E$4+($G$4*N4)</f>
        <v>130840.5625</v>
      </c>
      <c r="P4" s="336">
        <f>+$F$4*N4</f>
        <v>0</v>
      </c>
      <c r="Q4" s="336">
        <f>+P4-O4</f>
        <v>-130840.5625</v>
      </c>
      <c r="Z4" s="228" t="s">
        <v>219</v>
      </c>
      <c r="AA4" s="226" t="s">
        <v>343</v>
      </c>
      <c r="AB4" s="418">
        <v>130841</v>
      </c>
      <c r="AC4" s="228" t="s">
        <v>344</v>
      </c>
      <c r="AD4" s="226">
        <v>1026.3</v>
      </c>
      <c r="AE4" s="226" t="s">
        <v>340</v>
      </c>
      <c r="AF4" s="425" t="s">
        <v>336</v>
      </c>
      <c r="AH4" s="226">
        <f>+AB4</f>
        <v>130841</v>
      </c>
      <c r="AI4" s="226" t="str">
        <f t="shared" ref="AI4:AJ4" si="1">+AC4</f>
        <v xml:space="preserve"> + </v>
      </c>
      <c r="AJ4" s="226">
        <f t="shared" si="1"/>
        <v>1026.3</v>
      </c>
      <c r="AK4" s="426">
        <f>+Z15</f>
        <v>52.892832598940863</v>
      </c>
      <c r="AL4" s="226" t="s">
        <v>343</v>
      </c>
      <c r="AM4" s="415">
        <f>+AH4+AJ4*AK4</f>
        <v>185124.91409629301</v>
      </c>
    </row>
    <row r="5" spans="2:39" ht="12.75" thickBot="1" x14ac:dyDescent="0.3">
      <c r="B5" s="226">
        <v>2</v>
      </c>
      <c r="C5" s="226" t="str">
        <f>_xlfn.XLOOKUP(B5,'$ Producto'!O:O,'$ Producto'!I:I)</f>
        <v>Oreo</v>
      </c>
      <c r="D5" s="338">
        <f>_xlfn.XLOOKUP(B5,'$ Producto'!O:O,'$ Producto'!J:J)</f>
        <v>240</v>
      </c>
      <c r="E5" s="339">
        <f>SUMIFS('$ Producto'!$N:$N,'$ Producto'!$I:$I,C5,'$ Producto'!$K:$K,$E$3)*D5</f>
        <v>130840.5625</v>
      </c>
      <c r="F5" s="339">
        <f>SUMIFS('$ Producto'!$N:$N,'$ Producto'!$I:$I,C5,'$ Producto'!$K:$K,$F$2)</f>
        <v>3500</v>
      </c>
      <c r="G5" s="339">
        <f>SUMIFS('$ Producto'!$N:$N,'$ Producto'!$I:$I,C5,'$ Producto'!$K:$K,$G$2)</f>
        <v>1082.23</v>
      </c>
      <c r="I5" s="340" t="str">
        <f t="shared" ref="I5:I21" si="2">ROUND(E5,2)&amp;" / ( "&amp;ROUND(F5,2)&amp;" - "&amp;G5&amp;" )"</f>
        <v>130840,56 / ( 3500 - 1082,23 )</v>
      </c>
      <c r="K5" s="413">
        <f t="shared" si="0"/>
        <v>54</v>
      </c>
      <c r="L5" s="339">
        <f t="shared" ref="L5:L19" si="3">+E5+G5*K5</f>
        <v>189280.98249999998</v>
      </c>
      <c r="M5" s="414">
        <f t="shared" ref="M5:M19" si="4">K5/D5</f>
        <v>0.22500000000000001</v>
      </c>
      <c r="N5" s="336" cm="1">
        <f t="array" ref="N5:N244">_xlfn.SEQUENCE(240)</f>
        <v>1</v>
      </c>
      <c r="O5" s="336">
        <f>+$E$4+($G$4*N5)</f>
        <v>131866.9025</v>
      </c>
      <c r="P5" s="336">
        <f>+$F$4*N5</f>
        <v>3500</v>
      </c>
      <c r="Q5" s="336">
        <f>+P5-O5</f>
        <v>-128366.9025</v>
      </c>
      <c r="R5" s="417">
        <f>+Q5/P5</f>
        <v>-36.676257857142858</v>
      </c>
      <c r="Z5" s="228" t="s">
        <v>341</v>
      </c>
      <c r="AA5" s="226" t="s">
        <v>343</v>
      </c>
      <c r="AB5" s="228" t="s">
        <v>345</v>
      </c>
      <c r="AC5" s="228" t="s">
        <v>346</v>
      </c>
      <c r="AD5" s="228" t="s">
        <v>340</v>
      </c>
    </row>
    <row r="6" spans="2:39" ht="12.75" thickBot="1" x14ac:dyDescent="0.3">
      <c r="B6" s="226">
        <v>3</v>
      </c>
      <c r="C6" s="226" t="str">
        <f>_xlfn.XLOOKUP(B6,'$ Producto'!O:O,'$ Producto'!I:I)</f>
        <v>Homero S</v>
      </c>
      <c r="D6" s="338">
        <f>_xlfn.XLOOKUP(B6,'$ Producto'!O:O,'$ Producto'!J:J)</f>
        <v>240</v>
      </c>
      <c r="E6" s="339">
        <f>SUMIFS('$ Producto'!$N:$N,'$ Producto'!$I:$I,C6,'$ Producto'!$K:$K,$E$3)*D6</f>
        <v>130840.5625</v>
      </c>
      <c r="F6" s="339">
        <f>SUMIFS('$ Producto'!$N:$N,'$ Producto'!$I:$I,C6,'$ Producto'!$K:$K,$F$2)</f>
        <v>3500</v>
      </c>
      <c r="G6" s="339">
        <f>SUMIFS('$ Producto'!$N:$N,'$ Producto'!$I:$I,C6,'$ Producto'!$K:$K,$G$2)</f>
        <v>885.87000000000012</v>
      </c>
      <c r="I6" s="340" t="str">
        <f t="shared" si="2"/>
        <v>130840,56 / ( 3500 - 885,87 )</v>
      </c>
      <c r="K6" s="413">
        <f t="shared" si="0"/>
        <v>50</v>
      </c>
      <c r="L6" s="339">
        <f t="shared" si="3"/>
        <v>175134.0625</v>
      </c>
      <c r="M6" s="414">
        <f t="shared" si="4"/>
        <v>0.20833333333333334</v>
      </c>
      <c r="N6" s="336">
        <v>2</v>
      </c>
      <c r="O6" s="336">
        <f t="shared" ref="O6:O69" si="5">+$E$4+($G$4*N6)</f>
        <v>132893.24249999999</v>
      </c>
      <c r="P6" s="336">
        <f t="shared" ref="P6:P69" si="6">+$F$4*N6</f>
        <v>7000</v>
      </c>
      <c r="Q6" s="336">
        <f t="shared" ref="Q6:Q69" si="7">+P6-O6</f>
        <v>-125893.24249999999</v>
      </c>
      <c r="R6" s="417">
        <f t="shared" ref="R6:R69" si="8">+Q6/P6</f>
        <v>-17.984748928571427</v>
      </c>
      <c r="Z6" s="228" t="s">
        <v>341</v>
      </c>
      <c r="AA6" s="226" t="s">
        <v>343</v>
      </c>
      <c r="AB6" s="418">
        <v>3500</v>
      </c>
      <c r="AC6" s="228" t="s">
        <v>346</v>
      </c>
      <c r="AD6" s="228" t="s">
        <v>340</v>
      </c>
      <c r="AF6" s="425" t="s">
        <v>336</v>
      </c>
      <c r="AH6" s="226">
        <f>+AB6</f>
        <v>3500</v>
      </c>
      <c r="AI6" s="426">
        <f>+Z15</f>
        <v>52.892832598940863</v>
      </c>
      <c r="AL6" s="226" t="s">
        <v>343</v>
      </c>
      <c r="AM6" s="415">
        <f>+AH6*AI6</f>
        <v>185124.91409629301</v>
      </c>
    </row>
    <row r="7" spans="2:39" x14ac:dyDescent="0.25">
      <c r="B7" s="226">
        <v>4</v>
      </c>
      <c r="C7" s="226" t="str">
        <f>_xlfn.XLOOKUP(B7,'$ Producto'!O:O,'$ Producto'!I:I)</f>
        <v>Morita</v>
      </c>
      <c r="D7" s="338">
        <f>_xlfn.XLOOKUP(B7,'$ Producto'!O:O,'$ Producto'!J:J)</f>
        <v>240</v>
      </c>
      <c r="E7" s="339">
        <f>SUMIFS('$ Producto'!$N:$N,'$ Producto'!$I:$I,C7,'$ Producto'!$K:$K,$E$3)*D7</f>
        <v>130840.5625</v>
      </c>
      <c r="F7" s="339">
        <f>SUMIFS('$ Producto'!$N:$N,'$ Producto'!$I:$I,C7,'$ Producto'!$K:$K,$F$2)</f>
        <v>3500</v>
      </c>
      <c r="G7" s="339">
        <f>SUMIFS('$ Producto'!$N:$N,'$ Producto'!$I:$I,C7,'$ Producto'!$K:$K,$G$2)</f>
        <v>711.23000000000013</v>
      </c>
      <c r="I7" s="340" t="str">
        <f t="shared" si="2"/>
        <v>130840,56 / ( 3500 - 711,23 )</v>
      </c>
      <c r="K7" s="413">
        <f t="shared" si="0"/>
        <v>47</v>
      </c>
      <c r="L7" s="339">
        <f t="shared" si="3"/>
        <v>164268.3725</v>
      </c>
      <c r="M7" s="414">
        <f t="shared" si="4"/>
        <v>0.19583333333333333</v>
      </c>
      <c r="N7" s="336">
        <v>3</v>
      </c>
      <c r="O7" s="336">
        <f t="shared" si="5"/>
        <v>133919.58249999999</v>
      </c>
      <c r="P7" s="336">
        <f t="shared" si="6"/>
        <v>10500</v>
      </c>
      <c r="Q7" s="336">
        <f t="shared" si="7"/>
        <v>-123419.58249999999</v>
      </c>
      <c r="R7" s="417">
        <f t="shared" si="8"/>
        <v>-11.754245952380952</v>
      </c>
    </row>
    <row r="8" spans="2:39" x14ac:dyDescent="0.25">
      <c r="B8" s="226">
        <v>5</v>
      </c>
      <c r="C8" s="226" t="str">
        <f>_xlfn.XLOOKUP(B8,'$ Producto'!O:O,'$ Producto'!I:I)</f>
        <v>R. avellana</v>
      </c>
      <c r="D8" s="338">
        <f>_xlfn.XLOOKUP(B8,'$ Producto'!O:O,'$ Producto'!J:J)</f>
        <v>288</v>
      </c>
      <c r="E8" s="339">
        <f>SUMIFS('$ Producto'!$N:$N,'$ Producto'!$I:$I,C8,'$ Producto'!$K:$K,$E$3)*D8</f>
        <v>131240.5625</v>
      </c>
      <c r="F8" s="339">
        <f>SUMIFS('$ Producto'!$N:$N,'$ Producto'!$I:$I,C8,'$ Producto'!$K:$K,$F$2)</f>
        <v>4500</v>
      </c>
      <c r="G8" s="339">
        <f>SUMIFS('$ Producto'!$N:$N,'$ Producto'!$I:$I,C8,'$ Producto'!$K:$K,$G$2)</f>
        <v>1279.2300000000002</v>
      </c>
      <c r="I8" s="340" t="str">
        <f t="shared" si="2"/>
        <v>131240,56 / ( 4500 - 1279,23 )</v>
      </c>
      <c r="K8" s="413">
        <f t="shared" si="0"/>
        <v>41</v>
      </c>
      <c r="L8" s="339">
        <f t="shared" si="3"/>
        <v>183688.99249999999</v>
      </c>
      <c r="M8" s="414">
        <f t="shared" si="4"/>
        <v>0.1423611111111111</v>
      </c>
      <c r="N8" s="336">
        <v>4</v>
      </c>
      <c r="O8" s="336">
        <f t="shared" si="5"/>
        <v>134945.92249999999</v>
      </c>
      <c r="P8" s="336">
        <f t="shared" si="6"/>
        <v>14000</v>
      </c>
      <c r="Q8" s="336">
        <f t="shared" si="7"/>
        <v>-120945.92249999999</v>
      </c>
      <c r="R8" s="417">
        <f t="shared" si="8"/>
        <v>-8.6389944642857142</v>
      </c>
      <c r="Z8" s="228" t="s">
        <v>342</v>
      </c>
      <c r="AA8" s="226" t="s">
        <v>343</v>
      </c>
      <c r="AB8" s="228" t="s">
        <v>341</v>
      </c>
      <c r="AC8" s="228" t="s">
        <v>324</v>
      </c>
      <c r="AD8" s="226" t="s">
        <v>219</v>
      </c>
    </row>
    <row r="9" spans="2:39" x14ac:dyDescent="0.25">
      <c r="B9" s="226">
        <v>6</v>
      </c>
      <c r="C9" s="226" t="str">
        <f>_xlfn.XLOOKUP(B9,'$ Producto'!O:O,'$ Producto'!I:I)</f>
        <v>R. arequipe</v>
      </c>
      <c r="D9" s="338">
        <f>_xlfn.XLOOKUP(B9,'$ Producto'!O:O,'$ Producto'!J:J)</f>
        <v>288</v>
      </c>
      <c r="E9" s="339">
        <f>SUMIFS('$ Producto'!$N:$N,'$ Producto'!$I:$I,C9,'$ Producto'!$K:$K,$E$3)*D9</f>
        <v>131240.5625</v>
      </c>
      <c r="F9" s="339">
        <f>SUMIFS('$ Producto'!$N:$N,'$ Producto'!$I:$I,C9,'$ Producto'!$K:$K,$F$2)</f>
        <v>4000</v>
      </c>
      <c r="G9" s="339">
        <f>SUMIFS('$ Producto'!$N:$N,'$ Producto'!$I:$I,C9,'$ Producto'!$K:$K,$G$2)</f>
        <v>830.23000000000013</v>
      </c>
      <c r="I9" s="340" t="str">
        <f t="shared" si="2"/>
        <v>131240,56 / ( 4000 - 830,23 )</v>
      </c>
      <c r="K9" s="413">
        <f t="shared" si="0"/>
        <v>41</v>
      </c>
      <c r="L9" s="339">
        <f t="shared" si="3"/>
        <v>165279.99249999999</v>
      </c>
      <c r="M9" s="414">
        <f t="shared" si="4"/>
        <v>0.1423611111111111</v>
      </c>
      <c r="N9" s="336">
        <v>5</v>
      </c>
      <c r="O9" s="336">
        <f t="shared" si="5"/>
        <v>135972.26250000001</v>
      </c>
      <c r="P9" s="336">
        <f t="shared" si="6"/>
        <v>17500</v>
      </c>
      <c r="Q9" s="336">
        <f t="shared" si="7"/>
        <v>-118472.26250000001</v>
      </c>
      <c r="R9" s="417">
        <f t="shared" si="8"/>
        <v>-6.7698435714285718</v>
      </c>
      <c r="Z9" s="228" t="s">
        <v>342</v>
      </c>
      <c r="AA9" s="226" t="s">
        <v>343</v>
      </c>
      <c r="AB9" s="418">
        <f>+AB6</f>
        <v>3500</v>
      </c>
      <c r="AC9" s="419" t="s">
        <v>340</v>
      </c>
      <c r="AD9" s="226" t="s">
        <v>324</v>
      </c>
      <c r="AE9" s="421">
        <f>+AB4</f>
        <v>130841</v>
      </c>
      <c r="AF9" s="420">
        <f>+AD4</f>
        <v>1026.3</v>
      </c>
      <c r="AG9" s="422" t="str">
        <f>+AE4</f>
        <v>Q</v>
      </c>
    </row>
    <row r="10" spans="2:39" x14ac:dyDescent="0.25">
      <c r="B10" s="226">
        <v>7</v>
      </c>
      <c r="C10" s="226" t="str">
        <f>_xlfn.XLOOKUP(B10,'$ Producto'!O:O,'$ Producto'!I:I)</f>
        <v>R. fresa</v>
      </c>
      <c r="D10" s="338">
        <f>_xlfn.XLOOKUP(B10,'$ Producto'!O:O,'$ Producto'!J:J)</f>
        <v>288</v>
      </c>
      <c r="E10" s="339">
        <f>SUMIFS('$ Producto'!$N:$N,'$ Producto'!$I:$I,C10,'$ Producto'!$K:$K,$E$3)*D10</f>
        <v>131240.5625</v>
      </c>
      <c r="F10" s="339">
        <f>SUMIFS('$ Producto'!$N:$N,'$ Producto'!$I:$I,C10,'$ Producto'!$K:$K,$F$2)</f>
        <v>4000</v>
      </c>
      <c r="G10" s="339">
        <f>SUMIFS('$ Producto'!$N:$N,'$ Producto'!$I:$I,C10,'$ Producto'!$K:$K,$G$2)</f>
        <v>934.23000000000013</v>
      </c>
      <c r="I10" s="340" t="str">
        <f t="shared" si="2"/>
        <v>131240,56 / ( 4000 - 934,23 )</v>
      </c>
      <c r="K10" s="413">
        <f t="shared" si="0"/>
        <v>43</v>
      </c>
      <c r="L10" s="339">
        <f t="shared" si="3"/>
        <v>171412.45250000001</v>
      </c>
      <c r="M10" s="414">
        <f t="shared" si="4"/>
        <v>0.14930555555555555</v>
      </c>
      <c r="N10" s="336">
        <v>6</v>
      </c>
      <c r="O10" s="336">
        <f t="shared" si="5"/>
        <v>136998.60250000001</v>
      </c>
      <c r="P10" s="336">
        <f t="shared" si="6"/>
        <v>21000</v>
      </c>
      <c r="Q10" s="336">
        <f t="shared" si="7"/>
        <v>-115998.60250000001</v>
      </c>
      <c r="R10" s="417">
        <f t="shared" si="8"/>
        <v>-5.5237429761904764</v>
      </c>
      <c r="Z10" s="228" t="str">
        <f>+Z9</f>
        <v>U</v>
      </c>
      <c r="AA10" s="226" t="s">
        <v>343</v>
      </c>
      <c r="AB10" s="418">
        <f>+AB9</f>
        <v>3500</v>
      </c>
      <c r="AC10" s="419" t="str">
        <f t="shared" ref="AC10" si="9">+AC9</f>
        <v>Q</v>
      </c>
      <c r="AD10" s="228">
        <f>-AE9</f>
        <v>-130841</v>
      </c>
      <c r="AE10" s="420">
        <f>-AF9</f>
        <v>-1026.3</v>
      </c>
      <c r="AF10" s="226" t="str">
        <f>+AG9</f>
        <v>Q</v>
      </c>
    </row>
    <row r="11" spans="2:39" x14ac:dyDescent="0.25">
      <c r="B11" s="226">
        <v>8</v>
      </c>
      <c r="C11" s="226" t="str">
        <f>_xlfn.XLOOKUP(B11,'$ Producto'!O:O,'$ Producto'!I:I)</f>
        <v>R. mora</v>
      </c>
      <c r="D11" s="338">
        <f>_xlfn.XLOOKUP(B11,'$ Producto'!O:O,'$ Producto'!J:J)</f>
        <v>288</v>
      </c>
      <c r="E11" s="339">
        <f>SUMIFS('$ Producto'!$N:$N,'$ Producto'!$I:$I,C11,'$ Producto'!$K:$K,$E$3)*D11</f>
        <v>131240.5625</v>
      </c>
      <c r="F11" s="339">
        <f>SUMIFS('$ Producto'!$N:$N,'$ Producto'!$I:$I,C11,'$ Producto'!$K:$K,$F$2)</f>
        <v>4000</v>
      </c>
      <c r="G11" s="339">
        <f>SUMIFS('$ Producto'!$N:$N,'$ Producto'!$I:$I,C11,'$ Producto'!$K:$K,$G$2)</f>
        <v>922.23000000000013</v>
      </c>
      <c r="I11" s="340" t="str">
        <f t="shared" si="2"/>
        <v>131240,56 / ( 4000 - 922,23 )</v>
      </c>
      <c r="K11" s="413">
        <f t="shared" si="0"/>
        <v>43</v>
      </c>
      <c r="L11" s="339">
        <f t="shared" si="3"/>
        <v>170896.45250000001</v>
      </c>
      <c r="M11" s="414">
        <f t="shared" si="4"/>
        <v>0.14930555555555555</v>
      </c>
      <c r="N11" s="336">
        <v>7</v>
      </c>
      <c r="O11" s="336">
        <f t="shared" si="5"/>
        <v>138024.9425</v>
      </c>
      <c r="P11" s="336">
        <f t="shared" si="6"/>
        <v>24500</v>
      </c>
      <c r="Q11" s="336">
        <f t="shared" si="7"/>
        <v>-113524.9425</v>
      </c>
      <c r="R11" s="417">
        <f t="shared" si="8"/>
        <v>-4.6336711224489795</v>
      </c>
      <c r="Z11" s="427" t="str">
        <f>+Z10</f>
        <v>U</v>
      </c>
      <c r="AA11" s="332" t="s">
        <v>343</v>
      </c>
      <c r="AB11" s="428">
        <f>+AB10+AE10</f>
        <v>2473.6999999999998</v>
      </c>
      <c r="AC11" s="429" t="str">
        <f>+AC10</f>
        <v>Q</v>
      </c>
      <c r="AD11" s="332">
        <f>+AD10</f>
        <v>-130841</v>
      </c>
    </row>
    <row r="12" spans="2:39" x14ac:dyDescent="0.25">
      <c r="B12" s="226">
        <v>9</v>
      </c>
      <c r="C12" s="226" t="str">
        <f>_xlfn.XLOOKUP(B12,'$ Producto'!O:O,'$ Producto'!I:I)</f>
        <v>R. frutos amarillos</v>
      </c>
      <c r="D12" s="338">
        <f>_xlfn.XLOOKUP(B12,'$ Producto'!O:O,'$ Producto'!J:J)</f>
        <v>288</v>
      </c>
      <c r="E12" s="339">
        <f>SUMIFS('$ Producto'!$N:$N,'$ Producto'!$I:$I,C12,'$ Producto'!$K:$K,$E$3)*D12</f>
        <v>131240.5625</v>
      </c>
      <c r="F12" s="339">
        <f>SUMIFS('$ Producto'!$N:$N,'$ Producto'!$I:$I,C12,'$ Producto'!$K:$K,$F$2)</f>
        <v>4000</v>
      </c>
      <c r="G12" s="339">
        <f>SUMIFS('$ Producto'!$N:$N,'$ Producto'!$I:$I,C12,'$ Producto'!$K:$K,$G$2)</f>
        <v>974.23000000000013</v>
      </c>
      <c r="I12" s="340" t="str">
        <f t="shared" si="2"/>
        <v>131240,56 / ( 4000 - 974,23 )</v>
      </c>
      <c r="K12" s="413">
        <f t="shared" si="0"/>
        <v>43</v>
      </c>
      <c r="L12" s="339">
        <f t="shared" si="3"/>
        <v>173132.45250000001</v>
      </c>
      <c r="M12" s="414">
        <f t="shared" si="4"/>
        <v>0.14930555555555555</v>
      </c>
      <c r="N12" s="336">
        <v>8</v>
      </c>
      <c r="O12" s="336">
        <f t="shared" si="5"/>
        <v>139051.2825</v>
      </c>
      <c r="P12" s="336">
        <f t="shared" si="6"/>
        <v>28000</v>
      </c>
      <c r="Q12" s="336">
        <f t="shared" si="7"/>
        <v>-111051.2825</v>
      </c>
      <c r="R12" s="417">
        <f t="shared" si="8"/>
        <v>-3.9661172321428571</v>
      </c>
      <c r="Z12" s="228">
        <v>0</v>
      </c>
      <c r="AA12" s="226" t="s">
        <v>343</v>
      </c>
      <c r="AB12" s="423">
        <f>+AB11</f>
        <v>2473.6999999999998</v>
      </c>
      <c r="AC12" s="419" t="str">
        <f>+AC11</f>
        <v>Q</v>
      </c>
      <c r="AD12" s="226">
        <f>+AD11</f>
        <v>-130841</v>
      </c>
    </row>
    <row r="13" spans="2:39" x14ac:dyDescent="0.25">
      <c r="B13" s="226">
        <v>10</v>
      </c>
      <c r="C13" s="226" t="str">
        <f>_xlfn.XLOOKUP(B13,'$ Producto'!O:O,'$ Producto'!I:I)</f>
        <v>Jugo lulo</v>
      </c>
      <c r="D13" s="338">
        <f>_xlfn.XLOOKUP(B13,'$ Producto'!O:O,'$ Producto'!J:J)</f>
        <v>168</v>
      </c>
      <c r="E13" s="339">
        <f>SUMIFS('$ Producto'!$N:$N,'$ Producto'!$I:$I,C13,'$ Producto'!$K:$K,$E$3)*D13</f>
        <v>123730.5625</v>
      </c>
      <c r="F13" s="339">
        <f>SUMIFS('$ Producto'!$N:$N,'$ Producto'!$I:$I,C13,'$ Producto'!$K:$K,$F$2)</f>
        <v>6500</v>
      </c>
      <c r="G13" s="339">
        <f>SUMIFS('$ Producto'!$N:$N,'$ Producto'!$I:$I,C13,'$ Producto'!$K:$K,$G$2)</f>
        <v>2580</v>
      </c>
      <c r="I13" s="340" t="str">
        <f t="shared" si="2"/>
        <v>123730,56 / ( 6500 - 2580 )</v>
      </c>
      <c r="K13" s="413">
        <f t="shared" si="0"/>
        <v>32</v>
      </c>
      <c r="L13" s="339">
        <f t="shared" si="3"/>
        <v>206290.5625</v>
      </c>
      <c r="M13" s="414">
        <f t="shared" si="4"/>
        <v>0.19047619047619047</v>
      </c>
      <c r="N13" s="336">
        <v>9</v>
      </c>
      <c r="O13" s="336">
        <f t="shared" si="5"/>
        <v>140077.6225</v>
      </c>
      <c r="P13" s="336">
        <f t="shared" si="6"/>
        <v>31500</v>
      </c>
      <c r="Q13" s="336">
        <f t="shared" si="7"/>
        <v>-108577.6225</v>
      </c>
      <c r="R13" s="417">
        <f t="shared" si="8"/>
        <v>-3.4469086507936506</v>
      </c>
      <c r="Z13" s="424">
        <f>+AD12*-1</f>
        <v>130841</v>
      </c>
      <c r="AA13" s="226" t="str">
        <f>+AA12</f>
        <v xml:space="preserve"> =</v>
      </c>
      <c r="AC13" s="419" t="str">
        <f>+AC12</f>
        <v>Q</v>
      </c>
    </row>
    <row r="14" spans="2:39" x14ac:dyDescent="0.25">
      <c r="B14" s="226">
        <v>11</v>
      </c>
      <c r="C14" s="226" t="str">
        <f>_xlfn.XLOOKUP(B14,'$ Producto'!O:O,'$ Producto'!I:I)</f>
        <v>Jugo mora</v>
      </c>
      <c r="D14" s="338">
        <f>_xlfn.XLOOKUP(B14,'$ Producto'!O:O,'$ Producto'!J:J)</f>
        <v>168</v>
      </c>
      <c r="E14" s="339">
        <f>SUMIFS('$ Producto'!$N:$N,'$ Producto'!$I:$I,C14,'$ Producto'!$K:$K,$E$3)*D14</f>
        <v>123730.5625</v>
      </c>
      <c r="F14" s="339">
        <f>SUMIFS('$ Producto'!$N:$N,'$ Producto'!$I:$I,C14,'$ Producto'!$K:$K,$F$2)</f>
        <v>6500</v>
      </c>
      <c r="G14" s="339">
        <f>SUMIFS('$ Producto'!$N:$N,'$ Producto'!$I:$I,C14,'$ Producto'!$K:$K,$G$2)</f>
        <v>2700</v>
      </c>
      <c r="I14" s="340" t="str">
        <f t="shared" si="2"/>
        <v>123730,56 / ( 6500 - 2700 )</v>
      </c>
      <c r="K14" s="413">
        <f t="shared" si="0"/>
        <v>33</v>
      </c>
      <c r="L14" s="339">
        <f t="shared" si="3"/>
        <v>212830.5625</v>
      </c>
      <c r="M14" s="414">
        <f t="shared" si="4"/>
        <v>0.19642857142857142</v>
      </c>
      <c r="N14" s="336">
        <v>10</v>
      </c>
      <c r="O14" s="336">
        <f t="shared" si="5"/>
        <v>141103.96249999999</v>
      </c>
      <c r="P14" s="336">
        <f t="shared" si="6"/>
        <v>35000</v>
      </c>
      <c r="Q14" s="336">
        <f t="shared" si="7"/>
        <v>-106103.96249999999</v>
      </c>
      <c r="R14" s="417">
        <f t="shared" si="8"/>
        <v>-3.0315417857142855</v>
      </c>
      <c r="Z14" s="423">
        <f>+AB12</f>
        <v>2473.6999999999998</v>
      </c>
    </row>
    <row r="15" spans="2:39" x14ac:dyDescent="0.25">
      <c r="B15" s="226">
        <v>12</v>
      </c>
      <c r="C15" s="226" t="str">
        <f>_xlfn.XLOOKUP(B15,'$ Producto'!O:O,'$ Producto'!I:I)</f>
        <v>Taza de café</v>
      </c>
      <c r="D15" s="338">
        <f>_xlfn.XLOOKUP(B15,'$ Producto'!O:O,'$ Producto'!J:J)</f>
        <v>100</v>
      </c>
      <c r="E15" s="339">
        <f>SUMIFS('$ Producto'!$N:$N,'$ Producto'!$I:$I,C15,'$ Producto'!$K:$K,$E$3)*D15</f>
        <v>128840.56249999999</v>
      </c>
      <c r="F15" s="339">
        <f>SUMIFS('$ Producto'!$N:$N,'$ Producto'!$I:$I,C15,'$ Producto'!$K:$K,$F$2)</f>
        <v>3500</v>
      </c>
      <c r="G15" s="339">
        <f>SUMIFS('$ Producto'!$N:$N,'$ Producto'!$I:$I,C15,'$ Producto'!$K:$K,$G$2)</f>
        <v>1860</v>
      </c>
      <c r="I15" s="340" t="str">
        <f t="shared" si="2"/>
        <v>128840,56 / ( 3500 - 1860 )</v>
      </c>
      <c r="K15" s="413">
        <f t="shared" si="0"/>
        <v>79</v>
      </c>
      <c r="L15" s="339">
        <f t="shared" si="3"/>
        <v>275780.5625</v>
      </c>
      <c r="M15" s="414">
        <f t="shared" si="4"/>
        <v>0.79</v>
      </c>
      <c r="N15" s="336">
        <v>11</v>
      </c>
      <c r="O15" s="336">
        <f t="shared" si="5"/>
        <v>142130.30249999999</v>
      </c>
      <c r="P15" s="336">
        <f t="shared" si="6"/>
        <v>38500</v>
      </c>
      <c r="Q15" s="336">
        <f t="shared" si="7"/>
        <v>-103630.30249999999</v>
      </c>
      <c r="R15" s="417">
        <f t="shared" si="8"/>
        <v>-2.6916961688311685</v>
      </c>
      <c r="Z15" s="228">
        <f>+Z13/Z14</f>
        <v>52.892832598940863</v>
      </c>
      <c r="AA15" s="226" t="str">
        <f>+AA13</f>
        <v xml:space="preserve"> =</v>
      </c>
      <c r="AC15" s="419" t="str">
        <f>+AC13</f>
        <v>Q</v>
      </c>
    </row>
    <row r="16" spans="2:39" x14ac:dyDescent="0.25">
      <c r="B16" s="226">
        <v>13</v>
      </c>
      <c r="C16" s="226" t="str">
        <f>_xlfn.XLOOKUP(B16,'$ Producto'!O:O,'$ Producto'!I:I)</f>
        <v>Coca-cola</v>
      </c>
      <c r="D16" s="338">
        <f>_xlfn.XLOOKUP(B16,'$ Producto'!O:O,'$ Producto'!J:J)</f>
        <v>168</v>
      </c>
      <c r="E16" s="339">
        <f>SUMIFS('$ Producto'!$N:$N,'$ Producto'!$I:$I,C16,'$ Producto'!$K:$K,$E$3)*D16</f>
        <v>123730.5625</v>
      </c>
      <c r="F16" s="339">
        <f>SUMIFS('$ Producto'!$N:$N,'$ Producto'!$I:$I,C16,'$ Producto'!$K:$K,$F$2)</f>
        <v>4500</v>
      </c>
      <c r="G16" s="339">
        <f>SUMIFS('$ Producto'!$N:$N,'$ Producto'!$I:$I,C16,'$ Producto'!$K:$K,$G$2)</f>
        <v>2850</v>
      </c>
      <c r="I16" s="340" t="str">
        <f t="shared" si="2"/>
        <v>123730,56 / ( 4500 - 2850 )</v>
      </c>
      <c r="K16" s="413">
        <f t="shared" si="0"/>
        <v>75</v>
      </c>
      <c r="L16" s="339">
        <f t="shared" si="3"/>
        <v>337480.5625</v>
      </c>
      <c r="M16" s="414">
        <f t="shared" si="4"/>
        <v>0.44642857142857145</v>
      </c>
      <c r="N16" s="336">
        <v>12</v>
      </c>
      <c r="O16" s="336">
        <f t="shared" si="5"/>
        <v>143156.64250000002</v>
      </c>
      <c r="P16" s="336">
        <f t="shared" si="6"/>
        <v>42000</v>
      </c>
      <c r="Q16" s="336">
        <f t="shared" si="7"/>
        <v>-101156.64250000002</v>
      </c>
      <c r="R16" s="417">
        <f t="shared" si="8"/>
        <v>-2.4084914880952386</v>
      </c>
    </row>
    <row r="17" spans="2:19" x14ac:dyDescent="0.25">
      <c r="B17" s="226">
        <v>14</v>
      </c>
      <c r="C17" s="226" t="str">
        <f>_xlfn.XLOOKUP(B17,'$ Producto'!O:O,'$ Producto'!I:I)</f>
        <v>Ginger</v>
      </c>
      <c r="D17" s="338">
        <f>_xlfn.XLOOKUP(B17,'$ Producto'!O:O,'$ Producto'!J:J)</f>
        <v>120</v>
      </c>
      <c r="E17" s="339">
        <f>SUMIFS('$ Producto'!$N:$N,'$ Producto'!$I:$I,C17,'$ Producto'!$K:$K,$E$3)*D17</f>
        <v>123730.5625</v>
      </c>
      <c r="F17" s="339">
        <f>SUMIFS('$ Producto'!$N:$N,'$ Producto'!$I:$I,C17,'$ Producto'!$K:$K,$F$2)</f>
        <v>4000</v>
      </c>
      <c r="G17" s="339">
        <f>SUMIFS('$ Producto'!$N:$N,'$ Producto'!$I:$I,C17,'$ Producto'!$K:$K,$G$2)</f>
        <v>2500</v>
      </c>
      <c r="I17" s="340" t="str">
        <f t="shared" si="2"/>
        <v>123730,56 / ( 4000 - 2500 )</v>
      </c>
      <c r="K17" s="413">
        <f t="shared" si="0"/>
        <v>82</v>
      </c>
      <c r="L17" s="339">
        <f t="shared" si="3"/>
        <v>328730.5625</v>
      </c>
      <c r="M17" s="414">
        <f t="shared" si="4"/>
        <v>0.68333333333333335</v>
      </c>
      <c r="N17" s="336">
        <v>13</v>
      </c>
      <c r="O17" s="336">
        <f t="shared" si="5"/>
        <v>144182.98250000001</v>
      </c>
      <c r="P17" s="336">
        <f t="shared" si="6"/>
        <v>45500</v>
      </c>
      <c r="Q17" s="336">
        <f t="shared" si="7"/>
        <v>-98682.982500000013</v>
      </c>
      <c r="R17" s="417">
        <f t="shared" si="8"/>
        <v>-2.1688567582417586</v>
      </c>
    </row>
    <row r="18" spans="2:19" x14ac:dyDescent="0.25">
      <c r="B18" s="226">
        <v>15</v>
      </c>
      <c r="C18" s="226" t="str">
        <f>_xlfn.XLOOKUP(B18,'$ Producto'!O:O,'$ Producto'!I:I)</f>
        <v>Manzana</v>
      </c>
      <c r="D18" s="338">
        <f>_xlfn.XLOOKUP(B18,'$ Producto'!O:O,'$ Producto'!J:J)</f>
        <v>120</v>
      </c>
      <c r="E18" s="339">
        <f>SUMIFS('$ Producto'!$N:$N,'$ Producto'!$I:$I,C18,'$ Producto'!$K:$K,$E$3)*D18</f>
        <v>123730.5625</v>
      </c>
      <c r="F18" s="339">
        <f>SUMIFS('$ Producto'!$N:$N,'$ Producto'!$I:$I,C18,'$ Producto'!$K:$K,$F$2)</f>
        <v>4000</v>
      </c>
      <c r="G18" s="339">
        <f>SUMIFS('$ Producto'!$N:$N,'$ Producto'!$I:$I,C18,'$ Producto'!$K:$K,$G$2)</f>
        <v>2200</v>
      </c>
      <c r="I18" s="340" t="str">
        <f t="shared" si="2"/>
        <v>123730,56 / ( 4000 - 2200 )</v>
      </c>
      <c r="K18" s="413">
        <f t="shared" si="0"/>
        <v>69</v>
      </c>
      <c r="L18" s="339">
        <f t="shared" si="3"/>
        <v>275530.5625</v>
      </c>
      <c r="M18" s="414">
        <f t="shared" si="4"/>
        <v>0.57499999999999996</v>
      </c>
      <c r="N18" s="336">
        <v>14</v>
      </c>
      <c r="O18" s="336">
        <f t="shared" si="5"/>
        <v>145209.32250000001</v>
      </c>
      <c r="P18" s="336">
        <f t="shared" si="6"/>
        <v>49000</v>
      </c>
      <c r="Q18" s="336">
        <f t="shared" si="7"/>
        <v>-96209.322500000009</v>
      </c>
      <c r="R18" s="417">
        <f t="shared" si="8"/>
        <v>-1.9634555612244899</v>
      </c>
      <c r="S18" s="416"/>
    </row>
    <row r="19" spans="2:19" x14ac:dyDescent="0.25">
      <c r="B19" s="226">
        <v>16</v>
      </c>
      <c r="C19" s="226" t="str">
        <f>_xlfn.XLOOKUP(B19,'$ Producto'!O:O,'$ Producto'!I:I)</f>
        <v>Agua botella</v>
      </c>
      <c r="D19" s="338">
        <f>_xlfn.XLOOKUP(B19,'$ Producto'!O:O,'$ Producto'!J:J)</f>
        <v>120</v>
      </c>
      <c r="E19" s="339">
        <f>SUMIFS('$ Producto'!$N:$N,'$ Producto'!$I:$I,C19,'$ Producto'!$K:$K,$E$3)*D19</f>
        <v>123730.5625</v>
      </c>
      <c r="F19" s="339">
        <f>SUMIFS('$ Producto'!$N:$N,'$ Producto'!$I:$I,C19,'$ Producto'!$K:$K,$F$2)</f>
        <v>3000</v>
      </c>
      <c r="G19" s="339">
        <f>SUMIFS('$ Producto'!$N:$N,'$ Producto'!$I:$I,C19,'$ Producto'!$K:$K,$G$2)</f>
        <v>700</v>
      </c>
      <c r="I19" s="340" t="str">
        <f t="shared" si="2"/>
        <v>123730,56 / ( 3000 - 700 )</v>
      </c>
      <c r="K19" s="413">
        <f t="shared" si="0"/>
        <v>54</v>
      </c>
      <c r="L19" s="339">
        <f t="shared" si="3"/>
        <v>161530.5625</v>
      </c>
      <c r="M19" s="414">
        <f t="shared" si="4"/>
        <v>0.45</v>
      </c>
      <c r="N19" s="336">
        <v>15</v>
      </c>
      <c r="O19" s="336">
        <f t="shared" si="5"/>
        <v>146235.66250000001</v>
      </c>
      <c r="P19" s="336">
        <f t="shared" si="6"/>
        <v>52500</v>
      </c>
      <c r="Q19" s="336">
        <f t="shared" si="7"/>
        <v>-93735.662500000006</v>
      </c>
      <c r="R19" s="417">
        <f t="shared" si="8"/>
        <v>-1.7854411904761907</v>
      </c>
    </row>
    <row r="20" spans="2:19" x14ac:dyDescent="0.25">
      <c r="L20" s="228"/>
      <c r="N20" s="336">
        <v>16</v>
      </c>
      <c r="O20" s="336">
        <f t="shared" si="5"/>
        <v>147262.0025</v>
      </c>
      <c r="P20" s="336">
        <f t="shared" si="6"/>
        <v>56000</v>
      </c>
      <c r="Q20" s="336">
        <f t="shared" si="7"/>
        <v>-91262.002500000002</v>
      </c>
      <c r="R20" s="417">
        <f t="shared" si="8"/>
        <v>-1.6296786160714287</v>
      </c>
    </row>
    <row r="21" spans="2:19" x14ac:dyDescent="0.25">
      <c r="E21" s="341">
        <f>SUM(E4:E20)</f>
        <v>2050789</v>
      </c>
      <c r="F21" s="341">
        <f>AVERAGE(F4:F19)</f>
        <v>4156.25</v>
      </c>
      <c r="G21" s="341">
        <f>AVERAGE(G4:G20)</f>
        <v>1502.23875</v>
      </c>
      <c r="I21" s="340" t="str">
        <f t="shared" si="2"/>
        <v>2050789 / ( 4156,25 - 1502,23875 )</v>
      </c>
      <c r="K21" s="413">
        <f>ROUND(E21/(F21-G21),0)</f>
        <v>773</v>
      </c>
      <c r="L21" s="339">
        <f t="shared" ref="L21" si="10">+E21+G21*K21</f>
        <v>3212019.55375</v>
      </c>
      <c r="N21" s="336">
        <v>17</v>
      </c>
      <c r="O21" s="336">
        <f t="shared" si="5"/>
        <v>148288.3425</v>
      </c>
      <c r="P21" s="336">
        <f t="shared" si="6"/>
        <v>59500</v>
      </c>
      <c r="Q21" s="336">
        <f t="shared" si="7"/>
        <v>-88788.342499999999</v>
      </c>
      <c r="R21" s="417">
        <f t="shared" si="8"/>
        <v>-1.492241050420168</v>
      </c>
    </row>
    <row r="22" spans="2:19" x14ac:dyDescent="0.25">
      <c r="N22" s="336">
        <v>18</v>
      </c>
      <c r="O22" s="336">
        <f t="shared" si="5"/>
        <v>149314.6825</v>
      </c>
      <c r="P22" s="336">
        <f t="shared" si="6"/>
        <v>63000</v>
      </c>
      <c r="Q22" s="336">
        <f t="shared" si="7"/>
        <v>-86314.682499999995</v>
      </c>
      <c r="R22" s="417">
        <f t="shared" si="8"/>
        <v>-1.3700743253968253</v>
      </c>
    </row>
    <row r="23" spans="2:19" x14ac:dyDescent="0.25">
      <c r="N23" s="336">
        <v>19</v>
      </c>
      <c r="O23" s="336">
        <f t="shared" si="5"/>
        <v>150341.02249999999</v>
      </c>
      <c r="P23" s="336">
        <f t="shared" si="6"/>
        <v>66500</v>
      </c>
      <c r="Q23" s="336">
        <f t="shared" si="7"/>
        <v>-83841.022499999992</v>
      </c>
      <c r="R23" s="417">
        <f t="shared" si="8"/>
        <v>-1.2607672556390976</v>
      </c>
    </row>
    <row r="24" spans="2:19" x14ac:dyDescent="0.25">
      <c r="N24" s="336">
        <v>20</v>
      </c>
      <c r="O24" s="336">
        <f t="shared" si="5"/>
        <v>151367.36249999999</v>
      </c>
      <c r="P24" s="336">
        <f t="shared" si="6"/>
        <v>70000</v>
      </c>
      <c r="Q24" s="336">
        <f t="shared" si="7"/>
        <v>-81367.362499999988</v>
      </c>
      <c r="R24" s="417">
        <f t="shared" si="8"/>
        <v>-1.1623908928571427</v>
      </c>
    </row>
    <row r="25" spans="2:19" x14ac:dyDescent="0.25">
      <c r="N25" s="336">
        <v>21</v>
      </c>
      <c r="O25" s="336">
        <f t="shared" si="5"/>
        <v>152393.70250000001</v>
      </c>
      <c r="P25" s="336">
        <f t="shared" si="6"/>
        <v>73500</v>
      </c>
      <c r="Q25" s="336">
        <f t="shared" si="7"/>
        <v>-78893.702500000014</v>
      </c>
      <c r="R25" s="417">
        <f t="shared" si="8"/>
        <v>-1.0733837074829933</v>
      </c>
    </row>
    <row r="26" spans="2:19" x14ac:dyDescent="0.25">
      <c r="N26" s="336">
        <v>22</v>
      </c>
      <c r="O26" s="336">
        <f t="shared" si="5"/>
        <v>153420.04250000001</v>
      </c>
      <c r="P26" s="336">
        <f t="shared" si="6"/>
        <v>77000</v>
      </c>
      <c r="Q26" s="336">
        <f t="shared" si="7"/>
        <v>-76420.04250000001</v>
      </c>
      <c r="R26" s="417">
        <f t="shared" si="8"/>
        <v>-0.99246808441558454</v>
      </c>
    </row>
    <row r="27" spans="2:19" x14ac:dyDescent="0.25">
      <c r="N27" s="336">
        <v>23</v>
      </c>
      <c r="O27" s="336">
        <f t="shared" si="5"/>
        <v>154446.38250000001</v>
      </c>
      <c r="P27" s="336">
        <f t="shared" si="6"/>
        <v>80500</v>
      </c>
      <c r="Q27" s="336">
        <f t="shared" si="7"/>
        <v>-73946.382500000007</v>
      </c>
      <c r="R27" s="417">
        <f t="shared" si="8"/>
        <v>-0.91858860248447216</v>
      </c>
    </row>
    <row r="28" spans="2:19" x14ac:dyDescent="0.25">
      <c r="N28" s="336">
        <v>24</v>
      </c>
      <c r="O28" s="336">
        <f t="shared" si="5"/>
        <v>155472.7225</v>
      </c>
      <c r="P28" s="336">
        <f t="shared" si="6"/>
        <v>84000</v>
      </c>
      <c r="Q28" s="336">
        <f t="shared" si="7"/>
        <v>-71472.722500000003</v>
      </c>
      <c r="R28" s="417">
        <f t="shared" si="8"/>
        <v>-0.85086574404761905</v>
      </c>
    </row>
    <row r="29" spans="2:19" x14ac:dyDescent="0.25">
      <c r="N29" s="336">
        <v>25</v>
      </c>
      <c r="O29" s="336">
        <f t="shared" si="5"/>
        <v>156499.0625</v>
      </c>
      <c r="P29" s="336">
        <f t="shared" si="6"/>
        <v>87500</v>
      </c>
      <c r="Q29" s="336">
        <f t="shared" si="7"/>
        <v>-68999.0625</v>
      </c>
      <c r="R29" s="417">
        <f t="shared" si="8"/>
        <v>-0.78856071428571428</v>
      </c>
    </row>
    <row r="30" spans="2:19" x14ac:dyDescent="0.25">
      <c r="N30" s="336">
        <v>26</v>
      </c>
      <c r="O30" s="336">
        <f t="shared" si="5"/>
        <v>157525.4025</v>
      </c>
      <c r="P30" s="336">
        <f t="shared" si="6"/>
        <v>91000</v>
      </c>
      <c r="Q30" s="336">
        <f t="shared" si="7"/>
        <v>-66525.402499999997</v>
      </c>
      <c r="R30" s="417">
        <f t="shared" si="8"/>
        <v>-0.73104837912087905</v>
      </c>
    </row>
    <row r="31" spans="2:19" x14ac:dyDescent="0.25">
      <c r="N31" s="336">
        <v>27</v>
      </c>
      <c r="O31" s="336">
        <f t="shared" si="5"/>
        <v>158551.74249999999</v>
      </c>
      <c r="P31" s="336">
        <f t="shared" si="6"/>
        <v>94500</v>
      </c>
      <c r="Q31" s="336">
        <f t="shared" si="7"/>
        <v>-64051.742499999993</v>
      </c>
      <c r="R31" s="417">
        <f t="shared" si="8"/>
        <v>-0.67779621693121683</v>
      </c>
    </row>
    <row r="32" spans="2:19" x14ac:dyDescent="0.25">
      <c r="N32" s="336">
        <v>28</v>
      </c>
      <c r="O32" s="336">
        <f t="shared" si="5"/>
        <v>159578.08250000002</v>
      </c>
      <c r="P32" s="336">
        <f t="shared" si="6"/>
        <v>98000</v>
      </c>
      <c r="Q32" s="336">
        <f t="shared" si="7"/>
        <v>-61578.082500000019</v>
      </c>
      <c r="R32" s="417">
        <f t="shared" si="8"/>
        <v>-0.62834778061224505</v>
      </c>
    </row>
    <row r="33" spans="14:18" x14ac:dyDescent="0.25">
      <c r="N33" s="336">
        <v>29</v>
      </c>
      <c r="O33" s="336">
        <f t="shared" si="5"/>
        <v>160604.42250000002</v>
      </c>
      <c r="P33" s="336">
        <f t="shared" si="6"/>
        <v>101500</v>
      </c>
      <c r="Q33" s="336">
        <f t="shared" si="7"/>
        <v>-59104.422500000015</v>
      </c>
      <c r="R33" s="417">
        <f t="shared" si="8"/>
        <v>-0.58230958128078836</v>
      </c>
    </row>
    <row r="34" spans="14:18" x14ac:dyDescent="0.25">
      <c r="N34" s="336">
        <v>30</v>
      </c>
      <c r="O34" s="336">
        <f t="shared" si="5"/>
        <v>161630.76250000001</v>
      </c>
      <c r="P34" s="336">
        <f t="shared" si="6"/>
        <v>105000</v>
      </c>
      <c r="Q34" s="336">
        <f t="shared" si="7"/>
        <v>-56630.762500000012</v>
      </c>
      <c r="R34" s="417">
        <f t="shared" si="8"/>
        <v>-0.5393405952380953</v>
      </c>
    </row>
    <row r="35" spans="14:18" x14ac:dyDescent="0.25">
      <c r="N35" s="336">
        <v>31</v>
      </c>
      <c r="O35" s="336">
        <f t="shared" si="5"/>
        <v>162657.10250000001</v>
      </c>
      <c r="P35" s="336">
        <f t="shared" si="6"/>
        <v>108500</v>
      </c>
      <c r="Q35" s="336">
        <f t="shared" si="7"/>
        <v>-54157.102500000008</v>
      </c>
      <c r="R35" s="417">
        <f t="shared" si="8"/>
        <v>-0.49914380184331802</v>
      </c>
    </row>
    <row r="36" spans="14:18" x14ac:dyDescent="0.25">
      <c r="N36" s="336">
        <v>32</v>
      </c>
      <c r="O36" s="336">
        <f t="shared" si="5"/>
        <v>163683.4425</v>
      </c>
      <c r="P36" s="336">
        <f t="shared" si="6"/>
        <v>112000</v>
      </c>
      <c r="Q36" s="336">
        <f t="shared" si="7"/>
        <v>-51683.442500000005</v>
      </c>
      <c r="R36" s="417">
        <f t="shared" si="8"/>
        <v>-0.46145930803571433</v>
      </c>
    </row>
    <row r="37" spans="14:18" x14ac:dyDescent="0.25">
      <c r="N37" s="336">
        <v>33</v>
      </c>
      <c r="O37" s="336">
        <f t="shared" si="5"/>
        <v>164709.7825</v>
      </c>
      <c r="P37" s="336">
        <f t="shared" si="6"/>
        <v>115500</v>
      </c>
      <c r="Q37" s="336">
        <f t="shared" si="7"/>
        <v>-49209.782500000001</v>
      </c>
      <c r="R37" s="417">
        <f t="shared" si="8"/>
        <v>-0.42605872294372293</v>
      </c>
    </row>
    <row r="38" spans="14:18" x14ac:dyDescent="0.25">
      <c r="N38" s="336">
        <v>34</v>
      </c>
      <c r="O38" s="336">
        <f t="shared" si="5"/>
        <v>165736.1225</v>
      </c>
      <c r="P38" s="336">
        <f t="shared" si="6"/>
        <v>119000</v>
      </c>
      <c r="Q38" s="336">
        <f t="shared" si="7"/>
        <v>-46736.122499999998</v>
      </c>
      <c r="R38" s="417">
        <f t="shared" si="8"/>
        <v>-0.39274052521008401</v>
      </c>
    </row>
    <row r="39" spans="14:18" x14ac:dyDescent="0.25">
      <c r="N39" s="336">
        <v>35</v>
      </c>
      <c r="O39" s="336">
        <f t="shared" si="5"/>
        <v>166762.46250000002</v>
      </c>
      <c r="P39" s="336">
        <f t="shared" si="6"/>
        <v>122500</v>
      </c>
      <c r="Q39" s="336">
        <f t="shared" si="7"/>
        <v>-44262.462500000023</v>
      </c>
      <c r="R39" s="417">
        <f t="shared" si="8"/>
        <v>-0.36132622448979612</v>
      </c>
    </row>
    <row r="40" spans="14:18" x14ac:dyDescent="0.25">
      <c r="N40" s="336">
        <v>36</v>
      </c>
      <c r="O40" s="336">
        <f t="shared" si="5"/>
        <v>167788.80249999999</v>
      </c>
      <c r="P40" s="336">
        <f t="shared" si="6"/>
        <v>126000</v>
      </c>
      <c r="Q40" s="336">
        <f t="shared" si="7"/>
        <v>-41788.802499999991</v>
      </c>
      <c r="R40" s="417">
        <f t="shared" si="8"/>
        <v>-0.33165716269841261</v>
      </c>
    </row>
    <row r="41" spans="14:18" x14ac:dyDescent="0.25">
      <c r="N41" s="336">
        <v>37</v>
      </c>
      <c r="O41" s="336">
        <f t="shared" si="5"/>
        <v>168815.14250000002</v>
      </c>
      <c r="P41" s="336">
        <f t="shared" si="6"/>
        <v>129500</v>
      </c>
      <c r="Q41" s="336">
        <f t="shared" si="7"/>
        <v>-39315.142500000016</v>
      </c>
      <c r="R41" s="417">
        <f t="shared" si="8"/>
        <v>-0.30359183397683409</v>
      </c>
    </row>
    <row r="42" spans="14:18" x14ac:dyDescent="0.25">
      <c r="N42" s="336">
        <v>38</v>
      </c>
      <c r="O42" s="336">
        <f t="shared" si="5"/>
        <v>169841.48250000001</v>
      </c>
      <c r="P42" s="336">
        <f t="shared" si="6"/>
        <v>133000</v>
      </c>
      <c r="Q42" s="336">
        <f t="shared" si="7"/>
        <v>-36841.482500000013</v>
      </c>
      <c r="R42" s="417">
        <f t="shared" si="8"/>
        <v>-0.27700362781954896</v>
      </c>
    </row>
    <row r="43" spans="14:18" x14ac:dyDescent="0.25">
      <c r="N43" s="336">
        <v>39</v>
      </c>
      <c r="O43" s="336">
        <f t="shared" si="5"/>
        <v>170867.82250000001</v>
      </c>
      <c r="P43" s="336">
        <f t="shared" si="6"/>
        <v>136500</v>
      </c>
      <c r="Q43" s="336">
        <f t="shared" si="7"/>
        <v>-34367.822500000009</v>
      </c>
      <c r="R43" s="417">
        <f t="shared" si="8"/>
        <v>-0.2517789194139195</v>
      </c>
    </row>
    <row r="44" spans="14:18" x14ac:dyDescent="0.25">
      <c r="N44" s="336">
        <v>40</v>
      </c>
      <c r="O44" s="336">
        <f t="shared" si="5"/>
        <v>171894.16250000001</v>
      </c>
      <c r="P44" s="336">
        <f t="shared" si="6"/>
        <v>140000</v>
      </c>
      <c r="Q44" s="336">
        <f t="shared" si="7"/>
        <v>-31894.162500000006</v>
      </c>
      <c r="R44" s="417">
        <f t="shared" si="8"/>
        <v>-0.22781544642857146</v>
      </c>
    </row>
    <row r="45" spans="14:18" x14ac:dyDescent="0.25">
      <c r="N45" s="336">
        <v>41</v>
      </c>
      <c r="O45" s="336">
        <f t="shared" si="5"/>
        <v>172920.5025</v>
      </c>
      <c r="P45" s="336">
        <f t="shared" si="6"/>
        <v>143500</v>
      </c>
      <c r="Q45" s="336">
        <f t="shared" si="7"/>
        <v>-29420.502500000002</v>
      </c>
      <c r="R45" s="417">
        <f t="shared" si="8"/>
        <v>-0.20502092334494776</v>
      </c>
    </row>
    <row r="46" spans="14:18" x14ac:dyDescent="0.25">
      <c r="N46" s="336">
        <v>42</v>
      </c>
      <c r="O46" s="336">
        <f t="shared" si="5"/>
        <v>173946.8425</v>
      </c>
      <c r="P46" s="336">
        <f t="shared" si="6"/>
        <v>147000</v>
      </c>
      <c r="Q46" s="336">
        <f t="shared" si="7"/>
        <v>-26946.842499999999</v>
      </c>
      <c r="R46" s="417">
        <f t="shared" si="8"/>
        <v>-0.18331185374149658</v>
      </c>
    </row>
    <row r="47" spans="14:18" x14ac:dyDescent="0.25">
      <c r="N47" s="336">
        <v>43</v>
      </c>
      <c r="O47" s="336">
        <f t="shared" si="5"/>
        <v>174973.1825</v>
      </c>
      <c r="P47" s="336">
        <f t="shared" si="6"/>
        <v>150500</v>
      </c>
      <c r="Q47" s="336">
        <f t="shared" si="7"/>
        <v>-24473.182499999995</v>
      </c>
      <c r="R47" s="417">
        <f t="shared" si="8"/>
        <v>-0.1626125083056478</v>
      </c>
    </row>
    <row r="48" spans="14:18" x14ac:dyDescent="0.25">
      <c r="N48" s="336">
        <v>44</v>
      </c>
      <c r="O48" s="336">
        <f t="shared" si="5"/>
        <v>175999.52250000002</v>
      </c>
      <c r="P48" s="336">
        <f t="shared" si="6"/>
        <v>154000</v>
      </c>
      <c r="Q48" s="336">
        <f t="shared" si="7"/>
        <v>-21999.522500000021</v>
      </c>
      <c r="R48" s="417">
        <f t="shared" si="8"/>
        <v>-0.14285404220779235</v>
      </c>
    </row>
    <row r="49" spans="14:18" x14ac:dyDescent="0.25">
      <c r="N49" s="336">
        <v>45</v>
      </c>
      <c r="O49" s="336">
        <f t="shared" si="5"/>
        <v>177025.86249999999</v>
      </c>
      <c r="P49" s="336">
        <f t="shared" si="6"/>
        <v>157500</v>
      </c>
      <c r="Q49" s="336">
        <f t="shared" si="7"/>
        <v>-19525.862499999988</v>
      </c>
      <c r="R49" s="417">
        <f t="shared" si="8"/>
        <v>-0.12397373015873009</v>
      </c>
    </row>
    <row r="50" spans="14:18" x14ac:dyDescent="0.25">
      <c r="N50" s="336">
        <v>46</v>
      </c>
      <c r="O50" s="336">
        <f t="shared" si="5"/>
        <v>178052.20250000001</v>
      </c>
      <c r="P50" s="336">
        <f t="shared" si="6"/>
        <v>161000</v>
      </c>
      <c r="Q50" s="336">
        <f t="shared" si="7"/>
        <v>-17052.202500000014</v>
      </c>
      <c r="R50" s="417">
        <f t="shared" si="8"/>
        <v>-0.10591430124223611</v>
      </c>
    </row>
    <row r="51" spans="14:18" x14ac:dyDescent="0.25">
      <c r="N51" s="336">
        <v>47</v>
      </c>
      <c r="O51" s="336">
        <f t="shared" si="5"/>
        <v>179078.54250000001</v>
      </c>
      <c r="P51" s="336">
        <f t="shared" si="6"/>
        <v>164500</v>
      </c>
      <c r="Q51" s="336">
        <f t="shared" si="7"/>
        <v>-14578.54250000001</v>
      </c>
      <c r="R51" s="417">
        <f t="shared" si="8"/>
        <v>-8.8623358662614046E-2</v>
      </c>
    </row>
    <row r="52" spans="14:18" x14ac:dyDescent="0.25">
      <c r="N52" s="336">
        <v>48</v>
      </c>
      <c r="O52" s="336">
        <f t="shared" si="5"/>
        <v>180104.88250000001</v>
      </c>
      <c r="P52" s="336">
        <f t="shared" si="6"/>
        <v>168000</v>
      </c>
      <c r="Q52" s="336">
        <f t="shared" si="7"/>
        <v>-12104.882500000007</v>
      </c>
      <c r="R52" s="417">
        <f t="shared" si="8"/>
        <v>-7.2052872023809569E-2</v>
      </c>
    </row>
    <row r="53" spans="14:18" x14ac:dyDescent="0.25">
      <c r="N53" s="336">
        <v>49</v>
      </c>
      <c r="O53" s="336">
        <f t="shared" si="5"/>
        <v>181131.2225</v>
      </c>
      <c r="P53" s="336">
        <f t="shared" si="6"/>
        <v>171500</v>
      </c>
      <c r="Q53" s="336">
        <f t="shared" si="7"/>
        <v>-9631.2225000000035</v>
      </c>
      <c r="R53" s="417">
        <f t="shared" si="8"/>
        <v>-5.6158731778425675E-2</v>
      </c>
    </row>
    <row r="54" spans="14:18" x14ac:dyDescent="0.25">
      <c r="N54" s="336">
        <v>50</v>
      </c>
      <c r="O54" s="336">
        <f t="shared" si="5"/>
        <v>182157.5625</v>
      </c>
      <c r="P54" s="336">
        <f t="shared" si="6"/>
        <v>175000</v>
      </c>
      <c r="Q54" s="336">
        <f t="shared" si="7"/>
        <v>-7157.5625</v>
      </c>
      <c r="R54" s="417">
        <f t="shared" si="8"/>
        <v>-4.0900357142857141E-2</v>
      </c>
    </row>
    <row r="55" spans="14:18" x14ac:dyDescent="0.25">
      <c r="N55" s="336">
        <v>51</v>
      </c>
      <c r="O55" s="336">
        <f t="shared" si="5"/>
        <v>183183.90250000003</v>
      </c>
      <c r="P55" s="336">
        <f t="shared" si="6"/>
        <v>178500</v>
      </c>
      <c r="Q55" s="336">
        <f t="shared" si="7"/>
        <v>-4683.9025000000256</v>
      </c>
      <c r="R55" s="417">
        <f t="shared" si="8"/>
        <v>-2.6240350140056167E-2</v>
      </c>
    </row>
    <row r="56" spans="14:18" x14ac:dyDescent="0.25">
      <c r="N56" s="336">
        <v>52</v>
      </c>
      <c r="O56" s="336">
        <f t="shared" si="5"/>
        <v>184210.24249999999</v>
      </c>
      <c r="P56" s="336">
        <f t="shared" si="6"/>
        <v>182000</v>
      </c>
      <c r="Q56" s="336">
        <f t="shared" si="7"/>
        <v>-2210.242499999993</v>
      </c>
      <c r="R56" s="417">
        <f t="shared" si="8"/>
        <v>-1.2144189560439523E-2</v>
      </c>
    </row>
    <row r="57" spans="14:18" x14ac:dyDescent="0.25">
      <c r="N57" s="336">
        <v>53</v>
      </c>
      <c r="O57" s="336">
        <f t="shared" si="5"/>
        <v>185236.58250000002</v>
      </c>
      <c r="P57" s="336">
        <f t="shared" si="6"/>
        <v>185500</v>
      </c>
      <c r="Q57" s="336">
        <f t="shared" si="7"/>
        <v>263.41749999998137</v>
      </c>
      <c r="R57" s="417">
        <f t="shared" si="8"/>
        <v>1.4200404312667459E-3</v>
      </c>
    </row>
    <row r="58" spans="14:18" x14ac:dyDescent="0.25">
      <c r="N58" s="336">
        <v>54</v>
      </c>
      <c r="O58" s="336">
        <f t="shared" si="5"/>
        <v>186262.92250000002</v>
      </c>
      <c r="P58" s="336">
        <f t="shared" si="6"/>
        <v>189000</v>
      </c>
      <c r="Q58" s="336">
        <f t="shared" si="7"/>
        <v>2737.0774999999849</v>
      </c>
      <c r="R58" s="417">
        <f t="shared" si="8"/>
        <v>1.4481891534391455E-2</v>
      </c>
    </row>
    <row r="59" spans="14:18" x14ac:dyDescent="0.25">
      <c r="N59" s="336">
        <v>55</v>
      </c>
      <c r="O59" s="336">
        <f t="shared" si="5"/>
        <v>187289.26250000001</v>
      </c>
      <c r="P59" s="336">
        <f t="shared" si="6"/>
        <v>192500</v>
      </c>
      <c r="Q59" s="336">
        <f t="shared" si="7"/>
        <v>5210.7374999999884</v>
      </c>
      <c r="R59" s="417">
        <f t="shared" si="8"/>
        <v>2.7068766233766174E-2</v>
      </c>
    </row>
    <row r="60" spans="14:18" x14ac:dyDescent="0.25">
      <c r="N60" s="336">
        <v>56</v>
      </c>
      <c r="O60" s="336">
        <f t="shared" si="5"/>
        <v>188315.60250000001</v>
      </c>
      <c r="P60" s="336">
        <f t="shared" si="6"/>
        <v>196000</v>
      </c>
      <c r="Q60" s="336">
        <f t="shared" si="7"/>
        <v>7684.3974999999919</v>
      </c>
      <c r="R60" s="417">
        <f t="shared" si="8"/>
        <v>3.9206109693877507E-2</v>
      </c>
    </row>
    <row r="61" spans="14:18" x14ac:dyDescent="0.25">
      <c r="N61" s="336">
        <v>57</v>
      </c>
      <c r="O61" s="336">
        <f t="shared" si="5"/>
        <v>189341.9425</v>
      </c>
      <c r="P61" s="336">
        <f t="shared" si="6"/>
        <v>199500</v>
      </c>
      <c r="Q61" s="336">
        <f t="shared" si="7"/>
        <v>10158.057499999995</v>
      </c>
      <c r="R61" s="417">
        <f t="shared" si="8"/>
        <v>5.0917581453634064E-2</v>
      </c>
    </row>
    <row r="62" spans="14:18" x14ac:dyDescent="0.25">
      <c r="N62" s="336">
        <v>58</v>
      </c>
      <c r="O62" s="336">
        <f t="shared" si="5"/>
        <v>190368.2825</v>
      </c>
      <c r="P62" s="336">
        <f t="shared" si="6"/>
        <v>203000</v>
      </c>
      <c r="Q62" s="336">
        <f t="shared" si="7"/>
        <v>12631.717499999999</v>
      </c>
      <c r="R62" s="417">
        <f t="shared" si="8"/>
        <v>6.2225209359605904E-2</v>
      </c>
    </row>
    <row r="63" spans="14:18" x14ac:dyDescent="0.25">
      <c r="N63" s="336">
        <v>59</v>
      </c>
      <c r="O63" s="336">
        <f t="shared" si="5"/>
        <v>191394.6225</v>
      </c>
      <c r="P63" s="336">
        <f t="shared" si="6"/>
        <v>206500</v>
      </c>
      <c r="Q63" s="336">
        <f t="shared" si="7"/>
        <v>15105.377500000002</v>
      </c>
      <c r="R63" s="417">
        <f t="shared" si="8"/>
        <v>7.3149527845036325E-2</v>
      </c>
    </row>
    <row r="64" spans="14:18" x14ac:dyDescent="0.25">
      <c r="N64" s="336">
        <v>60</v>
      </c>
      <c r="O64" s="336">
        <f t="shared" si="5"/>
        <v>192420.96250000002</v>
      </c>
      <c r="P64" s="336">
        <f t="shared" si="6"/>
        <v>210000</v>
      </c>
      <c r="Q64" s="336">
        <f t="shared" si="7"/>
        <v>17579.037499999977</v>
      </c>
      <c r="R64" s="417">
        <f t="shared" si="8"/>
        <v>8.3709702380952267E-2</v>
      </c>
    </row>
    <row r="65" spans="14:18" x14ac:dyDescent="0.25">
      <c r="N65" s="336">
        <v>61</v>
      </c>
      <c r="O65" s="336">
        <f t="shared" si="5"/>
        <v>193447.30249999999</v>
      </c>
      <c r="P65" s="336">
        <f t="shared" si="6"/>
        <v>213500</v>
      </c>
      <c r="Q65" s="336">
        <f t="shared" si="7"/>
        <v>20052.697500000009</v>
      </c>
      <c r="R65" s="417">
        <f t="shared" si="8"/>
        <v>9.392364168618271E-2</v>
      </c>
    </row>
    <row r="66" spans="14:18" x14ac:dyDescent="0.25">
      <c r="N66" s="336">
        <v>62</v>
      </c>
      <c r="O66" s="336">
        <f t="shared" si="5"/>
        <v>194473.64250000002</v>
      </c>
      <c r="P66" s="336">
        <f t="shared" si="6"/>
        <v>217000</v>
      </c>
      <c r="Q66" s="336">
        <f t="shared" si="7"/>
        <v>22526.357499999984</v>
      </c>
      <c r="R66" s="417">
        <f t="shared" si="8"/>
        <v>0.10380809907834093</v>
      </c>
    </row>
    <row r="67" spans="14:18" x14ac:dyDescent="0.25">
      <c r="N67" s="336">
        <v>63</v>
      </c>
      <c r="O67" s="336">
        <f t="shared" si="5"/>
        <v>195499.98250000001</v>
      </c>
      <c r="P67" s="336">
        <f t="shared" si="6"/>
        <v>220500</v>
      </c>
      <c r="Q67" s="336">
        <f t="shared" si="7"/>
        <v>25000.017499999987</v>
      </c>
      <c r="R67" s="417">
        <f t="shared" si="8"/>
        <v>0.11337876417233554</v>
      </c>
    </row>
    <row r="68" spans="14:18" x14ac:dyDescent="0.25">
      <c r="N68" s="336">
        <v>64</v>
      </c>
      <c r="O68" s="336">
        <f t="shared" si="5"/>
        <v>196526.32250000001</v>
      </c>
      <c r="P68" s="336">
        <f t="shared" si="6"/>
        <v>224000</v>
      </c>
      <c r="Q68" s="336">
        <f t="shared" si="7"/>
        <v>27473.677499999991</v>
      </c>
      <c r="R68" s="417">
        <f t="shared" si="8"/>
        <v>0.12265034598214282</v>
      </c>
    </row>
    <row r="69" spans="14:18" x14ac:dyDescent="0.25">
      <c r="N69" s="336">
        <v>65</v>
      </c>
      <c r="O69" s="336">
        <f t="shared" si="5"/>
        <v>197552.66250000001</v>
      </c>
      <c r="P69" s="336">
        <f t="shared" si="6"/>
        <v>227500</v>
      </c>
      <c r="Q69" s="336">
        <f t="shared" si="7"/>
        <v>29947.337499999994</v>
      </c>
      <c r="R69" s="417">
        <f t="shared" si="8"/>
        <v>0.13163664835164832</v>
      </c>
    </row>
    <row r="70" spans="14:18" x14ac:dyDescent="0.25">
      <c r="N70" s="336">
        <v>66</v>
      </c>
      <c r="O70" s="336">
        <f t="shared" ref="O70:O133" si="11">+$E$4+($G$4*N70)</f>
        <v>198579.0025</v>
      </c>
      <c r="P70" s="336">
        <f t="shared" ref="P70:P133" si="12">+$F$4*N70</f>
        <v>231000</v>
      </c>
      <c r="Q70" s="336">
        <f t="shared" ref="Q70:Q133" si="13">+P70-O70</f>
        <v>32420.997499999998</v>
      </c>
      <c r="R70" s="417">
        <f t="shared" ref="R70:R133" si="14">+Q70/P70</f>
        <v>0.1403506385281385</v>
      </c>
    </row>
    <row r="71" spans="14:18" x14ac:dyDescent="0.25">
      <c r="N71" s="336">
        <v>67</v>
      </c>
      <c r="O71" s="336">
        <f t="shared" si="11"/>
        <v>199605.34250000003</v>
      </c>
      <c r="P71" s="336">
        <f t="shared" si="12"/>
        <v>234500</v>
      </c>
      <c r="Q71" s="336">
        <f t="shared" si="13"/>
        <v>34894.657499999972</v>
      </c>
      <c r="R71" s="417">
        <f t="shared" si="14"/>
        <v>0.14880450959488262</v>
      </c>
    </row>
    <row r="72" spans="14:18" x14ac:dyDescent="0.25">
      <c r="N72" s="336">
        <v>68</v>
      </c>
      <c r="O72" s="336">
        <f t="shared" si="11"/>
        <v>200631.6825</v>
      </c>
      <c r="P72" s="336">
        <f t="shared" si="12"/>
        <v>238000</v>
      </c>
      <c r="Q72" s="336">
        <f t="shared" si="13"/>
        <v>37368.317500000005</v>
      </c>
      <c r="R72" s="417">
        <f t="shared" si="14"/>
        <v>0.15700973739495799</v>
      </c>
    </row>
    <row r="73" spans="14:18" x14ac:dyDescent="0.25">
      <c r="N73" s="336">
        <v>69</v>
      </c>
      <c r="O73" s="336">
        <f t="shared" si="11"/>
        <v>201658.02250000002</v>
      </c>
      <c r="P73" s="336">
        <f t="shared" si="12"/>
        <v>241500</v>
      </c>
      <c r="Q73" s="336">
        <f t="shared" si="13"/>
        <v>39841.977499999979</v>
      </c>
      <c r="R73" s="417">
        <f t="shared" si="14"/>
        <v>0.1649771325051759</v>
      </c>
    </row>
    <row r="74" spans="14:18" x14ac:dyDescent="0.25">
      <c r="N74" s="336">
        <v>70</v>
      </c>
      <c r="O74" s="336">
        <f t="shared" si="11"/>
        <v>202684.36250000002</v>
      </c>
      <c r="P74" s="336">
        <f t="shared" si="12"/>
        <v>245000</v>
      </c>
      <c r="Q74" s="336">
        <f t="shared" si="13"/>
        <v>42315.637499999983</v>
      </c>
      <c r="R74" s="417">
        <f t="shared" si="14"/>
        <v>0.17271688775510197</v>
      </c>
    </row>
    <row r="75" spans="14:18" x14ac:dyDescent="0.25">
      <c r="N75" s="336">
        <v>71</v>
      </c>
      <c r="O75" s="336">
        <f t="shared" si="11"/>
        <v>203710.70250000001</v>
      </c>
      <c r="P75" s="336">
        <f t="shared" si="12"/>
        <v>248500</v>
      </c>
      <c r="Q75" s="336">
        <f t="shared" si="13"/>
        <v>44789.297499999986</v>
      </c>
      <c r="R75" s="417">
        <f t="shared" si="14"/>
        <v>0.18023862173038224</v>
      </c>
    </row>
    <row r="76" spans="14:18" x14ac:dyDescent="0.25">
      <c r="N76" s="336">
        <v>72</v>
      </c>
      <c r="O76" s="336">
        <f t="shared" si="11"/>
        <v>204737.04250000001</v>
      </c>
      <c r="P76" s="336">
        <f t="shared" si="12"/>
        <v>252000</v>
      </c>
      <c r="Q76" s="336">
        <f t="shared" si="13"/>
        <v>47262.95749999999</v>
      </c>
      <c r="R76" s="417">
        <f t="shared" si="14"/>
        <v>0.18755141865079361</v>
      </c>
    </row>
    <row r="77" spans="14:18" x14ac:dyDescent="0.25">
      <c r="N77" s="336">
        <v>73</v>
      </c>
      <c r="O77" s="336">
        <f t="shared" si="11"/>
        <v>205763.38250000001</v>
      </c>
      <c r="P77" s="336">
        <f t="shared" si="12"/>
        <v>255500</v>
      </c>
      <c r="Q77" s="336">
        <f t="shared" si="13"/>
        <v>49736.617499999993</v>
      </c>
      <c r="R77" s="417">
        <f t="shared" si="14"/>
        <v>0.19466386497064578</v>
      </c>
    </row>
    <row r="78" spans="14:18" x14ac:dyDescent="0.25">
      <c r="N78" s="336">
        <v>74</v>
      </c>
      <c r="O78" s="336">
        <f t="shared" si="11"/>
        <v>206789.7225</v>
      </c>
      <c r="P78" s="336">
        <f t="shared" si="12"/>
        <v>259000</v>
      </c>
      <c r="Q78" s="336">
        <f t="shared" si="13"/>
        <v>52210.277499999997</v>
      </c>
      <c r="R78" s="417">
        <f t="shared" si="14"/>
        <v>0.20158408301158301</v>
      </c>
    </row>
    <row r="79" spans="14:18" x14ac:dyDescent="0.25">
      <c r="N79" s="336">
        <v>75</v>
      </c>
      <c r="O79" s="336">
        <f t="shared" si="11"/>
        <v>207816.0625</v>
      </c>
      <c r="P79" s="336">
        <f t="shared" si="12"/>
        <v>262500</v>
      </c>
      <c r="Q79" s="336">
        <f t="shared" si="13"/>
        <v>54683.9375</v>
      </c>
      <c r="R79" s="417">
        <f t="shared" si="14"/>
        <v>0.2083197619047619</v>
      </c>
    </row>
    <row r="80" spans="14:18" x14ac:dyDescent="0.25">
      <c r="N80" s="336">
        <v>76</v>
      </c>
      <c r="O80" s="336">
        <f t="shared" si="11"/>
        <v>208842.40250000003</v>
      </c>
      <c r="P80" s="336">
        <f t="shared" si="12"/>
        <v>266000</v>
      </c>
      <c r="Q80" s="336">
        <f t="shared" si="13"/>
        <v>57157.597499999974</v>
      </c>
      <c r="R80" s="417">
        <f t="shared" si="14"/>
        <v>0.21487818609022546</v>
      </c>
    </row>
    <row r="81" spans="14:18" x14ac:dyDescent="0.25">
      <c r="N81" s="336">
        <v>77</v>
      </c>
      <c r="O81" s="336">
        <f t="shared" si="11"/>
        <v>209868.74249999999</v>
      </c>
      <c r="P81" s="336">
        <f t="shared" si="12"/>
        <v>269500</v>
      </c>
      <c r="Q81" s="336">
        <f t="shared" si="13"/>
        <v>59631.257500000007</v>
      </c>
      <c r="R81" s="417">
        <f t="shared" si="14"/>
        <v>0.22126626159554733</v>
      </c>
    </row>
    <row r="82" spans="14:18" x14ac:dyDescent="0.25">
      <c r="N82" s="336">
        <v>78</v>
      </c>
      <c r="O82" s="336">
        <f t="shared" si="11"/>
        <v>210895.08250000002</v>
      </c>
      <c r="P82" s="336">
        <f t="shared" si="12"/>
        <v>273000</v>
      </c>
      <c r="Q82" s="336">
        <f t="shared" si="13"/>
        <v>62104.917499999981</v>
      </c>
      <c r="R82" s="417">
        <f t="shared" si="14"/>
        <v>0.22749054029304022</v>
      </c>
    </row>
    <row r="83" spans="14:18" x14ac:dyDescent="0.25">
      <c r="N83" s="336">
        <v>79</v>
      </c>
      <c r="O83" s="336">
        <f t="shared" si="11"/>
        <v>211921.42250000002</v>
      </c>
      <c r="P83" s="336">
        <f t="shared" si="12"/>
        <v>276500</v>
      </c>
      <c r="Q83" s="336">
        <f t="shared" si="13"/>
        <v>64578.577499999985</v>
      </c>
      <c r="R83" s="417">
        <f t="shared" si="14"/>
        <v>0.23355724231464733</v>
      </c>
    </row>
    <row r="84" spans="14:18" x14ac:dyDescent="0.25">
      <c r="N84" s="336">
        <v>80</v>
      </c>
      <c r="O84" s="336">
        <f t="shared" si="11"/>
        <v>212947.76250000001</v>
      </c>
      <c r="P84" s="336">
        <f t="shared" si="12"/>
        <v>280000</v>
      </c>
      <c r="Q84" s="336">
        <f t="shared" si="13"/>
        <v>67052.237499999988</v>
      </c>
      <c r="R84" s="417">
        <f t="shared" si="14"/>
        <v>0.23947227678571426</v>
      </c>
    </row>
    <row r="85" spans="14:18" x14ac:dyDescent="0.25">
      <c r="N85" s="336">
        <v>81</v>
      </c>
      <c r="O85" s="336">
        <f t="shared" si="11"/>
        <v>213974.10250000001</v>
      </c>
      <c r="P85" s="336">
        <f t="shared" si="12"/>
        <v>283500</v>
      </c>
      <c r="Q85" s="336">
        <f t="shared" si="13"/>
        <v>69525.897499999992</v>
      </c>
      <c r="R85" s="417">
        <f t="shared" si="14"/>
        <v>0.24524126102292765</v>
      </c>
    </row>
    <row r="86" spans="14:18" x14ac:dyDescent="0.25">
      <c r="N86" s="336">
        <v>82</v>
      </c>
      <c r="O86" s="336">
        <f t="shared" si="11"/>
        <v>215000.4425</v>
      </c>
      <c r="P86" s="336">
        <f t="shared" si="12"/>
        <v>287000</v>
      </c>
      <c r="Q86" s="336">
        <f t="shared" si="13"/>
        <v>71999.557499999995</v>
      </c>
      <c r="R86" s="417">
        <f t="shared" si="14"/>
        <v>0.25086953832752612</v>
      </c>
    </row>
    <row r="87" spans="14:18" x14ac:dyDescent="0.25">
      <c r="N87" s="336">
        <v>83</v>
      </c>
      <c r="O87" s="336">
        <f t="shared" si="11"/>
        <v>216026.78250000003</v>
      </c>
      <c r="P87" s="336">
        <f t="shared" si="12"/>
        <v>290500</v>
      </c>
      <c r="Q87" s="336">
        <f t="shared" si="13"/>
        <v>74473.21749999997</v>
      </c>
      <c r="R87" s="417">
        <f t="shared" si="14"/>
        <v>0.25636219449225461</v>
      </c>
    </row>
    <row r="88" spans="14:18" x14ac:dyDescent="0.25">
      <c r="N88" s="336">
        <v>84</v>
      </c>
      <c r="O88" s="336">
        <f t="shared" si="11"/>
        <v>217053.1225</v>
      </c>
      <c r="P88" s="336">
        <f t="shared" si="12"/>
        <v>294000</v>
      </c>
      <c r="Q88" s="336">
        <f t="shared" si="13"/>
        <v>76946.877500000002</v>
      </c>
      <c r="R88" s="417">
        <f t="shared" si="14"/>
        <v>0.26172407312925172</v>
      </c>
    </row>
    <row r="89" spans="14:18" x14ac:dyDescent="0.25">
      <c r="N89" s="336">
        <v>85</v>
      </c>
      <c r="O89" s="336">
        <f t="shared" si="11"/>
        <v>218079.46250000002</v>
      </c>
      <c r="P89" s="336">
        <f t="shared" si="12"/>
        <v>297500</v>
      </c>
      <c r="Q89" s="336">
        <f t="shared" si="13"/>
        <v>79420.537499999977</v>
      </c>
      <c r="R89" s="417">
        <f t="shared" si="14"/>
        <v>0.26695978991596631</v>
      </c>
    </row>
    <row r="90" spans="14:18" x14ac:dyDescent="0.25">
      <c r="N90" s="336">
        <v>86</v>
      </c>
      <c r="O90" s="336">
        <f t="shared" si="11"/>
        <v>219105.80250000002</v>
      </c>
      <c r="P90" s="336">
        <f t="shared" si="12"/>
        <v>301000</v>
      </c>
      <c r="Q90" s="336">
        <f t="shared" si="13"/>
        <v>81894.19749999998</v>
      </c>
      <c r="R90" s="417">
        <f t="shared" si="14"/>
        <v>0.27207374584717603</v>
      </c>
    </row>
    <row r="91" spans="14:18" x14ac:dyDescent="0.25">
      <c r="N91" s="336">
        <v>87</v>
      </c>
      <c r="O91" s="336">
        <f t="shared" si="11"/>
        <v>220132.14250000002</v>
      </c>
      <c r="P91" s="336">
        <f t="shared" si="12"/>
        <v>304500</v>
      </c>
      <c r="Q91" s="336">
        <f t="shared" si="13"/>
        <v>84367.857499999984</v>
      </c>
      <c r="R91" s="417">
        <f t="shared" si="14"/>
        <v>0.27707013957307053</v>
      </c>
    </row>
    <row r="92" spans="14:18" x14ac:dyDescent="0.25">
      <c r="N92" s="336">
        <v>88</v>
      </c>
      <c r="O92" s="336">
        <f t="shared" si="11"/>
        <v>221158.48250000001</v>
      </c>
      <c r="P92" s="336">
        <f t="shared" si="12"/>
        <v>308000</v>
      </c>
      <c r="Q92" s="336">
        <f t="shared" si="13"/>
        <v>86841.517499999987</v>
      </c>
      <c r="R92" s="417">
        <f t="shared" si="14"/>
        <v>0.28195297889610388</v>
      </c>
    </row>
    <row r="93" spans="14:18" x14ac:dyDescent="0.25">
      <c r="N93" s="336">
        <v>89</v>
      </c>
      <c r="O93" s="336">
        <f t="shared" si="11"/>
        <v>222184.82250000001</v>
      </c>
      <c r="P93" s="336">
        <f t="shared" si="12"/>
        <v>311500</v>
      </c>
      <c r="Q93" s="336">
        <f t="shared" si="13"/>
        <v>89315.177499999991</v>
      </c>
      <c r="R93" s="417">
        <f t="shared" si="14"/>
        <v>0.28672609149277684</v>
      </c>
    </row>
    <row r="94" spans="14:18" x14ac:dyDescent="0.25">
      <c r="N94" s="336">
        <v>90</v>
      </c>
      <c r="O94" s="336">
        <f t="shared" si="11"/>
        <v>223211.16250000001</v>
      </c>
      <c r="P94" s="336">
        <f t="shared" si="12"/>
        <v>315000</v>
      </c>
      <c r="Q94" s="336">
        <f t="shared" si="13"/>
        <v>91788.837499999994</v>
      </c>
      <c r="R94" s="417">
        <f t="shared" si="14"/>
        <v>0.2913931349206349</v>
      </c>
    </row>
    <row r="95" spans="14:18" x14ac:dyDescent="0.25">
      <c r="N95" s="336">
        <v>91</v>
      </c>
      <c r="O95" s="336">
        <f t="shared" si="11"/>
        <v>224237.5025</v>
      </c>
      <c r="P95" s="336">
        <f t="shared" si="12"/>
        <v>318500</v>
      </c>
      <c r="Q95" s="336">
        <f t="shared" si="13"/>
        <v>94262.497499999998</v>
      </c>
      <c r="R95" s="417">
        <f t="shared" si="14"/>
        <v>0.29595760596546311</v>
      </c>
    </row>
    <row r="96" spans="14:18" x14ac:dyDescent="0.25">
      <c r="N96" s="336">
        <v>92</v>
      </c>
      <c r="O96" s="336">
        <f t="shared" si="11"/>
        <v>225263.84250000003</v>
      </c>
      <c r="P96" s="336">
        <f t="shared" si="12"/>
        <v>322000</v>
      </c>
      <c r="Q96" s="336">
        <f t="shared" si="13"/>
        <v>96736.157499999972</v>
      </c>
      <c r="R96" s="417">
        <f t="shared" si="14"/>
        <v>0.30042284937888192</v>
      </c>
    </row>
    <row r="97" spans="14:18" x14ac:dyDescent="0.25">
      <c r="N97" s="336">
        <v>93</v>
      </c>
      <c r="O97" s="336">
        <f t="shared" si="11"/>
        <v>226290.1825</v>
      </c>
      <c r="P97" s="336">
        <f t="shared" si="12"/>
        <v>325500</v>
      </c>
      <c r="Q97" s="336">
        <f t="shared" si="13"/>
        <v>99209.817500000005</v>
      </c>
      <c r="R97" s="417">
        <f t="shared" si="14"/>
        <v>0.30479206605222736</v>
      </c>
    </row>
    <row r="98" spans="14:18" x14ac:dyDescent="0.25">
      <c r="N98" s="336">
        <v>94</v>
      </c>
      <c r="O98" s="336">
        <f t="shared" si="11"/>
        <v>227316.52250000002</v>
      </c>
      <c r="P98" s="336">
        <f t="shared" si="12"/>
        <v>329000</v>
      </c>
      <c r="Q98" s="336">
        <f t="shared" si="13"/>
        <v>101683.47749999998</v>
      </c>
      <c r="R98" s="417">
        <f t="shared" si="14"/>
        <v>0.30906832066869294</v>
      </c>
    </row>
    <row r="99" spans="14:18" x14ac:dyDescent="0.25">
      <c r="N99" s="336">
        <v>95</v>
      </c>
      <c r="O99" s="336">
        <f t="shared" si="11"/>
        <v>228342.86250000002</v>
      </c>
      <c r="P99" s="336">
        <f t="shared" si="12"/>
        <v>332500</v>
      </c>
      <c r="Q99" s="336">
        <f t="shared" si="13"/>
        <v>104157.13749999998</v>
      </c>
      <c r="R99" s="417">
        <f t="shared" si="14"/>
        <v>0.31325454887218041</v>
      </c>
    </row>
    <row r="100" spans="14:18" x14ac:dyDescent="0.25">
      <c r="N100" s="336">
        <v>96</v>
      </c>
      <c r="O100" s="336">
        <f t="shared" si="11"/>
        <v>229369.20250000001</v>
      </c>
      <c r="P100" s="336">
        <f t="shared" si="12"/>
        <v>336000</v>
      </c>
      <c r="Q100" s="336">
        <f t="shared" si="13"/>
        <v>106630.79749999999</v>
      </c>
      <c r="R100" s="417">
        <f t="shared" si="14"/>
        <v>0.31735356398809522</v>
      </c>
    </row>
    <row r="101" spans="14:18" x14ac:dyDescent="0.25">
      <c r="N101" s="336">
        <v>97</v>
      </c>
      <c r="O101" s="336">
        <f t="shared" si="11"/>
        <v>230395.54250000001</v>
      </c>
      <c r="P101" s="336">
        <f t="shared" si="12"/>
        <v>339500</v>
      </c>
      <c r="Q101" s="336">
        <f t="shared" si="13"/>
        <v>109104.45749999999</v>
      </c>
      <c r="R101" s="417">
        <f t="shared" si="14"/>
        <v>0.3213680633284241</v>
      </c>
    </row>
    <row r="102" spans="14:18" x14ac:dyDescent="0.25">
      <c r="N102" s="336">
        <v>98</v>
      </c>
      <c r="O102" s="336">
        <f t="shared" si="11"/>
        <v>231421.88250000001</v>
      </c>
      <c r="P102" s="336">
        <f t="shared" si="12"/>
        <v>343000</v>
      </c>
      <c r="Q102" s="336">
        <f t="shared" si="13"/>
        <v>111578.11749999999</v>
      </c>
      <c r="R102" s="417">
        <f t="shared" si="14"/>
        <v>0.32530063411078713</v>
      </c>
    </row>
    <row r="103" spans="14:18" x14ac:dyDescent="0.25">
      <c r="N103" s="336">
        <v>99</v>
      </c>
      <c r="O103" s="336">
        <f t="shared" si="11"/>
        <v>232448.22250000003</v>
      </c>
      <c r="P103" s="336">
        <f t="shared" si="12"/>
        <v>346500</v>
      </c>
      <c r="Q103" s="336">
        <f t="shared" si="13"/>
        <v>114051.77749999997</v>
      </c>
      <c r="R103" s="417">
        <f t="shared" si="14"/>
        <v>0.32915375901875893</v>
      </c>
    </row>
    <row r="104" spans="14:18" x14ac:dyDescent="0.25">
      <c r="N104" s="336">
        <v>100</v>
      </c>
      <c r="O104" s="336">
        <f t="shared" si="11"/>
        <v>233474.5625</v>
      </c>
      <c r="P104" s="336">
        <f t="shared" si="12"/>
        <v>350000</v>
      </c>
      <c r="Q104" s="336">
        <f t="shared" si="13"/>
        <v>116525.4375</v>
      </c>
      <c r="R104" s="417">
        <f t="shared" si="14"/>
        <v>0.33292982142857142</v>
      </c>
    </row>
    <row r="105" spans="14:18" x14ac:dyDescent="0.25">
      <c r="N105" s="336">
        <v>101</v>
      </c>
      <c r="O105" s="336">
        <f t="shared" si="11"/>
        <v>234500.90250000003</v>
      </c>
      <c r="P105" s="336">
        <f t="shared" si="12"/>
        <v>353500</v>
      </c>
      <c r="Q105" s="336">
        <f t="shared" si="13"/>
        <v>118999.09749999997</v>
      </c>
      <c r="R105" s="417">
        <f t="shared" si="14"/>
        <v>0.33663111032531817</v>
      </c>
    </row>
    <row r="106" spans="14:18" x14ac:dyDescent="0.25">
      <c r="N106" s="336">
        <v>102</v>
      </c>
      <c r="O106" s="336">
        <f t="shared" si="11"/>
        <v>235527.24250000002</v>
      </c>
      <c r="P106" s="336">
        <f t="shared" si="12"/>
        <v>357000</v>
      </c>
      <c r="Q106" s="336">
        <f t="shared" si="13"/>
        <v>121472.75749999998</v>
      </c>
      <c r="R106" s="417">
        <f t="shared" si="14"/>
        <v>0.34025982492997192</v>
      </c>
    </row>
    <row r="107" spans="14:18" x14ac:dyDescent="0.25">
      <c r="N107" s="336">
        <v>103</v>
      </c>
      <c r="O107" s="336">
        <f t="shared" si="11"/>
        <v>236553.58250000002</v>
      </c>
      <c r="P107" s="336">
        <f t="shared" si="12"/>
        <v>360500</v>
      </c>
      <c r="Q107" s="336">
        <f t="shared" si="13"/>
        <v>123946.41749999998</v>
      </c>
      <c r="R107" s="417">
        <f t="shared" si="14"/>
        <v>0.3438180790568654</v>
      </c>
    </row>
    <row r="108" spans="14:18" x14ac:dyDescent="0.25">
      <c r="N108" s="336">
        <v>104</v>
      </c>
      <c r="O108" s="336">
        <f t="shared" si="11"/>
        <v>237579.92250000002</v>
      </c>
      <c r="P108" s="336">
        <f t="shared" si="12"/>
        <v>364000</v>
      </c>
      <c r="Q108" s="336">
        <f t="shared" si="13"/>
        <v>126420.07749999998</v>
      </c>
      <c r="R108" s="417">
        <f t="shared" si="14"/>
        <v>0.34730790521978017</v>
      </c>
    </row>
    <row r="109" spans="14:18" x14ac:dyDescent="0.25">
      <c r="N109" s="336">
        <v>105</v>
      </c>
      <c r="O109" s="336">
        <f t="shared" si="11"/>
        <v>238606.26250000001</v>
      </c>
      <c r="P109" s="336">
        <f t="shared" si="12"/>
        <v>367500</v>
      </c>
      <c r="Q109" s="336">
        <f t="shared" si="13"/>
        <v>128893.73749999999</v>
      </c>
      <c r="R109" s="417">
        <f t="shared" si="14"/>
        <v>0.35073125850340131</v>
      </c>
    </row>
    <row r="110" spans="14:18" x14ac:dyDescent="0.25">
      <c r="N110" s="336">
        <v>106</v>
      </c>
      <c r="O110" s="336">
        <f t="shared" si="11"/>
        <v>239632.60250000001</v>
      </c>
      <c r="P110" s="336">
        <f t="shared" si="12"/>
        <v>371000</v>
      </c>
      <c r="Q110" s="336">
        <f t="shared" si="13"/>
        <v>131367.39749999999</v>
      </c>
      <c r="R110" s="417">
        <f t="shared" si="14"/>
        <v>0.35409002021563341</v>
      </c>
    </row>
    <row r="111" spans="14:18" x14ac:dyDescent="0.25">
      <c r="N111" s="336">
        <v>107</v>
      </c>
      <c r="O111" s="336">
        <f t="shared" si="11"/>
        <v>240658.9425</v>
      </c>
      <c r="P111" s="336">
        <f t="shared" si="12"/>
        <v>374500</v>
      </c>
      <c r="Q111" s="336">
        <f t="shared" si="13"/>
        <v>133841.0575</v>
      </c>
      <c r="R111" s="417">
        <f t="shared" si="14"/>
        <v>0.35738600133511345</v>
      </c>
    </row>
    <row r="112" spans="14:18" x14ac:dyDescent="0.25">
      <c r="N112" s="336">
        <v>108</v>
      </c>
      <c r="O112" s="336">
        <f t="shared" si="11"/>
        <v>241685.28250000003</v>
      </c>
      <c r="P112" s="336">
        <f t="shared" si="12"/>
        <v>378000</v>
      </c>
      <c r="Q112" s="336">
        <f t="shared" si="13"/>
        <v>136314.71749999997</v>
      </c>
      <c r="R112" s="417">
        <f t="shared" si="14"/>
        <v>0.36062094576719567</v>
      </c>
    </row>
    <row r="113" spans="14:18" x14ac:dyDescent="0.25">
      <c r="N113" s="336">
        <v>109</v>
      </c>
      <c r="O113" s="336">
        <f t="shared" si="11"/>
        <v>242711.6225</v>
      </c>
      <c r="P113" s="336">
        <f t="shared" si="12"/>
        <v>381500</v>
      </c>
      <c r="Q113" s="336">
        <f t="shared" si="13"/>
        <v>138788.3775</v>
      </c>
      <c r="R113" s="417">
        <f t="shared" si="14"/>
        <v>0.36379653342070772</v>
      </c>
    </row>
    <row r="114" spans="14:18" x14ac:dyDescent="0.25">
      <c r="N114" s="336">
        <v>110</v>
      </c>
      <c r="O114" s="336">
        <f t="shared" si="11"/>
        <v>243737.96250000002</v>
      </c>
      <c r="P114" s="336">
        <f t="shared" si="12"/>
        <v>385000</v>
      </c>
      <c r="Q114" s="336">
        <f t="shared" si="13"/>
        <v>141262.03749999998</v>
      </c>
      <c r="R114" s="417">
        <f t="shared" si="14"/>
        <v>0.36691438311688307</v>
      </c>
    </row>
    <row r="115" spans="14:18" x14ac:dyDescent="0.25">
      <c r="N115" s="336">
        <v>111</v>
      </c>
      <c r="O115" s="336">
        <f t="shared" si="11"/>
        <v>244764.30250000002</v>
      </c>
      <c r="P115" s="336">
        <f t="shared" si="12"/>
        <v>388500</v>
      </c>
      <c r="Q115" s="336">
        <f t="shared" si="13"/>
        <v>143735.69749999998</v>
      </c>
      <c r="R115" s="417">
        <f t="shared" si="14"/>
        <v>0.36997605534105527</v>
      </c>
    </row>
    <row r="116" spans="14:18" x14ac:dyDescent="0.25">
      <c r="N116" s="336">
        <v>112</v>
      </c>
      <c r="O116" s="336">
        <f t="shared" si="11"/>
        <v>245790.64250000002</v>
      </c>
      <c r="P116" s="336">
        <f t="shared" si="12"/>
        <v>392000</v>
      </c>
      <c r="Q116" s="336">
        <f t="shared" si="13"/>
        <v>146209.35749999998</v>
      </c>
      <c r="R116" s="417">
        <f t="shared" si="14"/>
        <v>0.37298305484693872</v>
      </c>
    </row>
    <row r="117" spans="14:18" x14ac:dyDescent="0.25">
      <c r="N117" s="336">
        <v>113</v>
      </c>
      <c r="O117" s="336">
        <f t="shared" si="11"/>
        <v>246816.98250000001</v>
      </c>
      <c r="P117" s="336">
        <f t="shared" si="12"/>
        <v>395500</v>
      </c>
      <c r="Q117" s="336">
        <f t="shared" si="13"/>
        <v>148683.01749999999</v>
      </c>
      <c r="R117" s="417">
        <f t="shared" si="14"/>
        <v>0.37593683312262954</v>
      </c>
    </row>
    <row r="118" spans="14:18" x14ac:dyDescent="0.25">
      <c r="N118" s="336">
        <v>114</v>
      </c>
      <c r="O118" s="336">
        <f t="shared" si="11"/>
        <v>247843.32250000001</v>
      </c>
      <c r="P118" s="336">
        <f t="shared" si="12"/>
        <v>399000</v>
      </c>
      <c r="Q118" s="336">
        <f t="shared" si="13"/>
        <v>151156.67749999999</v>
      </c>
      <c r="R118" s="417">
        <f t="shared" si="14"/>
        <v>0.37883879072681703</v>
      </c>
    </row>
    <row r="119" spans="14:18" x14ac:dyDescent="0.25">
      <c r="N119" s="336">
        <v>115</v>
      </c>
      <c r="O119" s="336">
        <f t="shared" si="11"/>
        <v>248869.66250000003</v>
      </c>
      <c r="P119" s="336">
        <f t="shared" si="12"/>
        <v>402500</v>
      </c>
      <c r="Q119" s="336">
        <f t="shared" si="13"/>
        <v>153630.33749999997</v>
      </c>
      <c r="R119" s="417">
        <f t="shared" si="14"/>
        <v>0.38169027950310552</v>
      </c>
    </row>
    <row r="120" spans="14:18" x14ac:dyDescent="0.25">
      <c r="N120" s="336">
        <v>116</v>
      </c>
      <c r="O120" s="336">
        <f t="shared" si="11"/>
        <v>249896.0025</v>
      </c>
      <c r="P120" s="336">
        <f t="shared" si="12"/>
        <v>406000</v>
      </c>
      <c r="Q120" s="336">
        <f t="shared" si="13"/>
        <v>156103.9975</v>
      </c>
      <c r="R120" s="417">
        <f t="shared" si="14"/>
        <v>0.38449260467980295</v>
      </c>
    </row>
    <row r="121" spans="14:18" x14ac:dyDescent="0.25">
      <c r="N121" s="336">
        <v>117</v>
      </c>
      <c r="O121" s="336">
        <f t="shared" si="11"/>
        <v>250922.34250000003</v>
      </c>
      <c r="P121" s="336">
        <f t="shared" si="12"/>
        <v>409500</v>
      </c>
      <c r="Q121" s="336">
        <f t="shared" si="13"/>
        <v>158577.65749999997</v>
      </c>
      <c r="R121" s="417">
        <f t="shared" si="14"/>
        <v>0.38724702686202678</v>
      </c>
    </row>
    <row r="122" spans="14:18" x14ac:dyDescent="0.25">
      <c r="N122" s="336">
        <v>118</v>
      </c>
      <c r="O122" s="336">
        <f t="shared" si="11"/>
        <v>251948.68250000002</v>
      </c>
      <c r="P122" s="336">
        <f t="shared" si="12"/>
        <v>413000</v>
      </c>
      <c r="Q122" s="336">
        <f t="shared" si="13"/>
        <v>161051.31749999998</v>
      </c>
      <c r="R122" s="417">
        <f t="shared" si="14"/>
        <v>0.3899547639225181</v>
      </c>
    </row>
    <row r="123" spans="14:18" x14ac:dyDescent="0.25">
      <c r="N123" s="336">
        <v>119</v>
      </c>
      <c r="O123" s="336">
        <f t="shared" si="11"/>
        <v>252975.02250000002</v>
      </c>
      <c r="P123" s="336">
        <f t="shared" si="12"/>
        <v>416500</v>
      </c>
      <c r="Q123" s="336">
        <f t="shared" si="13"/>
        <v>163524.97749999998</v>
      </c>
      <c r="R123" s="417">
        <f t="shared" si="14"/>
        <v>0.39261699279711881</v>
      </c>
    </row>
    <row r="124" spans="14:18" x14ac:dyDescent="0.25">
      <c r="N124" s="336">
        <v>120</v>
      </c>
      <c r="O124" s="336">
        <f t="shared" si="11"/>
        <v>254001.36250000002</v>
      </c>
      <c r="P124" s="336">
        <f t="shared" si="12"/>
        <v>420000</v>
      </c>
      <c r="Q124" s="336">
        <f t="shared" si="13"/>
        <v>165998.63749999998</v>
      </c>
      <c r="R124" s="417">
        <f t="shared" si="14"/>
        <v>0.39523485119047613</v>
      </c>
    </row>
    <row r="125" spans="14:18" x14ac:dyDescent="0.25">
      <c r="N125" s="336">
        <v>121</v>
      </c>
      <c r="O125" s="336">
        <f t="shared" si="11"/>
        <v>255027.70250000001</v>
      </c>
      <c r="P125" s="336">
        <f t="shared" si="12"/>
        <v>423500</v>
      </c>
      <c r="Q125" s="336">
        <f t="shared" si="13"/>
        <v>168472.29749999999</v>
      </c>
      <c r="R125" s="417">
        <f t="shared" si="14"/>
        <v>0.39780943919716644</v>
      </c>
    </row>
    <row r="126" spans="14:18" x14ac:dyDescent="0.25">
      <c r="N126" s="336">
        <v>122</v>
      </c>
      <c r="O126" s="336">
        <f t="shared" si="11"/>
        <v>256054.04250000001</v>
      </c>
      <c r="P126" s="336">
        <f t="shared" si="12"/>
        <v>427000</v>
      </c>
      <c r="Q126" s="336">
        <f t="shared" si="13"/>
        <v>170945.95749999999</v>
      </c>
      <c r="R126" s="417">
        <f t="shared" si="14"/>
        <v>0.40034182084309133</v>
      </c>
    </row>
    <row r="127" spans="14:18" x14ac:dyDescent="0.25">
      <c r="N127" s="336">
        <v>123</v>
      </c>
      <c r="O127" s="336">
        <f t="shared" si="11"/>
        <v>257080.38250000001</v>
      </c>
      <c r="P127" s="336">
        <f t="shared" si="12"/>
        <v>430500</v>
      </c>
      <c r="Q127" s="336">
        <f t="shared" si="13"/>
        <v>173419.61749999999</v>
      </c>
      <c r="R127" s="417">
        <f t="shared" si="14"/>
        <v>0.4028330255516841</v>
      </c>
    </row>
    <row r="128" spans="14:18" x14ac:dyDescent="0.25">
      <c r="N128" s="336">
        <v>124</v>
      </c>
      <c r="O128" s="336">
        <f t="shared" si="11"/>
        <v>258106.72250000003</v>
      </c>
      <c r="P128" s="336">
        <f t="shared" si="12"/>
        <v>434000</v>
      </c>
      <c r="Q128" s="336">
        <f t="shared" si="13"/>
        <v>175893.27749999997</v>
      </c>
      <c r="R128" s="417">
        <f t="shared" si="14"/>
        <v>0.40528404953917041</v>
      </c>
    </row>
    <row r="129" spans="14:18" x14ac:dyDescent="0.25">
      <c r="N129" s="336">
        <v>125</v>
      </c>
      <c r="O129" s="336">
        <f t="shared" si="11"/>
        <v>259133.0625</v>
      </c>
      <c r="P129" s="336">
        <f t="shared" si="12"/>
        <v>437500</v>
      </c>
      <c r="Q129" s="336">
        <f t="shared" si="13"/>
        <v>178366.9375</v>
      </c>
      <c r="R129" s="417">
        <f t="shared" si="14"/>
        <v>0.40769585714285717</v>
      </c>
    </row>
    <row r="130" spans="14:18" x14ac:dyDescent="0.25">
      <c r="N130" s="336">
        <v>126</v>
      </c>
      <c r="O130" s="336">
        <f t="shared" si="11"/>
        <v>260159.40250000003</v>
      </c>
      <c r="P130" s="336">
        <f t="shared" si="12"/>
        <v>441000</v>
      </c>
      <c r="Q130" s="336">
        <f t="shared" si="13"/>
        <v>180840.59749999997</v>
      </c>
      <c r="R130" s="417">
        <f t="shared" si="14"/>
        <v>0.41006938208616772</v>
      </c>
    </row>
    <row r="131" spans="14:18" x14ac:dyDescent="0.25">
      <c r="N131" s="336">
        <v>127</v>
      </c>
      <c r="O131" s="336">
        <f t="shared" si="11"/>
        <v>261185.74250000002</v>
      </c>
      <c r="P131" s="336">
        <f t="shared" si="12"/>
        <v>444500</v>
      </c>
      <c r="Q131" s="336">
        <f t="shared" si="13"/>
        <v>183314.25749999998</v>
      </c>
      <c r="R131" s="417">
        <f t="shared" si="14"/>
        <v>0.41240552868391445</v>
      </c>
    </row>
    <row r="132" spans="14:18" x14ac:dyDescent="0.25">
      <c r="N132" s="336">
        <v>128</v>
      </c>
      <c r="O132" s="336">
        <f t="shared" si="11"/>
        <v>262212.08250000002</v>
      </c>
      <c r="P132" s="336">
        <f t="shared" si="12"/>
        <v>448000</v>
      </c>
      <c r="Q132" s="336">
        <f t="shared" si="13"/>
        <v>185787.91749999998</v>
      </c>
      <c r="R132" s="417">
        <f t="shared" si="14"/>
        <v>0.4147051729910714</v>
      </c>
    </row>
    <row r="133" spans="14:18" x14ac:dyDescent="0.25">
      <c r="N133" s="336">
        <v>129</v>
      </c>
      <c r="O133" s="336">
        <f t="shared" si="11"/>
        <v>263238.42249999999</v>
      </c>
      <c r="P133" s="336">
        <f t="shared" si="12"/>
        <v>451500</v>
      </c>
      <c r="Q133" s="336">
        <f t="shared" si="13"/>
        <v>188261.57750000001</v>
      </c>
      <c r="R133" s="417">
        <f t="shared" si="14"/>
        <v>0.41696916389811739</v>
      </c>
    </row>
    <row r="134" spans="14:18" x14ac:dyDescent="0.25">
      <c r="N134" s="336">
        <v>130</v>
      </c>
      <c r="O134" s="336">
        <f t="shared" ref="O134:O197" si="15">+$E$4+($G$4*N134)</f>
        <v>264264.76250000001</v>
      </c>
      <c r="P134" s="336">
        <f t="shared" ref="P134:P197" si="16">+$F$4*N134</f>
        <v>455000</v>
      </c>
      <c r="Q134" s="336">
        <f t="shared" ref="Q134:Q197" si="17">+P134-O134</f>
        <v>190735.23749999999</v>
      </c>
      <c r="R134" s="417">
        <f t="shared" ref="R134:R197" si="18">+Q134/P134</f>
        <v>0.41919832417582414</v>
      </c>
    </row>
    <row r="135" spans="14:18" x14ac:dyDescent="0.25">
      <c r="N135" s="336">
        <v>131</v>
      </c>
      <c r="O135" s="336">
        <f t="shared" si="15"/>
        <v>265291.10250000004</v>
      </c>
      <c r="P135" s="336">
        <f t="shared" si="16"/>
        <v>458500</v>
      </c>
      <c r="Q135" s="336">
        <f t="shared" si="17"/>
        <v>193208.89749999996</v>
      </c>
      <c r="R135" s="417">
        <f t="shared" si="18"/>
        <v>0.42139345147219187</v>
      </c>
    </row>
    <row r="136" spans="14:18" x14ac:dyDescent="0.25">
      <c r="N136" s="336">
        <v>132</v>
      </c>
      <c r="O136" s="336">
        <f t="shared" si="15"/>
        <v>266317.4425</v>
      </c>
      <c r="P136" s="336">
        <f t="shared" si="16"/>
        <v>462000</v>
      </c>
      <c r="Q136" s="336">
        <f t="shared" si="17"/>
        <v>195682.5575</v>
      </c>
      <c r="R136" s="417">
        <f t="shared" si="18"/>
        <v>0.42355531926406925</v>
      </c>
    </row>
    <row r="137" spans="14:18" x14ac:dyDescent="0.25">
      <c r="N137" s="336">
        <v>133</v>
      </c>
      <c r="O137" s="336">
        <f t="shared" si="15"/>
        <v>267343.78250000003</v>
      </c>
      <c r="P137" s="336">
        <f t="shared" si="16"/>
        <v>465500</v>
      </c>
      <c r="Q137" s="336">
        <f t="shared" si="17"/>
        <v>198156.21749999997</v>
      </c>
      <c r="R137" s="417">
        <f t="shared" si="18"/>
        <v>0.42568467776584312</v>
      </c>
    </row>
    <row r="138" spans="14:18" x14ac:dyDescent="0.25">
      <c r="N138" s="336">
        <v>134</v>
      </c>
      <c r="O138" s="336">
        <f t="shared" si="15"/>
        <v>268370.12250000006</v>
      </c>
      <c r="P138" s="336">
        <f t="shared" si="16"/>
        <v>469000</v>
      </c>
      <c r="Q138" s="336">
        <f t="shared" si="17"/>
        <v>200629.87749999994</v>
      </c>
      <c r="R138" s="417">
        <f t="shared" si="18"/>
        <v>0.42778225479744125</v>
      </c>
    </row>
    <row r="139" spans="14:18" x14ac:dyDescent="0.25">
      <c r="N139" s="336">
        <v>135</v>
      </c>
      <c r="O139" s="336">
        <f t="shared" si="15"/>
        <v>269396.46250000002</v>
      </c>
      <c r="P139" s="336">
        <f t="shared" si="16"/>
        <v>472500</v>
      </c>
      <c r="Q139" s="336">
        <f t="shared" si="17"/>
        <v>203103.53749999998</v>
      </c>
      <c r="R139" s="417">
        <f t="shared" si="18"/>
        <v>0.42984875661375654</v>
      </c>
    </row>
    <row r="140" spans="14:18" x14ac:dyDescent="0.25">
      <c r="N140" s="336">
        <v>136</v>
      </c>
      <c r="O140" s="336">
        <f t="shared" si="15"/>
        <v>270422.80249999999</v>
      </c>
      <c r="P140" s="336">
        <f t="shared" si="16"/>
        <v>476000</v>
      </c>
      <c r="Q140" s="336">
        <f t="shared" si="17"/>
        <v>205577.19750000001</v>
      </c>
      <c r="R140" s="417">
        <f t="shared" si="18"/>
        <v>0.431884868697479</v>
      </c>
    </row>
    <row r="141" spans="14:18" x14ac:dyDescent="0.25">
      <c r="N141" s="336">
        <v>137</v>
      </c>
      <c r="O141" s="336">
        <f t="shared" si="15"/>
        <v>271449.14250000002</v>
      </c>
      <c r="P141" s="336">
        <f t="shared" si="16"/>
        <v>479500</v>
      </c>
      <c r="Q141" s="336">
        <f t="shared" si="17"/>
        <v>208050.85749999998</v>
      </c>
      <c r="R141" s="417">
        <f t="shared" si="18"/>
        <v>0.43389125651720539</v>
      </c>
    </row>
    <row r="142" spans="14:18" x14ac:dyDescent="0.25">
      <c r="N142" s="336">
        <v>138</v>
      </c>
      <c r="O142" s="336">
        <f t="shared" si="15"/>
        <v>272475.48250000004</v>
      </c>
      <c r="P142" s="336">
        <f t="shared" si="16"/>
        <v>483000</v>
      </c>
      <c r="Q142" s="336">
        <f t="shared" si="17"/>
        <v>210524.51749999996</v>
      </c>
      <c r="R142" s="417">
        <f t="shared" si="18"/>
        <v>0.43586856625258791</v>
      </c>
    </row>
    <row r="143" spans="14:18" x14ac:dyDescent="0.25">
      <c r="N143" s="336">
        <v>139</v>
      </c>
      <c r="O143" s="336">
        <f t="shared" si="15"/>
        <v>273501.82250000001</v>
      </c>
      <c r="P143" s="336">
        <f t="shared" si="16"/>
        <v>486500</v>
      </c>
      <c r="Q143" s="336">
        <f t="shared" si="17"/>
        <v>212998.17749999999</v>
      </c>
      <c r="R143" s="417">
        <f t="shared" si="18"/>
        <v>0.43781742548818087</v>
      </c>
    </row>
    <row r="144" spans="14:18" x14ac:dyDescent="0.25">
      <c r="N144" s="336">
        <v>140</v>
      </c>
      <c r="O144" s="336">
        <f t="shared" si="15"/>
        <v>274528.16250000003</v>
      </c>
      <c r="P144" s="336">
        <f t="shared" si="16"/>
        <v>490000</v>
      </c>
      <c r="Q144" s="336">
        <f t="shared" si="17"/>
        <v>215471.83749999997</v>
      </c>
      <c r="R144" s="417">
        <f t="shared" si="18"/>
        <v>0.43973844387755096</v>
      </c>
    </row>
    <row r="145" spans="14:18" x14ac:dyDescent="0.25">
      <c r="N145" s="336">
        <v>141</v>
      </c>
      <c r="O145" s="336">
        <f t="shared" si="15"/>
        <v>275554.50250000006</v>
      </c>
      <c r="P145" s="336">
        <f t="shared" si="16"/>
        <v>493500</v>
      </c>
      <c r="Q145" s="336">
        <f t="shared" si="17"/>
        <v>217945.49749999994</v>
      </c>
      <c r="R145" s="417">
        <f t="shared" si="18"/>
        <v>0.44163221377912854</v>
      </c>
    </row>
    <row r="146" spans="14:18" x14ac:dyDescent="0.25">
      <c r="N146" s="336">
        <v>142</v>
      </c>
      <c r="O146" s="336">
        <f t="shared" si="15"/>
        <v>276580.84250000003</v>
      </c>
      <c r="P146" s="336">
        <f t="shared" si="16"/>
        <v>497000</v>
      </c>
      <c r="Q146" s="336">
        <f t="shared" si="17"/>
        <v>220419.15749999997</v>
      </c>
      <c r="R146" s="417">
        <f t="shared" si="18"/>
        <v>0.44349931086519107</v>
      </c>
    </row>
    <row r="147" spans="14:18" x14ac:dyDescent="0.25">
      <c r="N147" s="336">
        <v>143</v>
      </c>
      <c r="O147" s="336">
        <f t="shared" si="15"/>
        <v>277607.1825</v>
      </c>
      <c r="P147" s="336">
        <f t="shared" si="16"/>
        <v>500500</v>
      </c>
      <c r="Q147" s="336">
        <f t="shared" si="17"/>
        <v>222892.8175</v>
      </c>
      <c r="R147" s="417">
        <f t="shared" si="18"/>
        <v>0.44534029470529474</v>
      </c>
    </row>
    <row r="148" spans="14:18" x14ac:dyDescent="0.25">
      <c r="N148" s="336">
        <v>144</v>
      </c>
      <c r="O148" s="336">
        <f t="shared" si="15"/>
        <v>278633.52250000002</v>
      </c>
      <c r="P148" s="336">
        <f t="shared" si="16"/>
        <v>504000</v>
      </c>
      <c r="Q148" s="336">
        <f t="shared" si="17"/>
        <v>225366.47749999998</v>
      </c>
      <c r="R148" s="417">
        <f t="shared" si="18"/>
        <v>0.44715570932539678</v>
      </c>
    </row>
    <row r="149" spans="14:18" x14ac:dyDescent="0.25">
      <c r="N149" s="336">
        <v>145</v>
      </c>
      <c r="O149" s="336">
        <f t="shared" si="15"/>
        <v>279659.86250000005</v>
      </c>
      <c r="P149" s="336">
        <f t="shared" si="16"/>
        <v>507500</v>
      </c>
      <c r="Q149" s="336">
        <f t="shared" si="17"/>
        <v>227840.13749999995</v>
      </c>
      <c r="R149" s="417">
        <f t="shared" si="18"/>
        <v>0.44894608374384226</v>
      </c>
    </row>
    <row r="150" spans="14:18" x14ac:dyDescent="0.25">
      <c r="N150" s="336">
        <v>146</v>
      </c>
      <c r="O150" s="336">
        <f t="shared" si="15"/>
        <v>280686.20250000001</v>
      </c>
      <c r="P150" s="336">
        <f t="shared" si="16"/>
        <v>511000</v>
      </c>
      <c r="Q150" s="336">
        <f t="shared" si="17"/>
        <v>230313.79749999999</v>
      </c>
      <c r="R150" s="417">
        <f t="shared" si="18"/>
        <v>0.45071193248532287</v>
      </c>
    </row>
    <row r="151" spans="14:18" x14ac:dyDescent="0.25">
      <c r="N151" s="336">
        <v>147</v>
      </c>
      <c r="O151" s="336">
        <f t="shared" si="15"/>
        <v>281712.54249999998</v>
      </c>
      <c r="P151" s="336">
        <f t="shared" si="16"/>
        <v>514500</v>
      </c>
      <c r="Q151" s="336">
        <f t="shared" si="17"/>
        <v>232787.45750000002</v>
      </c>
      <c r="R151" s="417">
        <f t="shared" si="18"/>
        <v>0.45245375607385813</v>
      </c>
    </row>
    <row r="152" spans="14:18" x14ac:dyDescent="0.25">
      <c r="N152" s="336">
        <v>148</v>
      </c>
      <c r="O152" s="336">
        <f t="shared" si="15"/>
        <v>282738.88250000001</v>
      </c>
      <c r="P152" s="336">
        <f t="shared" si="16"/>
        <v>518000</v>
      </c>
      <c r="Q152" s="336">
        <f t="shared" si="17"/>
        <v>235261.11749999999</v>
      </c>
      <c r="R152" s="417">
        <f t="shared" si="18"/>
        <v>0.45417204150579149</v>
      </c>
    </row>
    <row r="153" spans="14:18" x14ac:dyDescent="0.25">
      <c r="N153" s="336">
        <v>149</v>
      </c>
      <c r="O153" s="336">
        <f t="shared" si="15"/>
        <v>283765.22250000003</v>
      </c>
      <c r="P153" s="336">
        <f t="shared" si="16"/>
        <v>521500</v>
      </c>
      <c r="Q153" s="336">
        <f t="shared" si="17"/>
        <v>237734.77749999997</v>
      </c>
      <c r="R153" s="417">
        <f t="shared" si="18"/>
        <v>0.45586726270373917</v>
      </c>
    </row>
    <row r="154" spans="14:18" x14ac:dyDescent="0.25">
      <c r="N154" s="336">
        <v>150</v>
      </c>
      <c r="O154" s="336">
        <f t="shared" si="15"/>
        <v>284791.5625</v>
      </c>
      <c r="P154" s="336">
        <f t="shared" si="16"/>
        <v>525000</v>
      </c>
      <c r="Q154" s="336">
        <f t="shared" si="17"/>
        <v>240208.4375</v>
      </c>
      <c r="R154" s="417">
        <f t="shared" si="18"/>
        <v>0.45753988095238096</v>
      </c>
    </row>
    <row r="155" spans="14:18" x14ac:dyDescent="0.25">
      <c r="N155" s="336">
        <v>151</v>
      </c>
      <c r="O155" s="336">
        <f t="shared" si="15"/>
        <v>285817.90250000003</v>
      </c>
      <c r="P155" s="336">
        <f t="shared" si="16"/>
        <v>528500</v>
      </c>
      <c r="Q155" s="336">
        <f t="shared" si="17"/>
        <v>242682.09749999997</v>
      </c>
      <c r="R155" s="417">
        <f t="shared" si="18"/>
        <v>0.45919034531693464</v>
      </c>
    </row>
    <row r="156" spans="14:18" x14ac:dyDescent="0.25">
      <c r="N156" s="336">
        <v>152</v>
      </c>
      <c r="O156" s="336">
        <f t="shared" si="15"/>
        <v>286844.24250000005</v>
      </c>
      <c r="P156" s="336">
        <f t="shared" si="16"/>
        <v>532000</v>
      </c>
      <c r="Q156" s="336">
        <f t="shared" si="17"/>
        <v>245155.75749999995</v>
      </c>
      <c r="R156" s="417">
        <f t="shared" si="18"/>
        <v>0.4608190930451127</v>
      </c>
    </row>
    <row r="157" spans="14:18" x14ac:dyDescent="0.25">
      <c r="N157" s="336">
        <v>153</v>
      </c>
      <c r="O157" s="336">
        <f t="shared" si="15"/>
        <v>287870.58250000002</v>
      </c>
      <c r="P157" s="336">
        <f t="shared" si="16"/>
        <v>535500</v>
      </c>
      <c r="Q157" s="336">
        <f t="shared" si="17"/>
        <v>247629.41749999998</v>
      </c>
      <c r="R157" s="417">
        <f t="shared" si="18"/>
        <v>0.46242654995331461</v>
      </c>
    </row>
    <row r="158" spans="14:18" x14ac:dyDescent="0.25">
      <c r="N158" s="336">
        <v>154</v>
      </c>
      <c r="O158" s="336">
        <f t="shared" si="15"/>
        <v>288896.92249999999</v>
      </c>
      <c r="P158" s="336">
        <f t="shared" si="16"/>
        <v>539000</v>
      </c>
      <c r="Q158" s="336">
        <f t="shared" si="17"/>
        <v>250103.07750000001</v>
      </c>
      <c r="R158" s="417">
        <f t="shared" si="18"/>
        <v>0.46401313079777368</v>
      </c>
    </row>
    <row r="159" spans="14:18" x14ac:dyDescent="0.25">
      <c r="N159" s="336">
        <v>155</v>
      </c>
      <c r="O159" s="336">
        <f t="shared" si="15"/>
        <v>289923.26250000001</v>
      </c>
      <c r="P159" s="336">
        <f t="shared" si="16"/>
        <v>542500</v>
      </c>
      <c r="Q159" s="336">
        <f t="shared" si="17"/>
        <v>252576.73749999999</v>
      </c>
      <c r="R159" s="417">
        <f t="shared" si="18"/>
        <v>0.46557923963133641</v>
      </c>
    </row>
    <row r="160" spans="14:18" x14ac:dyDescent="0.25">
      <c r="N160" s="336">
        <v>156</v>
      </c>
      <c r="O160" s="336">
        <f t="shared" si="15"/>
        <v>290949.60250000004</v>
      </c>
      <c r="P160" s="336">
        <f t="shared" si="16"/>
        <v>546000</v>
      </c>
      <c r="Q160" s="336">
        <f t="shared" si="17"/>
        <v>255050.39749999996</v>
      </c>
      <c r="R160" s="417">
        <f t="shared" si="18"/>
        <v>0.46712527014652006</v>
      </c>
    </row>
    <row r="161" spans="14:18" x14ac:dyDescent="0.25">
      <c r="N161" s="336">
        <v>157</v>
      </c>
      <c r="O161" s="336">
        <f t="shared" si="15"/>
        <v>291975.9425</v>
      </c>
      <c r="P161" s="336">
        <f t="shared" si="16"/>
        <v>549500</v>
      </c>
      <c r="Q161" s="336">
        <f t="shared" si="17"/>
        <v>257524.0575</v>
      </c>
      <c r="R161" s="417">
        <f t="shared" si="18"/>
        <v>0.46865160600545952</v>
      </c>
    </row>
    <row r="162" spans="14:18" x14ac:dyDescent="0.25">
      <c r="N162" s="336">
        <v>158</v>
      </c>
      <c r="O162" s="336">
        <f t="shared" si="15"/>
        <v>293002.28250000003</v>
      </c>
      <c r="P162" s="336">
        <f t="shared" si="16"/>
        <v>553000</v>
      </c>
      <c r="Q162" s="336">
        <f t="shared" si="17"/>
        <v>259997.71749999997</v>
      </c>
      <c r="R162" s="417">
        <f t="shared" si="18"/>
        <v>0.47015862115732365</v>
      </c>
    </row>
    <row r="163" spans="14:18" x14ac:dyDescent="0.25">
      <c r="N163" s="336">
        <v>159</v>
      </c>
      <c r="O163" s="336">
        <f t="shared" si="15"/>
        <v>294028.62250000006</v>
      </c>
      <c r="P163" s="336">
        <f t="shared" si="16"/>
        <v>556500</v>
      </c>
      <c r="Q163" s="336">
        <f t="shared" si="17"/>
        <v>262471.37749999994</v>
      </c>
      <c r="R163" s="417">
        <f t="shared" si="18"/>
        <v>0.47164668014375549</v>
      </c>
    </row>
    <row r="164" spans="14:18" x14ac:dyDescent="0.25">
      <c r="N164" s="336">
        <v>160</v>
      </c>
      <c r="O164" s="336">
        <f t="shared" si="15"/>
        <v>295054.96250000002</v>
      </c>
      <c r="P164" s="336">
        <f t="shared" si="16"/>
        <v>560000</v>
      </c>
      <c r="Q164" s="336">
        <f t="shared" si="17"/>
        <v>264945.03749999998</v>
      </c>
      <c r="R164" s="417">
        <f t="shared" si="18"/>
        <v>0.4731161383928571</v>
      </c>
    </row>
    <row r="165" spans="14:18" x14ac:dyDescent="0.25">
      <c r="N165" s="336">
        <v>161</v>
      </c>
      <c r="O165" s="336">
        <f t="shared" si="15"/>
        <v>296081.30249999999</v>
      </c>
      <c r="P165" s="336">
        <f t="shared" si="16"/>
        <v>563500</v>
      </c>
      <c r="Q165" s="336">
        <f t="shared" si="17"/>
        <v>267418.69750000001</v>
      </c>
      <c r="R165" s="417">
        <f t="shared" si="18"/>
        <v>0.47456734250221827</v>
      </c>
    </row>
    <row r="166" spans="14:18" x14ac:dyDescent="0.25">
      <c r="N166" s="336">
        <v>162</v>
      </c>
      <c r="O166" s="336">
        <f t="shared" si="15"/>
        <v>297107.64250000002</v>
      </c>
      <c r="P166" s="336">
        <f t="shared" si="16"/>
        <v>567000</v>
      </c>
      <c r="Q166" s="336">
        <f t="shared" si="17"/>
        <v>269892.35749999998</v>
      </c>
      <c r="R166" s="417">
        <f t="shared" si="18"/>
        <v>0.4760006305114638</v>
      </c>
    </row>
    <row r="167" spans="14:18" x14ac:dyDescent="0.25">
      <c r="N167" s="336">
        <v>163</v>
      </c>
      <c r="O167" s="336">
        <f t="shared" si="15"/>
        <v>298133.98250000004</v>
      </c>
      <c r="P167" s="336">
        <f t="shared" si="16"/>
        <v>570500</v>
      </c>
      <c r="Q167" s="336">
        <f t="shared" si="17"/>
        <v>272366.01749999996</v>
      </c>
      <c r="R167" s="417">
        <f t="shared" si="18"/>
        <v>0.4774163321647677</v>
      </c>
    </row>
    <row r="168" spans="14:18" x14ac:dyDescent="0.25">
      <c r="N168" s="336">
        <v>164</v>
      </c>
      <c r="O168" s="336">
        <f t="shared" si="15"/>
        <v>299160.32250000001</v>
      </c>
      <c r="P168" s="336">
        <f t="shared" si="16"/>
        <v>574000</v>
      </c>
      <c r="Q168" s="336">
        <f t="shared" si="17"/>
        <v>274839.67749999999</v>
      </c>
      <c r="R168" s="417">
        <f t="shared" si="18"/>
        <v>0.47881476916376303</v>
      </c>
    </row>
    <row r="169" spans="14:18" x14ac:dyDescent="0.25">
      <c r="N169" s="336">
        <v>165</v>
      </c>
      <c r="O169" s="336">
        <f t="shared" si="15"/>
        <v>300186.66250000003</v>
      </c>
      <c r="P169" s="336">
        <f t="shared" si="16"/>
        <v>577500</v>
      </c>
      <c r="Q169" s="336">
        <f t="shared" si="17"/>
        <v>277313.33749999997</v>
      </c>
      <c r="R169" s="417">
        <f t="shared" si="18"/>
        <v>0.48019625541125532</v>
      </c>
    </row>
    <row r="170" spans="14:18" x14ac:dyDescent="0.25">
      <c r="N170" s="336">
        <v>166</v>
      </c>
      <c r="O170" s="336">
        <f t="shared" si="15"/>
        <v>301213.00250000006</v>
      </c>
      <c r="P170" s="336">
        <f t="shared" si="16"/>
        <v>581000</v>
      </c>
      <c r="Q170" s="336">
        <f t="shared" si="17"/>
        <v>279786.99749999994</v>
      </c>
      <c r="R170" s="417">
        <f t="shared" si="18"/>
        <v>0.48156109724612728</v>
      </c>
    </row>
    <row r="171" spans="14:18" x14ac:dyDescent="0.25">
      <c r="N171" s="336">
        <v>167</v>
      </c>
      <c r="O171" s="336">
        <f t="shared" si="15"/>
        <v>302239.34250000003</v>
      </c>
      <c r="P171" s="336">
        <f t="shared" si="16"/>
        <v>584500</v>
      </c>
      <c r="Q171" s="336">
        <f t="shared" si="17"/>
        <v>282260.65749999997</v>
      </c>
      <c r="R171" s="417">
        <f t="shared" si="18"/>
        <v>0.48290959366980318</v>
      </c>
    </row>
    <row r="172" spans="14:18" x14ac:dyDescent="0.25">
      <c r="N172" s="336">
        <v>168</v>
      </c>
      <c r="O172" s="336">
        <f t="shared" si="15"/>
        <v>303265.6825</v>
      </c>
      <c r="P172" s="336">
        <f t="shared" si="16"/>
        <v>588000</v>
      </c>
      <c r="Q172" s="336">
        <f t="shared" si="17"/>
        <v>284734.3175</v>
      </c>
      <c r="R172" s="417">
        <f t="shared" si="18"/>
        <v>0.48424203656462583</v>
      </c>
    </row>
    <row r="173" spans="14:18" x14ac:dyDescent="0.25">
      <c r="N173" s="336">
        <v>169</v>
      </c>
      <c r="O173" s="336">
        <f t="shared" si="15"/>
        <v>304292.02250000002</v>
      </c>
      <c r="P173" s="336">
        <f t="shared" si="16"/>
        <v>591500</v>
      </c>
      <c r="Q173" s="336">
        <f t="shared" si="17"/>
        <v>287207.97749999998</v>
      </c>
      <c r="R173" s="417">
        <f t="shared" si="18"/>
        <v>0.48555871090448011</v>
      </c>
    </row>
    <row r="174" spans="14:18" x14ac:dyDescent="0.25">
      <c r="N174" s="336">
        <v>170</v>
      </c>
      <c r="O174" s="336">
        <f t="shared" si="15"/>
        <v>305318.36250000005</v>
      </c>
      <c r="P174" s="336">
        <f t="shared" si="16"/>
        <v>595000</v>
      </c>
      <c r="Q174" s="336">
        <f t="shared" si="17"/>
        <v>289681.63749999995</v>
      </c>
      <c r="R174" s="417">
        <f t="shared" si="18"/>
        <v>0.4868598949579831</v>
      </c>
    </row>
    <row r="175" spans="14:18" x14ac:dyDescent="0.25">
      <c r="N175" s="336">
        <v>171</v>
      </c>
      <c r="O175" s="336">
        <f t="shared" si="15"/>
        <v>306344.70250000001</v>
      </c>
      <c r="P175" s="336">
        <f t="shared" si="16"/>
        <v>598500</v>
      </c>
      <c r="Q175" s="336">
        <f t="shared" si="17"/>
        <v>292155.29749999999</v>
      </c>
      <c r="R175" s="417">
        <f t="shared" si="18"/>
        <v>0.48814586048454467</v>
      </c>
    </row>
    <row r="176" spans="14:18" x14ac:dyDescent="0.25">
      <c r="N176" s="336">
        <v>172</v>
      </c>
      <c r="O176" s="336">
        <f t="shared" si="15"/>
        <v>307371.04250000004</v>
      </c>
      <c r="P176" s="336">
        <f t="shared" si="16"/>
        <v>602000</v>
      </c>
      <c r="Q176" s="336">
        <f t="shared" si="17"/>
        <v>294628.95749999996</v>
      </c>
      <c r="R176" s="417">
        <f t="shared" si="18"/>
        <v>0.48941687292358799</v>
      </c>
    </row>
    <row r="177" spans="14:18" x14ac:dyDescent="0.25">
      <c r="N177" s="336">
        <v>173</v>
      </c>
      <c r="O177" s="336">
        <f t="shared" si="15"/>
        <v>308397.38250000007</v>
      </c>
      <c r="P177" s="336">
        <f t="shared" si="16"/>
        <v>605500</v>
      </c>
      <c r="Q177" s="336">
        <f t="shared" si="17"/>
        <v>297102.61749999993</v>
      </c>
      <c r="R177" s="417">
        <f t="shared" si="18"/>
        <v>0.49067319157720879</v>
      </c>
    </row>
    <row r="178" spans="14:18" x14ac:dyDescent="0.25">
      <c r="N178" s="336">
        <v>174</v>
      </c>
      <c r="O178" s="336">
        <f t="shared" si="15"/>
        <v>309423.72250000003</v>
      </c>
      <c r="P178" s="336">
        <f t="shared" si="16"/>
        <v>609000</v>
      </c>
      <c r="Q178" s="336">
        <f t="shared" si="17"/>
        <v>299576.27749999997</v>
      </c>
      <c r="R178" s="417">
        <f t="shared" si="18"/>
        <v>0.49191506978653526</v>
      </c>
    </row>
    <row r="179" spans="14:18" x14ac:dyDescent="0.25">
      <c r="N179" s="336">
        <v>175</v>
      </c>
      <c r="O179" s="336">
        <f t="shared" si="15"/>
        <v>310450.0625</v>
      </c>
      <c r="P179" s="336">
        <f t="shared" si="16"/>
        <v>612500</v>
      </c>
      <c r="Q179" s="336">
        <f t="shared" si="17"/>
        <v>302049.9375</v>
      </c>
      <c r="R179" s="417">
        <f t="shared" si="18"/>
        <v>0.49314275510204081</v>
      </c>
    </row>
    <row r="180" spans="14:18" x14ac:dyDescent="0.25">
      <c r="N180" s="336">
        <v>176</v>
      </c>
      <c r="O180" s="336">
        <f t="shared" si="15"/>
        <v>311476.40250000003</v>
      </c>
      <c r="P180" s="336">
        <f t="shared" si="16"/>
        <v>616000</v>
      </c>
      <c r="Q180" s="336">
        <f t="shared" si="17"/>
        <v>304523.59749999997</v>
      </c>
      <c r="R180" s="417">
        <f t="shared" si="18"/>
        <v>0.49435648944805188</v>
      </c>
    </row>
    <row r="181" spans="14:18" x14ac:dyDescent="0.25">
      <c r="N181" s="336">
        <v>177</v>
      </c>
      <c r="O181" s="336">
        <f t="shared" si="15"/>
        <v>312502.74250000005</v>
      </c>
      <c r="P181" s="336">
        <f t="shared" si="16"/>
        <v>619500</v>
      </c>
      <c r="Q181" s="336">
        <f t="shared" si="17"/>
        <v>306997.25749999995</v>
      </c>
      <c r="R181" s="417">
        <f t="shared" si="18"/>
        <v>0.49555650928167871</v>
      </c>
    </row>
    <row r="182" spans="14:18" x14ac:dyDescent="0.25">
      <c r="N182" s="336">
        <v>178</v>
      </c>
      <c r="O182" s="336">
        <f t="shared" si="15"/>
        <v>313529.08250000002</v>
      </c>
      <c r="P182" s="336">
        <f t="shared" si="16"/>
        <v>623000</v>
      </c>
      <c r="Q182" s="336">
        <f t="shared" si="17"/>
        <v>309470.91749999998</v>
      </c>
      <c r="R182" s="417">
        <f t="shared" si="18"/>
        <v>0.49674304574638839</v>
      </c>
    </row>
    <row r="183" spans="14:18" x14ac:dyDescent="0.25">
      <c r="N183" s="336">
        <v>179</v>
      </c>
      <c r="O183" s="336">
        <f t="shared" si="15"/>
        <v>314555.42249999999</v>
      </c>
      <c r="P183" s="336">
        <f t="shared" si="16"/>
        <v>626500</v>
      </c>
      <c r="Q183" s="336">
        <f t="shared" si="17"/>
        <v>311944.57750000001</v>
      </c>
      <c r="R183" s="417">
        <f t="shared" si="18"/>
        <v>0.49791632482043097</v>
      </c>
    </row>
    <row r="184" spans="14:18" x14ac:dyDescent="0.25">
      <c r="N184" s="336">
        <v>180</v>
      </c>
      <c r="O184" s="336">
        <f t="shared" si="15"/>
        <v>315581.76250000001</v>
      </c>
      <c r="P184" s="336">
        <f t="shared" si="16"/>
        <v>630000</v>
      </c>
      <c r="Q184" s="336">
        <f t="shared" si="17"/>
        <v>314418.23749999999</v>
      </c>
      <c r="R184" s="417">
        <f t="shared" si="18"/>
        <v>0.49907656746031742</v>
      </c>
    </row>
    <row r="185" spans="14:18" x14ac:dyDescent="0.25">
      <c r="N185" s="336">
        <v>181</v>
      </c>
      <c r="O185" s="336">
        <f t="shared" si="15"/>
        <v>316608.10250000004</v>
      </c>
      <c r="P185" s="336">
        <f t="shared" si="16"/>
        <v>633500</v>
      </c>
      <c r="Q185" s="336">
        <f t="shared" si="17"/>
        <v>316891.89749999996</v>
      </c>
      <c r="R185" s="417">
        <f t="shared" si="18"/>
        <v>0.50022398973954219</v>
      </c>
    </row>
    <row r="186" spans="14:18" x14ac:dyDescent="0.25">
      <c r="N186" s="336">
        <v>182</v>
      </c>
      <c r="O186" s="336">
        <f t="shared" si="15"/>
        <v>317634.4425</v>
      </c>
      <c r="P186" s="336">
        <f t="shared" si="16"/>
        <v>637000</v>
      </c>
      <c r="Q186" s="336">
        <f t="shared" si="17"/>
        <v>319365.5575</v>
      </c>
      <c r="R186" s="417">
        <f t="shared" si="18"/>
        <v>0.5013588029827315</v>
      </c>
    </row>
    <row r="187" spans="14:18" x14ac:dyDescent="0.25">
      <c r="N187" s="336">
        <v>183</v>
      </c>
      <c r="O187" s="336">
        <f t="shared" si="15"/>
        <v>318660.78250000003</v>
      </c>
      <c r="P187" s="336">
        <f t="shared" si="16"/>
        <v>640500</v>
      </c>
      <c r="Q187" s="336">
        <f t="shared" si="17"/>
        <v>321839.21749999997</v>
      </c>
      <c r="R187" s="417">
        <f t="shared" si="18"/>
        <v>0.50248121389539413</v>
      </c>
    </row>
    <row r="188" spans="14:18" x14ac:dyDescent="0.25">
      <c r="N188" s="336">
        <v>184</v>
      </c>
      <c r="O188" s="336">
        <f t="shared" si="15"/>
        <v>319687.12250000006</v>
      </c>
      <c r="P188" s="336">
        <f t="shared" si="16"/>
        <v>644000</v>
      </c>
      <c r="Q188" s="336">
        <f t="shared" si="17"/>
        <v>324312.87749999994</v>
      </c>
      <c r="R188" s="417">
        <f t="shared" si="18"/>
        <v>0.50359142468944096</v>
      </c>
    </row>
    <row r="189" spans="14:18" x14ac:dyDescent="0.25">
      <c r="N189" s="336">
        <v>185</v>
      </c>
      <c r="O189" s="336">
        <f t="shared" si="15"/>
        <v>320713.46250000002</v>
      </c>
      <c r="P189" s="336">
        <f t="shared" si="16"/>
        <v>647500</v>
      </c>
      <c r="Q189" s="336">
        <f t="shared" si="17"/>
        <v>326786.53749999998</v>
      </c>
      <c r="R189" s="417">
        <f t="shared" si="18"/>
        <v>0.50468963320463311</v>
      </c>
    </row>
    <row r="190" spans="14:18" x14ac:dyDescent="0.25">
      <c r="N190" s="336">
        <v>186</v>
      </c>
      <c r="O190" s="336">
        <f t="shared" si="15"/>
        <v>321739.80249999999</v>
      </c>
      <c r="P190" s="336">
        <f t="shared" si="16"/>
        <v>651000</v>
      </c>
      <c r="Q190" s="336">
        <f t="shared" si="17"/>
        <v>329260.19750000001</v>
      </c>
      <c r="R190" s="417">
        <f t="shared" si="18"/>
        <v>0.50577603302611374</v>
      </c>
    </row>
    <row r="191" spans="14:18" x14ac:dyDescent="0.25">
      <c r="N191" s="336">
        <v>187</v>
      </c>
      <c r="O191" s="336">
        <f t="shared" si="15"/>
        <v>322766.14250000002</v>
      </c>
      <c r="P191" s="336">
        <f t="shared" si="16"/>
        <v>654500</v>
      </c>
      <c r="Q191" s="336">
        <f t="shared" si="17"/>
        <v>331733.85749999998</v>
      </c>
      <c r="R191" s="417">
        <f t="shared" si="18"/>
        <v>0.50685081359816653</v>
      </c>
    </row>
    <row r="192" spans="14:18" x14ac:dyDescent="0.25">
      <c r="N192" s="336">
        <v>188</v>
      </c>
      <c r="O192" s="336">
        <f t="shared" si="15"/>
        <v>323792.48250000004</v>
      </c>
      <c r="P192" s="336">
        <f t="shared" si="16"/>
        <v>658000</v>
      </c>
      <c r="Q192" s="336">
        <f t="shared" si="17"/>
        <v>334207.51749999996</v>
      </c>
      <c r="R192" s="417">
        <f t="shared" si="18"/>
        <v>0.50791416033434644</v>
      </c>
    </row>
    <row r="193" spans="14:18" x14ac:dyDescent="0.25">
      <c r="N193" s="336">
        <v>189</v>
      </c>
      <c r="O193" s="336">
        <f t="shared" si="15"/>
        <v>324818.82250000001</v>
      </c>
      <c r="P193" s="336">
        <f t="shared" si="16"/>
        <v>661500</v>
      </c>
      <c r="Q193" s="336">
        <f t="shared" si="17"/>
        <v>336681.17749999999</v>
      </c>
      <c r="R193" s="417">
        <f t="shared" si="18"/>
        <v>0.50896625472411183</v>
      </c>
    </row>
    <row r="194" spans="14:18" x14ac:dyDescent="0.25">
      <c r="N194" s="336">
        <v>190</v>
      </c>
      <c r="O194" s="336">
        <f t="shared" si="15"/>
        <v>325845.16250000003</v>
      </c>
      <c r="P194" s="336">
        <f t="shared" si="16"/>
        <v>665000</v>
      </c>
      <c r="Q194" s="336">
        <f t="shared" si="17"/>
        <v>339154.83749999997</v>
      </c>
      <c r="R194" s="417">
        <f t="shared" si="18"/>
        <v>0.51000727443609017</v>
      </c>
    </row>
    <row r="195" spans="14:18" x14ac:dyDescent="0.25">
      <c r="N195" s="336">
        <v>191</v>
      </c>
      <c r="O195" s="336">
        <f t="shared" si="15"/>
        <v>326871.50250000006</v>
      </c>
      <c r="P195" s="336">
        <f t="shared" si="16"/>
        <v>668500</v>
      </c>
      <c r="Q195" s="336">
        <f t="shared" si="17"/>
        <v>341628.49749999994</v>
      </c>
      <c r="R195" s="417">
        <f t="shared" si="18"/>
        <v>0.51103739341810017</v>
      </c>
    </row>
    <row r="196" spans="14:18" x14ac:dyDescent="0.25">
      <c r="N196" s="336">
        <v>192</v>
      </c>
      <c r="O196" s="336">
        <f t="shared" si="15"/>
        <v>327897.84250000003</v>
      </c>
      <c r="P196" s="336">
        <f t="shared" si="16"/>
        <v>672000</v>
      </c>
      <c r="Q196" s="336">
        <f t="shared" si="17"/>
        <v>344102.15749999997</v>
      </c>
      <c r="R196" s="417">
        <f t="shared" si="18"/>
        <v>0.51205678199404758</v>
      </c>
    </row>
    <row r="197" spans="14:18" x14ac:dyDescent="0.25">
      <c r="N197" s="336">
        <v>193</v>
      </c>
      <c r="O197" s="336">
        <f t="shared" si="15"/>
        <v>328924.1825</v>
      </c>
      <c r="P197" s="336">
        <f t="shared" si="16"/>
        <v>675500</v>
      </c>
      <c r="Q197" s="336">
        <f t="shared" si="17"/>
        <v>346575.8175</v>
      </c>
      <c r="R197" s="417">
        <f t="shared" si="18"/>
        <v>0.51306560695780901</v>
      </c>
    </row>
    <row r="198" spans="14:18" x14ac:dyDescent="0.25">
      <c r="N198" s="336">
        <v>194</v>
      </c>
      <c r="O198" s="336">
        <f t="shared" ref="O198:O244" si="19">+$E$4+($G$4*N198)</f>
        <v>329950.52250000002</v>
      </c>
      <c r="P198" s="336">
        <f t="shared" ref="P198:P244" si="20">+$F$4*N198</f>
        <v>679000</v>
      </c>
      <c r="Q198" s="336">
        <f t="shared" ref="Q198:Q244" si="21">+P198-O198</f>
        <v>349049.47749999998</v>
      </c>
      <c r="R198" s="417">
        <f t="shared" ref="R198:R244" si="22">+Q198/P198</f>
        <v>0.514064031664212</v>
      </c>
    </row>
    <row r="199" spans="14:18" x14ac:dyDescent="0.25">
      <c r="N199" s="336">
        <v>195</v>
      </c>
      <c r="O199" s="336">
        <f t="shared" si="19"/>
        <v>330976.86250000005</v>
      </c>
      <c r="P199" s="336">
        <f t="shared" si="20"/>
        <v>682500</v>
      </c>
      <c r="Q199" s="336">
        <f t="shared" si="21"/>
        <v>351523.13749999995</v>
      </c>
      <c r="R199" s="417">
        <f t="shared" si="22"/>
        <v>0.51505221611721608</v>
      </c>
    </row>
    <row r="200" spans="14:18" x14ac:dyDescent="0.25">
      <c r="N200" s="336">
        <v>196</v>
      </c>
      <c r="O200" s="336">
        <f t="shared" si="19"/>
        <v>332003.20250000001</v>
      </c>
      <c r="P200" s="336">
        <f t="shared" si="20"/>
        <v>686000</v>
      </c>
      <c r="Q200" s="336">
        <f t="shared" si="21"/>
        <v>353996.79749999999</v>
      </c>
      <c r="R200" s="417">
        <f t="shared" si="22"/>
        <v>0.51603031705539359</v>
      </c>
    </row>
    <row r="201" spans="14:18" x14ac:dyDescent="0.25">
      <c r="N201" s="336">
        <v>197</v>
      </c>
      <c r="O201" s="336">
        <f t="shared" si="19"/>
        <v>333029.54250000004</v>
      </c>
      <c r="P201" s="336">
        <f t="shared" si="20"/>
        <v>689500</v>
      </c>
      <c r="Q201" s="336">
        <f t="shared" si="21"/>
        <v>356470.45749999996</v>
      </c>
      <c r="R201" s="417">
        <f t="shared" si="22"/>
        <v>0.51699848803480775</v>
      </c>
    </row>
    <row r="202" spans="14:18" x14ac:dyDescent="0.25">
      <c r="N202" s="336">
        <v>198</v>
      </c>
      <c r="O202" s="336">
        <f t="shared" si="19"/>
        <v>334055.88250000007</v>
      </c>
      <c r="P202" s="336">
        <f t="shared" si="20"/>
        <v>693000</v>
      </c>
      <c r="Q202" s="336">
        <f t="shared" si="21"/>
        <v>358944.11749999993</v>
      </c>
      <c r="R202" s="417">
        <f t="shared" si="22"/>
        <v>0.51795687950937941</v>
      </c>
    </row>
    <row r="203" spans="14:18" x14ac:dyDescent="0.25">
      <c r="N203" s="336">
        <v>199</v>
      </c>
      <c r="O203" s="336">
        <f t="shared" si="19"/>
        <v>335082.22250000003</v>
      </c>
      <c r="P203" s="336">
        <f t="shared" si="20"/>
        <v>696500</v>
      </c>
      <c r="Q203" s="336">
        <f t="shared" si="21"/>
        <v>361417.77749999997</v>
      </c>
      <c r="R203" s="417">
        <f t="shared" si="22"/>
        <v>0.51890563890882979</v>
      </c>
    </row>
    <row r="204" spans="14:18" x14ac:dyDescent="0.25">
      <c r="N204" s="336">
        <v>200</v>
      </c>
      <c r="O204" s="336">
        <f t="shared" si="19"/>
        <v>336108.5625</v>
      </c>
      <c r="P204" s="336">
        <f t="shared" si="20"/>
        <v>700000</v>
      </c>
      <c r="Q204" s="336">
        <f t="shared" si="21"/>
        <v>363891.4375</v>
      </c>
      <c r="R204" s="417">
        <f t="shared" si="22"/>
        <v>0.51984491071428574</v>
      </c>
    </row>
    <row r="205" spans="14:18" x14ac:dyDescent="0.25">
      <c r="N205" s="336">
        <v>201</v>
      </c>
      <c r="O205" s="336">
        <f t="shared" si="19"/>
        <v>337134.90250000003</v>
      </c>
      <c r="P205" s="336">
        <f t="shared" si="20"/>
        <v>703500</v>
      </c>
      <c r="Q205" s="336">
        <f t="shared" si="21"/>
        <v>366365.09749999997</v>
      </c>
      <c r="R205" s="417">
        <f t="shared" si="22"/>
        <v>0.52077483653162759</v>
      </c>
    </row>
    <row r="206" spans="14:18" x14ac:dyDescent="0.25">
      <c r="N206" s="336">
        <v>202</v>
      </c>
      <c r="O206" s="336">
        <f t="shared" si="19"/>
        <v>338161.24250000005</v>
      </c>
      <c r="P206" s="336">
        <f t="shared" si="20"/>
        <v>707000</v>
      </c>
      <c r="Q206" s="336">
        <f t="shared" si="21"/>
        <v>368838.75749999995</v>
      </c>
      <c r="R206" s="417">
        <f t="shared" si="22"/>
        <v>0.52169555516265909</v>
      </c>
    </row>
    <row r="207" spans="14:18" x14ac:dyDescent="0.25">
      <c r="N207" s="336">
        <v>203</v>
      </c>
      <c r="O207" s="336">
        <f t="shared" si="19"/>
        <v>339187.58250000002</v>
      </c>
      <c r="P207" s="336">
        <f t="shared" si="20"/>
        <v>710500</v>
      </c>
      <c r="Q207" s="336">
        <f t="shared" si="21"/>
        <v>371312.41749999998</v>
      </c>
      <c r="R207" s="417">
        <f t="shared" si="22"/>
        <v>0.52260720267417304</v>
      </c>
    </row>
    <row r="208" spans="14:18" x14ac:dyDescent="0.25">
      <c r="N208" s="336">
        <v>204</v>
      </c>
      <c r="O208" s="336">
        <f t="shared" si="19"/>
        <v>340213.92250000004</v>
      </c>
      <c r="P208" s="336">
        <f t="shared" si="20"/>
        <v>714000</v>
      </c>
      <c r="Q208" s="336">
        <f t="shared" si="21"/>
        <v>373786.07749999996</v>
      </c>
      <c r="R208" s="417">
        <f t="shared" si="22"/>
        <v>0.5235099124649859</v>
      </c>
    </row>
    <row r="209" spans="14:18" x14ac:dyDescent="0.25">
      <c r="N209" s="336">
        <v>205</v>
      </c>
      <c r="O209" s="336">
        <f t="shared" si="19"/>
        <v>341240.26250000007</v>
      </c>
      <c r="P209" s="336">
        <f t="shared" si="20"/>
        <v>717500</v>
      </c>
      <c r="Q209" s="336">
        <f t="shared" si="21"/>
        <v>376259.73749999993</v>
      </c>
      <c r="R209" s="417">
        <f t="shared" si="22"/>
        <v>0.52440381533101033</v>
      </c>
    </row>
    <row r="210" spans="14:18" x14ac:dyDescent="0.25">
      <c r="N210" s="336">
        <v>206</v>
      </c>
      <c r="O210" s="336">
        <f t="shared" si="19"/>
        <v>342266.60250000004</v>
      </c>
      <c r="P210" s="336">
        <f t="shared" si="20"/>
        <v>721000</v>
      </c>
      <c r="Q210" s="336">
        <f t="shared" si="21"/>
        <v>378733.39749999996</v>
      </c>
      <c r="R210" s="417">
        <f t="shared" si="22"/>
        <v>0.52528903952843264</v>
      </c>
    </row>
    <row r="211" spans="14:18" x14ac:dyDescent="0.25">
      <c r="N211" s="336">
        <v>207</v>
      </c>
      <c r="O211" s="336">
        <f t="shared" si="19"/>
        <v>343292.9425</v>
      </c>
      <c r="P211" s="336">
        <f t="shared" si="20"/>
        <v>724500</v>
      </c>
      <c r="Q211" s="336">
        <f t="shared" si="21"/>
        <v>381207.0575</v>
      </c>
      <c r="R211" s="417">
        <f t="shared" si="22"/>
        <v>0.5261657108350587</v>
      </c>
    </row>
    <row r="212" spans="14:18" x14ac:dyDescent="0.25">
      <c r="N212" s="336">
        <v>208</v>
      </c>
      <c r="O212" s="336">
        <f t="shared" si="19"/>
        <v>344319.28250000003</v>
      </c>
      <c r="P212" s="336">
        <f t="shared" si="20"/>
        <v>728000</v>
      </c>
      <c r="Q212" s="336">
        <f t="shared" si="21"/>
        <v>383680.71749999997</v>
      </c>
      <c r="R212" s="417">
        <f t="shared" si="22"/>
        <v>0.52703395260989006</v>
      </c>
    </row>
    <row r="213" spans="14:18" x14ac:dyDescent="0.25">
      <c r="N213" s="336">
        <v>209</v>
      </c>
      <c r="O213" s="336">
        <f t="shared" si="19"/>
        <v>345345.62250000006</v>
      </c>
      <c r="P213" s="336">
        <f t="shared" si="20"/>
        <v>731500</v>
      </c>
      <c r="Q213" s="336">
        <f t="shared" si="21"/>
        <v>386154.37749999994</v>
      </c>
      <c r="R213" s="417">
        <f t="shared" si="22"/>
        <v>0.52789388585099106</v>
      </c>
    </row>
    <row r="214" spans="14:18" x14ac:dyDescent="0.25">
      <c r="N214" s="336">
        <v>210</v>
      </c>
      <c r="O214" s="336">
        <f t="shared" si="19"/>
        <v>346371.96250000002</v>
      </c>
      <c r="P214" s="336">
        <f t="shared" si="20"/>
        <v>735000</v>
      </c>
      <c r="Q214" s="336">
        <f t="shared" si="21"/>
        <v>388628.03749999998</v>
      </c>
      <c r="R214" s="417">
        <f t="shared" si="22"/>
        <v>0.52874562925170066</v>
      </c>
    </row>
    <row r="215" spans="14:18" x14ac:dyDescent="0.25">
      <c r="N215" s="336">
        <v>211</v>
      </c>
      <c r="O215" s="336">
        <f t="shared" si="19"/>
        <v>347398.30249999999</v>
      </c>
      <c r="P215" s="336">
        <f t="shared" si="20"/>
        <v>738500</v>
      </c>
      <c r="Q215" s="336">
        <f t="shared" si="21"/>
        <v>391101.69750000001</v>
      </c>
      <c r="R215" s="417">
        <f t="shared" si="22"/>
        <v>0.52958929925524711</v>
      </c>
    </row>
    <row r="216" spans="14:18" x14ac:dyDescent="0.25">
      <c r="N216" s="336">
        <v>212</v>
      </c>
      <c r="O216" s="336">
        <f t="shared" si="19"/>
        <v>348424.64250000002</v>
      </c>
      <c r="P216" s="336">
        <f t="shared" si="20"/>
        <v>742000</v>
      </c>
      <c r="Q216" s="336">
        <f t="shared" si="21"/>
        <v>393575.35749999998</v>
      </c>
      <c r="R216" s="417">
        <f t="shared" si="22"/>
        <v>0.53042501010781673</v>
      </c>
    </row>
    <row r="217" spans="14:18" x14ac:dyDescent="0.25">
      <c r="N217" s="336">
        <v>213</v>
      </c>
      <c r="O217" s="336">
        <f t="shared" si="19"/>
        <v>349450.98250000004</v>
      </c>
      <c r="P217" s="336">
        <f t="shared" si="20"/>
        <v>745500</v>
      </c>
      <c r="Q217" s="336">
        <f t="shared" si="21"/>
        <v>396049.01749999996</v>
      </c>
      <c r="R217" s="417">
        <f t="shared" si="22"/>
        <v>0.53125287391012732</v>
      </c>
    </row>
    <row r="218" spans="14:18" x14ac:dyDescent="0.25">
      <c r="N218" s="336">
        <v>214</v>
      </c>
      <c r="O218" s="336">
        <f t="shared" si="19"/>
        <v>350477.32250000001</v>
      </c>
      <c r="P218" s="336">
        <f t="shared" si="20"/>
        <v>749000</v>
      </c>
      <c r="Q218" s="336">
        <f t="shared" si="21"/>
        <v>398522.67749999999</v>
      </c>
      <c r="R218" s="417">
        <f t="shared" si="22"/>
        <v>0.53207300066755669</v>
      </c>
    </row>
    <row r="219" spans="14:18" x14ac:dyDescent="0.25">
      <c r="N219" s="336">
        <v>215</v>
      </c>
      <c r="O219" s="336">
        <f t="shared" si="19"/>
        <v>351503.66250000003</v>
      </c>
      <c r="P219" s="336">
        <f t="shared" si="20"/>
        <v>752500</v>
      </c>
      <c r="Q219" s="336">
        <f t="shared" si="21"/>
        <v>400996.33749999997</v>
      </c>
      <c r="R219" s="417">
        <f t="shared" si="22"/>
        <v>0.53288549833887033</v>
      </c>
    </row>
    <row r="220" spans="14:18" x14ac:dyDescent="0.25">
      <c r="N220" s="336">
        <v>216</v>
      </c>
      <c r="O220" s="336">
        <f t="shared" si="19"/>
        <v>352530.00250000006</v>
      </c>
      <c r="P220" s="336">
        <f t="shared" si="20"/>
        <v>756000</v>
      </c>
      <c r="Q220" s="336">
        <f t="shared" si="21"/>
        <v>403469.99749999994</v>
      </c>
      <c r="R220" s="417">
        <f t="shared" si="22"/>
        <v>0.53369047288359783</v>
      </c>
    </row>
    <row r="221" spans="14:18" x14ac:dyDescent="0.25">
      <c r="N221" s="336">
        <v>217</v>
      </c>
      <c r="O221" s="336">
        <f t="shared" si="19"/>
        <v>353556.34250000003</v>
      </c>
      <c r="P221" s="336">
        <f t="shared" si="20"/>
        <v>759500</v>
      </c>
      <c r="Q221" s="336">
        <f t="shared" si="21"/>
        <v>405943.65749999997</v>
      </c>
      <c r="R221" s="417">
        <f t="shared" si="22"/>
        <v>0.53448802830809738</v>
      </c>
    </row>
    <row r="222" spans="14:18" x14ac:dyDescent="0.25">
      <c r="N222" s="336">
        <v>218</v>
      </c>
      <c r="O222" s="336">
        <f t="shared" si="19"/>
        <v>354582.6825</v>
      </c>
      <c r="P222" s="336">
        <f t="shared" si="20"/>
        <v>763000</v>
      </c>
      <c r="Q222" s="336">
        <f t="shared" si="21"/>
        <v>408417.3175</v>
      </c>
      <c r="R222" s="417">
        <f t="shared" si="22"/>
        <v>0.53527826671035383</v>
      </c>
    </row>
    <row r="223" spans="14:18" x14ac:dyDescent="0.25">
      <c r="N223" s="336">
        <v>219</v>
      </c>
      <c r="O223" s="336">
        <f t="shared" si="19"/>
        <v>355609.02250000002</v>
      </c>
      <c r="P223" s="336">
        <f t="shared" si="20"/>
        <v>766500</v>
      </c>
      <c r="Q223" s="336">
        <f t="shared" si="21"/>
        <v>410890.97749999998</v>
      </c>
      <c r="R223" s="417">
        <f t="shared" si="22"/>
        <v>0.5360612883235486</v>
      </c>
    </row>
    <row r="224" spans="14:18" x14ac:dyDescent="0.25">
      <c r="N224" s="336">
        <v>220</v>
      </c>
      <c r="O224" s="336">
        <f t="shared" si="19"/>
        <v>356635.36250000005</v>
      </c>
      <c r="P224" s="336">
        <f t="shared" si="20"/>
        <v>770000</v>
      </c>
      <c r="Q224" s="336">
        <f t="shared" si="21"/>
        <v>413364.63749999995</v>
      </c>
      <c r="R224" s="417">
        <f t="shared" si="22"/>
        <v>0.53683719155844145</v>
      </c>
    </row>
    <row r="225" spans="14:18" x14ac:dyDescent="0.25">
      <c r="N225" s="336">
        <v>221</v>
      </c>
      <c r="O225" s="336">
        <f t="shared" si="19"/>
        <v>357661.70250000001</v>
      </c>
      <c r="P225" s="336">
        <f t="shared" si="20"/>
        <v>773500</v>
      </c>
      <c r="Q225" s="336">
        <f t="shared" si="21"/>
        <v>415838.29749999999</v>
      </c>
      <c r="R225" s="417">
        <f t="shared" si="22"/>
        <v>0.53760607304460239</v>
      </c>
    </row>
    <row r="226" spans="14:18" x14ac:dyDescent="0.25">
      <c r="N226" s="336">
        <v>222</v>
      </c>
      <c r="O226" s="336">
        <f t="shared" si="19"/>
        <v>358688.04250000004</v>
      </c>
      <c r="P226" s="336">
        <f t="shared" si="20"/>
        <v>777000</v>
      </c>
      <c r="Q226" s="336">
        <f t="shared" si="21"/>
        <v>418311.95749999996</v>
      </c>
      <c r="R226" s="417">
        <f t="shared" si="22"/>
        <v>0.5383680276705276</v>
      </c>
    </row>
    <row r="227" spans="14:18" x14ac:dyDescent="0.25">
      <c r="N227" s="336">
        <v>223</v>
      </c>
      <c r="O227" s="336">
        <f t="shared" si="19"/>
        <v>359714.38250000007</v>
      </c>
      <c r="P227" s="336">
        <f t="shared" si="20"/>
        <v>780500</v>
      </c>
      <c r="Q227" s="336">
        <f t="shared" si="21"/>
        <v>420785.61749999993</v>
      </c>
      <c r="R227" s="417">
        <f t="shared" si="22"/>
        <v>0.53912314862267774</v>
      </c>
    </row>
    <row r="228" spans="14:18" x14ac:dyDescent="0.25">
      <c r="N228" s="336">
        <v>224</v>
      </c>
      <c r="O228" s="336">
        <f t="shared" si="19"/>
        <v>360740.72250000003</v>
      </c>
      <c r="P228" s="336">
        <f t="shared" si="20"/>
        <v>784000</v>
      </c>
      <c r="Q228" s="336">
        <f t="shared" si="21"/>
        <v>423259.27749999997</v>
      </c>
      <c r="R228" s="417">
        <f t="shared" si="22"/>
        <v>0.53987152742346933</v>
      </c>
    </row>
    <row r="229" spans="14:18" x14ac:dyDescent="0.25">
      <c r="N229" s="336">
        <v>225</v>
      </c>
      <c r="O229" s="336">
        <f t="shared" si="19"/>
        <v>361767.0625</v>
      </c>
      <c r="P229" s="336">
        <f t="shared" si="20"/>
        <v>787500</v>
      </c>
      <c r="Q229" s="336">
        <f t="shared" si="21"/>
        <v>425732.9375</v>
      </c>
      <c r="R229" s="417">
        <f t="shared" si="22"/>
        <v>0.54061325396825399</v>
      </c>
    </row>
    <row r="230" spans="14:18" x14ac:dyDescent="0.25">
      <c r="N230" s="336">
        <v>226</v>
      </c>
      <c r="O230" s="336">
        <f t="shared" si="19"/>
        <v>362793.40250000003</v>
      </c>
      <c r="P230" s="336">
        <f t="shared" si="20"/>
        <v>791000</v>
      </c>
      <c r="Q230" s="336">
        <f t="shared" si="21"/>
        <v>428206.59749999997</v>
      </c>
      <c r="R230" s="417">
        <f t="shared" si="22"/>
        <v>0.54134841656131472</v>
      </c>
    </row>
    <row r="231" spans="14:18" x14ac:dyDescent="0.25">
      <c r="N231" s="336">
        <v>227</v>
      </c>
      <c r="O231" s="336">
        <f t="shared" si="19"/>
        <v>363819.74250000005</v>
      </c>
      <c r="P231" s="336">
        <f t="shared" si="20"/>
        <v>794500</v>
      </c>
      <c r="Q231" s="336">
        <f t="shared" si="21"/>
        <v>430680.25749999995</v>
      </c>
      <c r="R231" s="417">
        <f t="shared" si="22"/>
        <v>0.54207710195091241</v>
      </c>
    </row>
    <row r="232" spans="14:18" x14ac:dyDescent="0.25">
      <c r="N232" s="336">
        <v>228</v>
      </c>
      <c r="O232" s="336">
        <f t="shared" si="19"/>
        <v>364846.08250000002</v>
      </c>
      <c r="P232" s="336">
        <f t="shared" si="20"/>
        <v>798000</v>
      </c>
      <c r="Q232" s="336">
        <f t="shared" si="21"/>
        <v>433153.91749999998</v>
      </c>
      <c r="R232" s="417">
        <f t="shared" si="22"/>
        <v>0.54279939536340849</v>
      </c>
    </row>
    <row r="233" spans="14:18" x14ac:dyDescent="0.25">
      <c r="N233" s="336">
        <v>229</v>
      </c>
      <c r="O233" s="336">
        <f t="shared" si="19"/>
        <v>365872.42250000004</v>
      </c>
      <c r="P233" s="336">
        <f t="shared" si="20"/>
        <v>801500</v>
      </c>
      <c r="Q233" s="336">
        <f t="shared" si="21"/>
        <v>435627.57749999996</v>
      </c>
      <c r="R233" s="417">
        <f t="shared" si="22"/>
        <v>0.54351538053649406</v>
      </c>
    </row>
    <row r="234" spans="14:18" x14ac:dyDescent="0.25">
      <c r="N234" s="336">
        <v>230</v>
      </c>
      <c r="O234" s="336">
        <f t="shared" si="19"/>
        <v>366898.76250000007</v>
      </c>
      <c r="P234" s="336">
        <f t="shared" si="20"/>
        <v>805000</v>
      </c>
      <c r="Q234" s="336">
        <f t="shared" si="21"/>
        <v>438101.23749999993</v>
      </c>
      <c r="R234" s="417">
        <f t="shared" si="22"/>
        <v>0.54422513975155273</v>
      </c>
    </row>
    <row r="235" spans="14:18" x14ac:dyDescent="0.25">
      <c r="N235" s="336">
        <v>231</v>
      </c>
      <c r="O235" s="336">
        <f t="shared" si="19"/>
        <v>367925.10250000004</v>
      </c>
      <c r="P235" s="336">
        <f t="shared" si="20"/>
        <v>808500</v>
      </c>
      <c r="Q235" s="336">
        <f t="shared" si="21"/>
        <v>440574.89749999996</v>
      </c>
      <c r="R235" s="417">
        <f t="shared" si="22"/>
        <v>0.54492875386518236</v>
      </c>
    </row>
    <row r="236" spans="14:18" x14ac:dyDescent="0.25">
      <c r="N236" s="336">
        <v>232</v>
      </c>
      <c r="O236" s="336">
        <f t="shared" si="19"/>
        <v>368951.4425</v>
      </c>
      <c r="P236" s="336">
        <f t="shared" si="20"/>
        <v>812000</v>
      </c>
      <c r="Q236" s="336">
        <f t="shared" si="21"/>
        <v>443048.5575</v>
      </c>
      <c r="R236" s="417">
        <f t="shared" si="22"/>
        <v>0.5456263023399015</v>
      </c>
    </row>
    <row r="237" spans="14:18" x14ac:dyDescent="0.25">
      <c r="N237" s="336">
        <v>233</v>
      </c>
      <c r="O237" s="336">
        <f t="shared" si="19"/>
        <v>369977.78250000003</v>
      </c>
      <c r="P237" s="336">
        <f t="shared" si="20"/>
        <v>815500</v>
      </c>
      <c r="Q237" s="336">
        <f t="shared" si="21"/>
        <v>445522.21749999997</v>
      </c>
      <c r="R237" s="417">
        <f t="shared" si="22"/>
        <v>0.54631786327406495</v>
      </c>
    </row>
    <row r="238" spans="14:18" x14ac:dyDescent="0.25">
      <c r="N238" s="336">
        <v>234</v>
      </c>
      <c r="O238" s="336">
        <f t="shared" si="19"/>
        <v>371004.12250000006</v>
      </c>
      <c r="P238" s="336">
        <f t="shared" si="20"/>
        <v>819000</v>
      </c>
      <c r="Q238" s="336">
        <f t="shared" si="21"/>
        <v>447995.87749999994</v>
      </c>
      <c r="R238" s="417">
        <f t="shared" si="22"/>
        <v>0.54700351343101339</v>
      </c>
    </row>
    <row r="239" spans="14:18" x14ac:dyDescent="0.25">
      <c r="N239" s="336">
        <v>235</v>
      </c>
      <c r="O239" s="336">
        <f t="shared" si="19"/>
        <v>372030.46250000002</v>
      </c>
      <c r="P239" s="336">
        <f t="shared" si="20"/>
        <v>822500</v>
      </c>
      <c r="Q239" s="336">
        <f t="shared" si="21"/>
        <v>450469.53749999998</v>
      </c>
      <c r="R239" s="417">
        <f t="shared" si="22"/>
        <v>0.54768332826747712</v>
      </c>
    </row>
    <row r="240" spans="14:18" x14ac:dyDescent="0.25">
      <c r="N240" s="336">
        <v>236</v>
      </c>
      <c r="O240" s="336">
        <f t="shared" si="19"/>
        <v>373056.80250000005</v>
      </c>
      <c r="P240" s="336">
        <f t="shared" si="20"/>
        <v>826000</v>
      </c>
      <c r="Q240" s="336">
        <f t="shared" si="21"/>
        <v>452943.19749999995</v>
      </c>
      <c r="R240" s="417">
        <f t="shared" si="22"/>
        <v>0.54835738196125905</v>
      </c>
    </row>
    <row r="241" spans="14:18" x14ac:dyDescent="0.25">
      <c r="N241" s="336">
        <v>237</v>
      </c>
      <c r="O241" s="336">
        <f t="shared" si="19"/>
        <v>374083.14250000007</v>
      </c>
      <c r="P241" s="336">
        <f t="shared" si="20"/>
        <v>829500</v>
      </c>
      <c r="Q241" s="336">
        <f t="shared" si="21"/>
        <v>455416.85749999993</v>
      </c>
      <c r="R241" s="417">
        <f t="shared" si="22"/>
        <v>0.54902574743821575</v>
      </c>
    </row>
    <row r="242" spans="14:18" x14ac:dyDescent="0.25">
      <c r="N242" s="336">
        <v>238</v>
      </c>
      <c r="O242" s="336">
        <f t="shared" si="19"/>
        <v>375109.48250000004</v>
      </c>
      <c r="P242" s="336">
        <f t="shared" si="20"/>
        <v>833000</v>
      </c>
      <c r="Q242" s="336">
        <f t="shared" si="21"/>
        <v>457890.51749999996</v>
      </c>
      <c r="R242" s="417">
        <f t="shared" si="22"/>
        <v>0.54968849639855932</v>
      </c>
    </row>
    <row r="243" spans="14:18" x14ac:dyDescent="0.25">
      <c r="N243" s="336">
        <v>239</v>
      </c>
      <c r="O243" s="336">
        <f t="shared" si="19"/>
        <v>376135.82250000001</v>
      </c>
      <c r="P243" s="336">
        <f t="shared" si="20"/>
        <v>836500</v>
      </c>
      <c r="Q243" s="336">
        <f t="shared" si="21"/>
        <v>460364.17749999999</v>
      </c>
      <c r="R243" s="417">
        <f t="shared" si="22"/>
        <v>0.55034569934249844</v>
      </c>
    </row>
    <row r="244" spans="14:18" x14ac:dyDescent="0.25">
      <c r="N244" s="336">
        <v>240</v>
      </c>
      <c r="O244" s="336">
        <f t="shared" si="19"/>
        <v>377162.16250000003</v>
      </c>
      <c r="P244" s="336">
        <f t="shared" si="20"/>
        <v>840000</v>
      </c>
      <c r="Q244" s="336">
        <f t="shared" si="21"/>
        <v>462837.83749999997</v>
      </c>
      <c r="R244" s="417">
        <f t="shared" si="22"/>
        <v>0.55099742559523801</v>
      </c>
    </row>
    <row r="245" spans="14:18" x14ac:dyDescent="0.25">
      <c r="Q245" s="336"/>
    </row>
    <row r="246" spans="14:18" x14ac:dyDescent="0.25">
      <c r="Q246" s="336"/>
    </row>
    <row r="247" spans="14:18" x14ac:dyDescent="0.25">
      <c r="Q247" s="336"/>
    </row>
    <row r="248" spans="14:18" x14ac:dyDescent="0.25">
      <c r="Q248" s="336"/>
    </row>
    <row r="249" spans="14:18" x14ac:dyDescent="0.25">
      <c r="Q249" s="336"/>
    </row>
    <row r="250" spans="14:18" x14ac:dyDescent="0.25">
      <c r="Q250" s="336"/>
    </row>
    <row r="251" spans="14:18" x14ac:dyDescent="0.25">
      <c r="Q251" s="336"/>
    </row>
    <row r="252" spans="14:18" x14ac:dyDescent="0.25">
      <c r="Q252" s="336"/>
    </row>
    <row r="253" spans="14:18" x14ac:dyDescent="0.25">
      <c r="Q253" s="336"/>
    </row>
    <row r="254" spans="14:18" x14ac:dyDescent="0.25">
      <c r="Q254" s="336"/>
    </row>
    <row r="255" spans="14:18" x14ac:dyDescent="0.25">
      <c r="Q255" s="336"/>
    </row>
    <row r="256" spans="14:18" x14ac:dyDescent="0.25">
      <c r="Q256" s="336"/>
    </row>
    <row r="257" spans="17:17" x14ac:dyDescent="0.25">
      <c r="Q257" s="336"/>
    </row>
    <row r="258" spans="17:17" x14ac:dyDescent="0.25">
      <c r="Q258" s="336"/>
    </row>
    <row r="259" spans="17:17" x14ac:dyDescent="0.25">
      <c r="Q259" s="336"/>
    </row>
    <row r="260" spans="17:17" x14ac:dyDescent="0.25">
      <c r="Q260" s="336"/>
    </row>
    <row r="261" spans="17:17" x14ac:dyDescent="0.25">
      <c r="Q261" s="336"/>
    </row>
    <row r="262" spans="17:17" x14ac:dyDescent="0.25">
      <c r="Q262" s="336"/>
    </row>
    <row r="263" spans="17:17" x14ac:dyDescent="0.25">
      <c r="Q263" s="336"/>
    </row>
    <row r="264" spans="17:17" x14ac:dyDescent="0.25">
      <c r="Q264" s="336"/>
    </row>
    <row r="265" spans="17:17" x14ac:dyDescent="0.25">
      <c r="Q265" s="336"/>
    </row>
    <row r="266" spans="17:17" x14ac:dyDescent="0.25">
      <c r="Q266" s="336"/>
    </row>
    <row r="267" spans="17:17" x14ac:dyDescent="0.25">
      <c r="Q267" s="336"/>
    </row>
    <row r="268" spans="17:17" x14ac:dyDescent="0.25">
      <c r="Q268" s="336"/>
    </row>
    <row r="269" spans="17:17" x14ac:dyDescent="0.25">
      <c r="Q269" s="336"/>
    </row>
    <row r="270" spans="17:17" x14ac:dyDescent="0.25">
      <c r="Q270" s="336"/>
    </row>
    <row r="271" spans="17:17" x14ac:dyDescent="0.25">
      <c r="Q271" s="336"/>
    </row>
    <row r="272" spans="17:17" x14ac:dyDescent="0.25">
      <c r="Q272" s="336"/>
    </row>
    <row r="273" spans="17:17" x14ac:dyDescent="0.25">
      <c r="Q273" s="336"/>
    </row>
    <row r="274" spans="17:17" x14ac:dyDescent="0.25">
      <c r="Q274" s="336"/>
    </row>
    <row r="275" spans="17:17" x14ac:dyDescent="0.25">
      <c r="Q275" s="336"/>
    </row>
    <row r="276" spans="17:17" x14ac:dyDescent="0.25">
      <c r="Q276" s="336"/>
    </row>
    <row r="277" spans="17:17" x14ac:dyDescent="0.25">
      <c r="Q277" s="336"/>
    </row>
    <row r="278" spans="17:17" x14ac:dyDescent="0.25">
      <c r="Q278" s="336"/>
    </row>
    <row r="279" spans="17:17" x14ac:dyDescent="0.25">
      <c r="Q279" s="336"/>
    </row>
    <row r="280" spans="17:17" x14ac:dyDescent="0.25">
      <c r="Q280" s="336"/>
    </row>
    <row r="281" spans="17:17" x14ac:dyDescent="0.25">
      <c r="Q281" s="336"/>
    </row>
    <row r="282" spans="17:17" x14ac:dyDescent="0.25">
      <c r="Q282" s="336"/>
    </row>
    <row r="283" spans="17:17" x14ac:dyDescent="0.25">
      <c r="Q283" s="336"/>
    </row>
    <row r="284" spans="17:17" x14ac:dyDescent="0.25">
      <c r="Q284" s="336"/>
    </row>
    <row r="285" spans="17:17" x14ac:dyDescent="0.25">
      <c r="Q285" s="336"/>
    </row>
    <row r="286" spans="17:17" x14ac:dyDescent="0.25">
      <c r="Q286" s="336"/>
    </row>
    <row r="287" spans="17:17" x14ac:dyDescent="0.25">
      <c r="Q287" s="336"/>
    </row>
    <row r="288" spans="17:17" x14ac:dyDescent="0.25">
      <c r="Q288" s="336"/>
    </row>
    <row r="289" spans="17:17" x14ac:dyDescent="0.25">
      <c r="Q289" s="336"/>
    </row>
    <row r="290" spans="17:17" x14ac:dyDescent="0.25">
      <c r="Q290" s="336"/>
    </row>
    <row r="291" spans="17:17" x14ac:dyDescent="0.25">
      <c r="Q291" s="336"/>
    </row>
    <row r="292" spans="17:17" x14ac:dyDescent="0.25">
      <c r="Q292" s="336"/>
    </row>
    <row r="293" spans="17:17" x14ac:dyDescent="0.25">
      <c r="Q293" s="336"/>
    </row>
    <row r="294" spans="17:17" x14ac:dyDescent="0.25">
      <c r="Q294" s="336"/>
    </row>
    <row r="295" spans="17:17" x14ac:dyDescent="0.25">
      <c r="Q295" s="336"/>
    </row>
    <row r="296" spans="17:17" x14ac:dyDescent="0.25">
      <c r="Q296" s="336"/>
    </row>
    <row r="297" spans="17:17" x14ac:dyDescent="0.25">
      <c r="Q297" s="336"/>
    </row>
    <row r="298" spans="17:17" x14ac:dyDescent="0.25">
      <c r="Q298" s="336"/>
    </row>
    <row r="299" spans="17:17" x14ac:dyDescent="0.25">
      <c r="Q299" s="336"/>
    </row>
    <row r="300" spans="17:17" x14ac:dyDescent="0.25">
      <c r="Q300" s="336"/>
    </row>
    <row r="301" spans="17:17" x14ac:dyDescent="0.25">
      <c r="Q301" s="336"/>
    </row>
    <row r="302" spans="17:17" x14ac:dyDescent="0.25">
      <c r="Q302" s="336"/>
    </row>
    <row r="303" spans="17:17" x14ac:dyDescent="0.25">
      <c r="Q303" s="336"/>
    </row>
    <row r="304" spans="17:17" x14ac:dyDescent="0.25">
      <c r="Q304" s="336"/>
    </row>
    <row r="305" spans="17:17" x14ac:dyDescent="0.25">
      <c r="Q305" s="336"/>
    </row>
    <row r="306" spans="17:17" x14ac:dyDescent="0.25">
      <c r="Q306" s="336"/>
    </row>
    <row r="307" spans="17:17" x14ac:dyDescent="0.25">
      <c r="Q307" s="336"/>
    </row>
    <row r="308" spans="17:17" x14ac:dyDescent="0.25">
      <c r="Q308" s="336"/>
    </row>
    <row r="309" spans="17:17" x14ac:dyDescent="0.25">
      <c r="Q309" s="336"/>
    </row>
    <row r="310" spans="17:17" x14ac:dyDescent="0.25">
      <c r="Q310" s="336"/>
    </row>
    <row r="311" spans="17:17" x14ac:dyDescent="0.25">
      <c r="Q311" s="336"/>
    </row>
    <row r="312" spans="17:17" x14ac:dyDescent="0.25">
      <c r="Q312" s="336"/>
    </row>
    <row r="313" spans="17:17" x14ac:dyDescent="0.25">
      <c r="Q313" s="336"/>
    </row>
    <row r="314" spans="17:17" x14ac:dyDescent="0.25">
      <c r="Q314" s="336"/>
    </row>
    <row r="315" spans="17:17" x14ac:dyDescent="0.25">
      <c r="Q315" s="336"/>
    </row>
    <row r="316" spans="17:17" x14ac:dyDescent="0.25">
      <c r="Q316" s="336"/>
    </row>
    <row r="317" spans="17:17" x14ac:dyDescent="0.25">
      <c r="Q317" s="336"/>
    </row>
    <row r="318" spans="17:17" x14ac:dyDescent="0.25">
      <c r="Q318" s="336"/>
    </row>
    <row r="319" spans="17:17" x14ac:dyDescent="0.25">
      <c r="Q319" s="336"/>
    </row>
    <row r="320" spans="17:17" x14ac:dyDescent="0.25">
      <c r="Q320" s="336"/>
    </row>
    <row r="321" spans="17:17" x14ac:dyDescent="0.25">
      <c r="Q321" s="336"/>
    </row>
    <row r="322" spans="17:17" x14ac:dyDescent="0.25">
      <c r="Q322" s="336"/>
    </row>
    <row r="323" spans="17:17" x14ac:dyDescent="0.25">
      <c r="Q323" s="336"/>
    </row>
    <row r="324" spans="17:17" x14ac:dyDescent="0.25">
      <c r="Q324" s="336"/>
    </row>
    <row r="325" spans="17:17" x14ac:dyDescent="0.25">
      <c r="Q325" s="336"/>
    </row>
    <row r="326" spans="17:17" x14ac:dyDescent="0.25">
      <c r="Q326" s="336"/>
    </row>
    <row r="327" spans="17:17" x14ac:dyDescent="0.25">
      <c r="Q327" s="336"/>
    </row>
    <row r="328" spans="17:17" x14ac:dyDescent="0.25">
      <c r="Q328" s="336"/>
    </row>
    <row r="329" spans="17:17" x14ac:dyDescent="0.25">
      <c r="Q329" s="336"/>
    </row>
    <row r="330" spans="17:17" x14ac:dyDescent="0.25">
      <c r="Q330" s="336"/>
    </row>
    <row r="331" spans="17:17" x14ac:dyDescent="0.25">
      <c r="Q331" s="336"/>
    </row>
    <row r="332" spans="17:17" x14ac:dyDescent="0.25">
      <c r="Q332" s="336"/>
    </row>
    <row r="333" spans="17:17" x14ac:dyDescent="0.25">
      <c r="Q333" s="336"/>
    </row>
    <row r="334" spans="17:17" x14ac:dyDescent="0.25">
      <c r="Q334" s="336"/>
    </row>
    <row r="335" spans="17:17" x14ac:dyDescent="0.25">
      <c r="Q335" s="336"/>
    </row>
    <row r="336" spans="17:17" x14ac:dyDescent="0.25">
      <c r="Q336" s="336"/>
    </row>
    <row r="337" spans="17:17" x14ac:dyDescent="0.25">
      <c r="Q337" s="336"/>
    </row>
    <row r="338" spans="17:17" x14ac:dyDescent="0.25">
      <c r="Q338" s="336"/>
    </row>
    <row r="339" spans="17:17" x14ac:dyDescent="0.25">
      <c r="Q339" s="336"/>
    </row>
    <row r="340" spans="17:17" x14ac:dyDescent="0.25">
      <c r="Q340" s="336"/>
    </row>
    <row r="341" spans="17:17" x14ac:dyDescent="0.25">
      <c r="Q341" s="336"/>
    </row>
    <row r="342" spans="17:17" x14ac:dyDescent="0.25">
      <c r="Q342" s="336"/>
    </row>
    <row r="343" spans="17:17" x14ac:dyDescent="0.25">
      <c r="Q343" s="336"/>
    </row>
    <row r="344" spans="17:17" x14ac:dyDescent="0.25">
      <c r="Q344" s="336"/>
    </row>
    <row r="345" spans="17:17" x14ac:dyDescent="0.25">
      <c r="Q345" s="336"/>
    </row>
    <row r="346" spans="17:17" x14ac:dyDescent="0.25">
      <c r="Q346" s="336"/>
    </row>
    <row r="347" spans="17:17" x14ac:dyDescent="0.25">
      <c r="Q347" s="336"/>
    </row>
    <row r="348" spans="17:17" x14ac:dyDescent="0.25">
      <c r="Q348" s="336"/>
    </row>
    <row r="349" spans="17:17" x14ac:dyDescent="0.25">
      <c r="Q349" s="336"/>
    </row>
    <row r="350" spans="17:17" x14ac:dyDescent="0.25">
      <c r="Q350" s="336"/>
    </row>
    <row r="351" spans="17:17" x14ac:dyDescent="0.25">
      <c r="Q351" s="336"/>
    </row>
    <row r="352" spans="17:17" x14ac:dyDescent="0.25">
      <c r="Q352" s="336"/>
    </row>
    <row r="353" spans="17:17" x14ac:dyDescent="0.25">
      <c r="Q353" s="336"/>
    </row>
    <row r="354" spans="17:17" x14ac:dyDescent="0.25">
      <c r="Q354" s="336"/>
    </row>
    <row r="355" spans="17:17" x14ac:dyDescent="0.25">
      <c r="Q355" s="336"/>
    </row>
    <row r="356" spans="17:17" x14ac:dyDescent="0.25">
      <c r="Q356" s="336"/>
    </row>
    <row r="357" spans="17:17" x14ac:dyDescent="0.25">
      <c r="Q357" s="336"/>
    </row>
    <row r="358" spans="17:17" x14ac:dyDescent="0.25">
      <c r="Q358" s="336"/>
    </row>
    <row r="359" spans="17:17" x14ac:dyDescent="0.25">
      <c r="Q359" s="336"/>
    </row>
    <row r="360" spans="17:17" x14ac:dyDescent="0.25">
      <c r="Q360" s="336"/>
    </row>
    <row r="361" spans="17:17" x14ac:dyDescent="0.25">
      <c r="Q361" s="336"/>
    </row>
    <row r="362" spans="17:17" x14ac:dyDescent="0.25">
      <c r="Q362" s="336"/>
    </row>
    <row r="363" spans="17:17" x14ac:dyDescent="0.25">
      <c r="Q363" s="336"/>
    </row>
    <row r="364" spans="17:17" x14ac:dyDescent="0.25">
      <c r="Q364" s="336"/>
    </row>
    <row r="365" spans="17:17" x14ac:dyDescent="0.25">
      <c r="Q365" s="336"/>
    </row>
    <row r="366" spans="17:17" x14ac:dyDescent="0.25">
      <c r="Q366" s="336"/>
    </row>
    <row r="367" spans="17:17" x14ac:dyDescent="0.25">
      <c r="Q367" s="336"/>
    </row>
    <row r="368" spans="17:17" x14ac:dyDescent="0.25">
      <c r="Q368" s="336"/>
    </row>
    <row r="369" spans="17:17" x14ac:dyDescent="0.25">
      <c r="Q369" s="336"/>
    </row>
    <row r="370" spans="17:17" x14ac:dyDescent="0.25">
      <c r="Q370" s="336"/>
    </row>
    <row r="371" spans="17:17" x14ac:dyDescent="0.25">
      <c r="Q371" s="336"/>
    </row>
    <row r="372" spans="17:17" x14ac:dyDescent="0.25">
      <c r="Q372" s="336"/>
    </row>
    <row r="373" spans="17:17" x14ac:dyDescent="0.25">
      <c r="Q373" s="336"/>
    </row>
    <row r="374" spans="17:17" x14ac:dyDescent="0.25">
      <c r="Q374" s="336"/>
    </row>
    <row r="375" spans="17:17" x14ac:dyDescent="0.25">
      <c r="Q375" s="336"/>
    </row>
    <row r="376" spans="17:17" x14ac:dyDescent="0.25">
      <c r="Q376" s="336"/>
    </row>
    <row r="377" spans="17:17" x14ac:dyDescent="0.25">
      <c r="Q377" s="336"/>
    </row>
    <row r="378" spans="17:17" x14ac:dyDescent="0.25">
      <c r="Q378" s="336"/>
    </row>
    <row r="379" spans="17:17" x14ac:dyDescent="0.25">
      <c r="Q379" s="336"/>
    </row>
    <row r="380" spans="17:17" x14ac:dyDescent="0.25">
      <c r="Q380" s="336"/>
    </row>
    <row r="381" spans="17:17" x14ac:dyDescent="0.25">
      <c r="Q381" s="336"/>
    </row>
    <row r="382" spans="17:17" x14ac:dyDescent="0.25">
      <c r="Q382" s="336"/>
    </row>
    <row r="383" spans="17:17" x14ac:dyDescent="0.25">
      <c r="Q383" s="336"/>
    </row>
    <row r="384" spans="17:17" x14ac:dyDescent="0.25">
      <c r="Q384" s="336"/>
    </row>
    <row r="385" spans="17:17" x14ac:dyDescent="0.25">
      <c r="Q385" s="336"/>
    </row>
    <row r="386" spans="17:17" x14ac:dyDescent="0.25">
      <c r="Q386" s="336"/>
    </row>
    <row r="387" spans="17:17" x14ac:dyDescent="0.25">
      <c r="Q387" s="336"/>
    </row>
    <row r="388" spans="17:17" x14ac:dyDescent="0.25">
      <c r="Q388" s="336"/>
    </row>
    <row r="389" spans="17:17" x14ac:dyDescent="0.25">
      <c r="Q389" s="336"/>
    </row>
    <row r="390" spans="17:17" x14ac:dyDescent="0.25">
      <c r="Q390" s="336"/>
    </row>
    <row r="391" spans="17:17" x14ac:dyDescent="0.25">
      <c r="Q391" s="336"/>
    </row>
    <row r="392" spans="17:17" x14ac:dyDescent="0.25">
      <c r="Q392" s="336"/>
    </row>
    <row r="393" spans="17:17" x14ac:dyDescent="0.25">
      <c r="Q393" s="336"/>
    </row>
    <row r="394" spans="17:17" x14ac:dyDescent="0.25">
      <c r="Q394" s="336"/>
    </row>
    <row r="395" spans="17:17" x14ac:dyDescent="0.25">
      <c r="Q395" s="336"/>
    </row>
    <row r="396" spans="17:17" x14ac:dyDescent="0.25">
      <c r="Q396" s="336"/>
    </row>
    <row r="397" spans="17:17" x14ac:dyDescent="0.25">
      <c r="Q397" s="336"/>
    </row>
    <row r="398" spans="17:17" x14ac:dyDescent="0.25">
      <c r="Q398" s="336"/>
    </row>
    <row r="399" spans="17:17" x14ac:dyDescent="0.25">
      <c r="Q399" s="336"/>
    </row>
    <row r="400" spans="17:17" x14ac:dyDescent="0.25">
      <c r="Q400" s="336"/>
    </row>
    <row r="401" spans="17:17" x14ac:dyDescent="0.25">
      <c r="Q401" s="336"/>
    </row>
    <row r="402" spans="17:17" x14ac:dyDescent="0.25">
      <c r="Q402" s="336"/>
    </row>
    <row r="403" spans="17:17" x14ac:dyDescent="0.25">
      <c r="Q403" s="336"/>
    </row>
    <row r="404" spans="17:17" x14ac:dyDescent="0.25">
      <c r="Q404" s="336"/>
    </row>
    <row r="405" spans="17:17" x14ac:dyDescent="0.25">
      <c r="Q405" s="336"/>
    </row>
    <row r="406" spans="17:17" x14ac:dyDescent="0.25">
      <c r="Q406" s="336"/>
    </row>
    <row r="407" spans="17:17" x14ac:dyDescent="0.25">
      <c r="Q407" s="336"/>
    </row>
    <row r="408" spans="17:17" x14ac:dyDescent="0.25">
      <c r="Q408" s="336"/>
    </row>
    <row r="409" spans="17:17" x14ac:dyDescent="0.25">
      <c r="Q409" s="336"/>
    </row>
    <row r="410" spans="17:17" x14ac:dyDescent="0.25">
      <c r="Q410" s="336"/>
    </row>
    <row r="411" spans="17:17" x14ac:dyDescent="0.25">
      <c r="Q411" s="336"/>
    </row>
    <row r="412" spans="17:17" x14ac:dyDescent="0.25">
      <c r="Q412" s="336"/>
    </row>
    <row r="413" spans="17:17" x14ac:dyDescent="0.25">
      <c r="Q413" s="336"/>
    </row>
    <row r="414" spans="17:17" x14ac:dyDescent="0.25">
      <c r="Q414" s="336"/>
    </row>
    <row r="415" spans="17:17" x14ac:dyDescent="0.25">
      <c r="Q415" s="336"/>
    </row>
    <row r="416" spans="17:17" x14ac:dyDescent="0.25">
      <c r="Q416" s="336"/>
    </row>
    <row r="417" spans="17:17" x14ac:dyDescent="0.25">
      <c r="Q417" s="336"/>
    </row>
    <row r="418" spans="17:17" x14ac:dyDescent="0.25">
      <c r="Q418" s="336"/>
    </row>
    <row r="419" spans="17:17" x14ac:dyDescent="0.25">
      <c r="Q419" s="336"/>
    </row>
    <row r="420" spans="17:17" x14ac:dyDescent="0.25">
      <c r="Q420" s="336"/>
    </row>
    <row r="421" spans="17:17" x14ac:dyDescent="0.25">
      <c r="Q421" s="336"/>
    </row>
    <row r="422" spans="17:17" x14ac:dyDescent="0.25">
      <c r="Q422" s="336"/>
    </row>
    <row r="423" spans="17:17" x14ac:dyDescent="0.25">
      <c r="Q423" s="336"/>
    </row>
    <row r="424" spans="17:17" x14ac:dyDescent="0.25">
      <c r="Q424" s="336"/>
    </row>
    <row r="425" spans="17:17" x14ac:dyDescent="0.25">
      <c r="Q425" s="336"/>
    </row>
    <row r="426" spans="17:17" x14ac:dyDescent="0.25">
      <c r="Q426" s="336"/>
    </row>
    <row r="427" spans="17:17" x14ac:dyDescent="0.25">
      <c r="Q427" s="336"/>
    </row>
    <row r="428" spans="17:17" x14ac:dyDescent="0.25">
      <c r="Q428" s="336"/>
    </row>
  </sheetData>
  <sheetProtection algorithmName="SHA-512" hashValue="YnoO2EncEEtV/gJriQUjm5Iz4KiwaLdI+PByt5RAowyjs4Sw6SvilQSq0e8Ed/30BFqcF4lMoXdec7DHNoVMxw==" saltValue="K5oJbY2n+ueRaCMFRwYOww==" spinCount="100000" sheet="1" scenarios="1" formatCells="0" formatColumns="0" formatRows="0" insertColumns="0" insertRows="0" insertHyperlinks="0" deleteColumns="0" deleteRows="0" autoFilter="0" pivotTables="0"/>
  <conditionalFormatting sqref="D4:D19">
    <cfRule type="expression" dxfId="1" priority="2">
      <formula>F4=""</formula>
    </cfRule>
  </conditionalFormatting>
  <conditionalFormatting sqref="Q4:Q428">
    <cfRule type="top10" dxfId="0" priority="1" rank="1"/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1E439-BD0D-4A55-A50E-2237820D172D}">
  <dimension ref="B1:AB1149"/>
  <sheetViews>
    <sheetView showGridLines="0" zoomScale="85" zoomScaleNormal="85" workbookViewId="0">
      <selection activeCell="I31" sqref="I31"/>
    </sheetView>
  </sheetViews>
  <sheetFormatPr baseColWidth="10" defaultColWidth="13.85546875" defaultRowHeight="15" x14ac:dyDescent="0.25"/>
  <cols>
    <col min="1" max="1" width="2.85546875" style="8" customWidth="1"/>
    <col min="2" max="2" width="12.28515625" style="8" customWidth="1"/>
    <col min="3" max="3" width="25.140625" style="8" customWidth="1"/>
    <col min="4" max="11" width="18.7109375" style="8" customWidth="1"/>
    <col min="12" max="12" width="16.140625" style="8" customWidth="1"/>
    <col min="13" max="27" width="12.42578125" style="8" customWidth="1"/>
    <col min="28" max="16384" width="13.85546875" style="8"/>
  </cols>
  <sheetData>
    <row r="1" spans="2:27" ht="18.75" x14ac:dyDescent="0.25">
      <c r="B1" s="472" t="s">
        <v>347</v>
      </c>
      <c r="C1" s="472"/>
      <c r="D1" s="472"/>
      <c r="E1" s="472"/>
      <c r="F1" s="472"/>
      <c r="G1" s="472"/>
      <c r="H1" s="472"/>
      <c r="I1" s="105"/>
      <c r="J1" s="105"/>
      <c r="K1" s="14"/>
      <c r="L1" s="9"/>
      <c r="M1" s="9"/>
      <c r="N1" s="9"/>
      <c r="O1" s="9"/>
      <c r="P1" s="9"/>
      <c r="Q1" s="9"/>
      <c r="R1" s="9" t="s">
        <v>348</v>
      </c>
      <c r="S1" s="9"/>
      <c r="T1" s="9"/>
      <c r="U1" s="9"/>
      <c r="V1" s="9"/>
      <c r="W1" s="9"/>
      <c r="X1" s="9"/>
      <c r="Y1" s="9"/>
      <c r="Z1" s="9"/>
    </row>
    <row r="2" spans="2:27" x14ac:dyDescent="0.25"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2:27" x14ac:dyDescent="0.25">
      <c r="B3" s="6" t="s">
        <v>349</v>
      </c>
      <c r="C3" s="7" t="s">
        <v>350</v>
      </c>
      <c r="E3" s="9"/>
      <c r="F3" s="15">
        <v>2025</v>
      </c>
      <c r="G3" s="15">
        <f>+F3+1</f>
        <v>2026</v>
      </c>
      <c r="H3" s="15">
        <f>+G3+1</f>
        <v>2027</v>
      </c>
      <c r="I3" s="15">
        <f>+H3+1</f>
        <v>2028</v>
      </c>
      <c r="J3" s="15">
        <f>+I3+1</f>
        <v>2029</v>
      </c>
      <c r="K3" s="16" t="s">
        <v>351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2:27" x14ac:dyDescent="0.25">
      <c r="B4" s="6"/>
      <c r="C4" s="7"/>
      <c r="E4" s="30" t="s">
        <v>352</v>
      </c>
      <c r="F4" s="17">
        <v>0.09</v>
      </c>
      <c r="G4" s="17">
        <f>+F4</f>
        <v>0.09</v>
      </c>
      <c r="H4" s="17">
        <f>+G4</f>
        <v>0.09</v>
      </c>
      <c r="I4" s="17">
        <f>+H4</f>
        <v>0.09</v>
      </c>
      <c r="J4" s="17">
        <f>+I4</f>
        <v>0.09</v>
      </c>
      <c r="K4" s="18">
        <f>AVERAGE(F4:J4)</f>
        <v>0.09</v>
      </c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2:27" x14ac:dyDescent="0.25">
      <c r="B5" s="6" t="s">
        <v>353</v>
      </c>
      <c r="C5" s="10">
        <v>1200000</v>
      </c>
      <c r="E5" s="30" t="s">
        <v>354</v>
      </c>
      <c r="F5" s="19">
        <v>1.2E-2</v>
      </c>
      <c r="G5" s="19">
        <f>+F5</f>
        <v>1.2E-2</v>
      </c>
      <c r="H5" s="19">
        <f t="shared" ref="H5:J5" si="0">+G5</f>
        <v>1.2E-2</v>
      </c>
      <c r="I5" s="19">
        <f t="shared" si="0"/>
        <v>1.2E-2</v>
      </c>
      <c r="J5" s="19">
        <f t="shared" si="0"/>
        <v>1.2E-2</v>
      </c>
      <c r="K5" s="20">
        <f>AVERAGE(F5:J5)</f>
        <v>1.2E-2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2:27" x14ac:dyDescent="0.25">
      <c r="B6" s="6" t="s">
        <v>355</v>
      </c>
      <c r="C6" s="11">
        <v>5</v>
      </c>
      <c r="E6" s="21" t="s">
        <v>238</v>
      </c>
      <c r="F6" s="23">
        <f t="shared" ref="F6:K6" si="1">F4+F5+F4*F5</f>
        <v>0.10307999999999999</v>
      </c>
      <c r="G6" s="23">
        <f t="shared" si="1"/>
        <v>0.10307999999999999</v>
      </c>
      <c r="H6" s="23">
        <f t="shared" si="1"/>
        <v>0.10307999999999999</v>
      </c>
      <c r="I6" s="23">
        <f t="shared" si="1"/>
        <v>0.10307999999999999</v>
      </c>
      <c r="J6" s="23">
        <f t="shared" si="1"/>
        <v>0.10307999999999999</v>
      </c>
      <c r="K6" s="24">
        <f t="shared" si="1"/>
        <v>0.10307999999999999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2:27" x14ac:dyDescent="0.25">
      <c r="B7" s="6"/>
      <c r="C7" s="11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2:27" ht="18.75" x14ac:dyDescent="0.25">
      <c r="B8" s="472" t="s">
        <v>356</v>
      </c>
      <c r="C8" s="472"/>
      <c r="D8" s="472"/>
      <c r="E8" s="472"/>
      <c r="F8" s="472"/>
      <c r="G8" s="472"/>
      <c r="H8" s="472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2:27" ht="4.5" customHeight="1" thickBot="1" x14ac:dyDescent="0.3">
      <c r="B9" s="9"/>
      <c r="C9" s="13"/>
      <c r="E9" s="9"/>
      <c r="F9" s="12"/>
      <c r="G9" s="5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2:27" x14ac:dyDescent="0.25">
      <c r="B10" s="479" t="s">
        <v>44</v>
      </c>
      <c r="C10" s="479"/>
      <c r="D10" s="488" t="s">
        <v>11</v>
      </c>
      <c r="E10" s="479"/>
      <c r="F10" s="489"/>
      <c r="G10" s="479" t="s">
        <v>357</v>
      </c>
      <c r="H10" s="47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2:27" ht="15.75" thickBot="1" x14ac:dyDescent="0.3">
      <c r="B11" s="480"/>
      <c r="C11" s="480"/>
      <c r="D11" s="154" t="s">
        <v>358</v>
      </c>
      <c r="E11" s="109" t="s">
        <v>359</v>
      </c>
      <c r="F11" s="153" t="s">
        <v>360</v>
      </c>
      <c r="G11" s="109" t="s">
        <v>358</v>
      </c>
      <c r="H11" s="109" t="s">
        <v>360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2:27" x14ac:dyDescent="0.25">
      <c r="B12" s="110" t="s">
        <v>361</v>
      </c>
      <c r="C12" s="151" t="s">
        <v>362</v>
      </c>
      <c r="D12" s="155">
        <f>70*24</f>
        <v>1680</v>
      </c>
      <c r="E12" s="157">
        <v>4000</v>
      </c>
      <c r="F12" s="158">
        <f>+D12*E12</f>
        <v>6720000</v>
      </c>
      <c r="G12" s="106">
        <f>+D12*12</f>
        <v>20160</v>
      </c>
      <c r="H12" s="157">
        <f>+G12*E12</f>
        <v>80640000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2:27" x14ac:dyDescent="0.25">
      <c r="B13" s="110" t="s">
        <v>363</v>
      </c>
      <c r="C13" s="152" t="s">
        <v>364</v>
      </c>
      <c r="D13" s="155">
        <f>50*24</f>
        <v>1200</v>
      </c>
      <c r="E13" s="157">
        <v>3500</v>
      </c>
      <c r="F13" s="158">
        <f t="shared" ref="F13:F20" si="2">+D13*E13</f>
        <v>4200000</v>
      </c>
      <c r="G13" s="106">
        <f t="shared" ref="G13:G20" si="3">+D13*12</f>
        <v>14400</v>
      </c>
      <c r="H13" s="157">
        <f t="shared" ref="H13:H20" si="4">+G13*E13</f>
        <v>50400000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2:27" x14ac:dyDescent="0.25">
      <c r="B14" s="110" t="s">
        <v>365</v>
      </c>
      <c r="C14" s="133" t="s">
        <v>55</v>
      </c>
      <c r="D14" s="155">
        <f>5*24</f>
        <v>120</v>
      </c>
      <c r="E14" s="157">
        <v>2000</v>
      </c>
      <c r="F14" s="158">
        <f t="shared" si="2"/>
        <v>240000</v>
      </c>
      <c r="G14" s="106">
        <f t="shared" si="3"/>
        <v>1440</v>
      </c>
      <c r="H14" s="157">
        <f t="shared" si="4"/>
        <v>2880000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2:27" x14ac:dyDescent="0.25">
      <c r="B15" s="110" t="s">
        <v>366</v>
      </c>
      <c r="C15" s="133" t="s">
        <v>56</v>
      </c>
      <c r="D15" s="155">
        <f>5*24</f>
        <v>120</v>
      </c>
      <c r="E15" s="157">
        <v>3500</v>
      </c>
      <c r="F15" s="158">
        <f t="shared" si="2"/>
        <v>420000</v>
      </c>
      <c r="G15" s="106">
        <f t="shared" si="3"/>
        <v>1440</v>
      </c>
      <c r="H15" s="157">
        <f t="shared" si="4"/>
        <v>5040000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2:27" x14ac:dyDescent="0.25">
      <c r="B16" s="110" t="s">
        <v>367</v>
      </c>
      <c r="C16" s="133" t="s">
        <v>368</v>
      </c>
      <c r="D16" s="155">
        <f>10*24</f>
        <v>240</v>
      </c>
      <c r="E16" s="157">
        <v>5500</v>
      </c>
      <c r="F16" s="158">
        <f t="shared" si="2"/>
        <v>1320000</v>
      </c>
      <c r="G16" s="106">
        <f t="shared" si="3"/>
        <v>2880</v>
      </c>
      <c r="H16" s="157">
        <f t="shared" si="4"/>
        <v>15840000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2:27" x14ac:dyDescent="0.25">
      <c r="B17" s="110" t="s">
        <v>369</v>
      </c>
      <c r="C17" s="133" t="s">
        <v>370</v>
      </c>
      <c r="D17" s="155">
        <f>10*24</f>
        <v>240</v>
      </c>
      <c r="E17" s="157">
        <v>6000</v>
      </c>
      <c r="F17" s="158">
        <f t="shared" si="2"/>
        <v>1440000</v>
      </c>
      <c r="G17" s="106">
        <f t="shared" si="3"/>
        <v>2880</v>
      </c>
      <c r="H17" s="157">
        <f t="shared" si="4"/>
        <v>17280000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2:27" x14ac:dyDescent="0.25">
      <c r="B18" s="110" t="s">
        <v>371</v>
      </c>
      <c r="C18" s="133" t="s">
        <v>372</v>
      </c>
      <c r="D18" s="155">
        <f>8*24</f>
        <v>192</v>
      </c>
      <c r="E18" s="157">
        <v>5000</v>
      </c>
      <c r="F18" s="158">
        <f t="shared" si="2"/>
        <v>960000</v>
      </c>
      <c r="G18" s="106">
        <f t="shared" si="3"/>
        <v>2304</v>
      </c>
      <c r="H18" s="157">
        <f t="shared" si="4"/>
        <v>11520000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2:27" x14ac:dyDescent="0.25">
      <c r="B19" s="110" t="s">
        <v>373</v>
      </c>
      <c r="C19" s="133" t="s">
        <v>374</v>
      </c>
      <c r="D19" s="155">
        <f>8*24</f>
        <v>192</v>
      </c>
      <c r="E19" s="157">
        <v>4000</v>
      </c>
      <c r="F19" s="158">
        <f t="shared" si="2"/>
        <v>768000</v>
      </c>
      <c r="G19" s="106">
        <f t="shared" si="3"/>
        <v>2304</v>
      </c>
      <c r="H19" s="157">
        <f t="shared" si="4"/>
        <v>9216000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2:27" x14ac:dyDescent="0.25">
      <c r="B20" s="110" t="s">
        <v>375</v>
      </c>
      <c r="C20" s="133" t="s">
        <v>376</v>
      </c>
      <c r="D20" s="155">
        <f>8*24</f>
        <v>192</v>
      </c>
      <c r="E20" s="157">
        <v>4000</v>
      </c>
      <c r="F20" s="158">
        <f t="shared" si="2"/>
        <v>768000</v>
      </c>
      <c r="G20" s="106">
        <f t="shared" si="3"/>
        <v>2304</v>
      </c>
      <c r="H20" s="157">
        <f t="shared" si="4"/>
        <v>9216000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2:27" ht="15.75" thickBot="1" x14ac:dyDescent="0.3">
      <c r="B21" s="112" t="s">
        <v>377</v>
      </c>
      <c r="C21" s="134"/>
      <c r="D21" s="156"/>
      <c r="E21" s="159"/>
      <c r="F21" s="160"/>
      <c r="G21" s="114"/>
      <c r="H21" s="15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2:27" ht="4.5" customHeight="1" x14ac:dyDescent="0.25">
      <c r="B22" s="9"/>
      <c r="C22" s="13"/>
      <c r="E22" s="9"/>
      <c r="F22" s="12"/>
      <c r="G22" s="5"/>
      <c r="H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2:27" ht="18.75" x14ac:dyDescent="0.25">
      <c r="B23" s="472" t="s">
        <v>378</v>
      </c>
      <c r="C23" s="472"/>
      <c r="D23" s="472"/>
      <c r="E23" s="472"/>
      <c r="F23" s="472"/>
      <c r="G23" s="472"/>
      <c r="H23" s="472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2:27" ht="4.5" customHeight="1" x14ac:dyDescent="0.25">
      <c r="B24" s="107"/>
      <c r="C24" s="107"/>
      <c r="D24" s="107"/>
      <c r="E24" s="107"/>
      <c r="F24" s="107"/>
      <c r="G24" s="107"/>
      <c r="H24" s="107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2:27" ht="17.45" customHeight="1" x14ac:dyDescent="0.25">
      <c r="B25" s="466" t="s">
        <v>379</v>
      </c>
      <c r="C25" s="467"/>
      <c r="D25" s="467"/>
      <c r="E25" s="467"/>
      <c r="F25" s="467"/>
      <c r="G25" s="467"/>
      <c r="H25" s="467"/>
      <c r="I25" s="467"/>
      <c r="J25" s="468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2:27" ht="17.45" customHeight="1" x14ac:dyDescent="0.25">
      <c r="B26" s="469"/>
      <c r="C26" s="470"/>
      <c r="D26" s="470"/>
      <c r="E26" s="470"/>
      <c r="F26" s="470"/>
      <c r="G26" s="470"/>
      <c r="H26" s="470"/>
      <c r="I26" s="470"/>
      <c r="J26" s="471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2:27" ht="4.5" customHeight="1" x14ac:dyDescent="0.25">
      <c r="B27" s="9"/>
      <c r="C27" s="13"/>
      <c r="E27" s="9"/>
      <c r="F27" s="12"/>
      <c r="G27" s="5"/>
      <c r="H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2:27" x14ac:dyDescent="0.25">
      <c r="C28" s="142" t="s">
        <v>380</v>
      </c>
      <c r="E28" s="9"/>
      <c r="F28" s="12"/>
      <c r="G28" s="5"/>
      <c r="H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2:27" ht="2.4500000000000002" customHeight="1" thickBot="1" x14ac:dyDescent="0.3">
      <c r="B29" s="9"/>
      <c r="C29" s="13"/>
      <c r="E29" s="9"/>
      <c r="F29" s="12"/>
      <c r="G29" s="5"/>
      <c r="H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2:27" x14ac:dyDescent="0.25">
      <c r="B30" s="9"/>
      <c r="C30" s="481" t="s">
        <v>381</v>
      </c>
      <c r="D30" s="479" t="s">
        <v>382</v>
      </c>
      <c r="E30" s="479"/>
      <c r="F30" s="479"/>
      <c r="G30" s="479"/>
      <c r="H30" s="479"/>
      <c r="I30" s="47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2:27" ht="15.75" thickBot="1" x14ac:dyDescent="0.3">
      <c r="B31" s="9"/>
      <c r="C31" s="491"/>
      <c r="D31" s="109" t="s">
        <v>383</v>
      </c>
      <c r="E31" s="109" t="s">
        <v>384</v>
      </c>
      <c r="F31" s="109" t="s">
        <v>385</v>
      </c>
      <c r="G31" s="109" t="s">
        <v>386</v>
      </c>
      <c r="H31" s="109" t="s">
        <v>387</v>
      </c>
      <c r="I31" s="109" t="s">
        <v>388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2:27" x14ac:dyDescent="0.25">
      <c r="B32" s="9"/>
      <c r="C32" s="13" t="s">
        <v>389</v>
      </c>
      <c r="D32" s="111">
        <v>836000</v>
      </c>
      <c r="E32" s="118">
        <v>792000</v>
      </c>
      <c r="F32" s="118">
        <v>1003000</v>
      </c>
      <c r="G32" s="118">
        <v>1187000</v>
      </c>
      <c r="H32" s="118">
        <v>323000</v>
      </c>
      <c r="I32" s="111">
        <v>1310000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2:28" ht="15.75" thickBot="1" x14ac:dyDescent="0.3">
      <c r="B33" s="9"/>
      <c r="C33" s="113" t="s">
        <v>390</v>
      </c>
      <c r="D33" s="115">
        <f>+D32*12</f>
        <v>10032000</v>
      </c>
      <c r="E33" s="119">
        <f t="shared" ref="E33:I33" si="5">+E32*12</f>
        <v>9504000</v>
      </c>
      <c r="F33" s="119">
        <f t="shared" si="5"/>
        <v>12036000</v>
      </c>
      <c r="G33" s="119">
        <f t="shared" si="5"/>
        <v>14244000</v>
      </c>
      <c r="H33" s="119">
        <f t="shared" si="5"/>
        <v>3876000</v>
      </c>
      <c r="I33" s="115">
        <f t="shared" si="5"/>
        <v>15720000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2:28" ht="15.75" thickBot="1" x14ac:dyDescent="0.3">
      <c r="B34" s="9"/>
      <c r="C34" s="13"/>
      <c r="E34" s="9"/>
      <c r="F34" s="12"/>
      <c r="G34" s="5"/>
      <c r="H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2:28" x14ac:dyDescent="0.25">
      <c r="B35" s="479" t="str">
        <f>+C12</f>
        <v>Dona con relleno</v>
      </c>
      <c r="C35" s="479"/>
      <c r="D35" s="479" t="s">
        <v>382</v>
      </c>
      <c r="E35" s="479"/>
      <c r="F35" s="479"/>
      <c r="G35" s="479"/>
      <c r="H35" s="479"/>
      <c r="I35" s="47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2:28" ht="15.75" thickBot="1" x14ac:dyDescent="0.3">
      <c r="B36" s="480"/>
      <c r="C36" s="480"/>
      <c r="D36" s="109" t="s">
        <v>383</v>
      </c>
      <c r="E36" s="109" t="s">
        <v>384</v>
      </c>
      <c r="F36" s="109" t="s">
        <v>385</v>
      </c>
      <c r="G36" s="109" t="s">
        <v>386</v>
      </c>
      <c r="H36" s="109" t="s">
        <v>387</v>
      </c>
      <c r="I36" s="109" t="s">
        <v>388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2:28" x14ac:dyDescent="0.25">
      <c r="B37" s="482" t="s">
        <v>389</v>
      </c>
      <c r="C37" s="483"/>
      <c r="D37" s="143">
        <f>+$D$32</f>
        <v>836000</v>
      </c>
      <c r="E37" s="143">
        <f>+$E$32</f>
        <v>792000</v>
      </c>
      <c r="F37" s="143">
        <f>+$F$32</f>
        <v>1003000</v>
      </c>
      <c r="G37" s="143">
        <f>+$G$32</f>
        <v>1187000</v>
      </c>
      <c r="H37" s="143">
        <f>+$H$32</f>
        <v>323000</v>
      </c>
      <c r="I37" s="143">
        <f>+$I$32</f>
        <v>1310000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2:28" x14ac:dyDescent="0.25">
      <c r="B38" s="477" t="s">
        <v>391</v>
      </c>
      <c r="C38" s="477"/>
      <c r="D38" s="117">
        <v>0.49</v>
      </c>
      <c r="E38" s="117">
        <f>+D38</f>
        <v>0.49</v>
      </c>
      <c r="F38" s="117">
        <f t="shared" ref="F38:I38" si="6">+E38</f>
        <v>0.49</v>
      </c>
      <c r="G38" s="117">
        <f t="shared" si="6"/>
        <v>0.49</v>
      </c>
      <c r="H38" s="117">
        <f t="shared" si="6"/>
        <v>0.49</v>
      </c>
      <c r="I38" s="117">
        <f t="shared" si="6"/>
        <v>0.49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2:28" x14ac:dyDescent="0.25">
      <c r="B39" s="477" t="s">
        <v>392</v>
      </c>
      <c r="C39" s="477"/>
      <c r="D39" s="150">
        <v>110</v>
      </c>
      <c r="E39" s="150">
        <v>110</v>
      </c>
      <c r="F39" s="150">
        <v>110</v>
      </c>
      <c r="G39" s="150">
        <v>200</v>
      </c>
      <c r="H39" s="150">
        <v>200</v>
      </c>
      <c r="I39" s="150">
        <v>200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2:28" ht="15.75" thickBot="1" x14ac:dyDescent="0.3">
      <c r="B40" s="478" t="s">
        <v>393</v>
      </c>
      <c r="C40" s="478"/>
      <c r="D40" s="144">
        <f>+(D37*D38)/D39</f>
        <v>3724</v>
      </c>
      <c r="E40" s="144">
        <f t="shared" ref="E40:I40" si="7">+(E37*E38)/E39</f>
        <v>3528</v>
      </c>
      <c r="F40" s="144">
        <f t="shared" si="7"/>
        <v>4467.909090909091</v>
      </c>
      <c r="G40" s="144">
        <f t="shared" si="7"/>
        <v>2908.15</v>
      </c>
      <c r="H40" s="144">
        <f t="shared" si="7"/>
        <v>791.35</v>
      </c>
      <c r="I40" s="144">
        <f t="shared" si="7"/>
        <v>3209.5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2:28" ht="15.75" thickBot="1" x14ac:dyDescent="0.3">
      <c r="B41" s="52"/>
      <c r="C41" s="52"/>
      <c r="D41" s="117"/>
      <c r="E41" s="117"/>
      <c r="F41" s="117"/>
      <c r="G41" s="117"/>
      <c r="H41" s="117"/>
      <c r="I41" s="117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2:28" x14ac:dyDescent="0.25">
      <c r="B42" s="481" t="str">
        <f>C13</f>
        <v xml:space="preserve">Dona sin relleno </v>
      </c>
      <c r="C42" s="479"/>
      <c r="D42" s="479" t="s">
        <v>382</v>
      </c>
      <c r="E42" s="479"/>
      <c r="F42" s="479"/>
      <c r="G42" s="479"/>
      <c r="H42" s="479"/>
      <c r="I42" s="479"/>
      <c r="J42" s="117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2:28" ht="15.75" thickBot="1" x14ac:dyDescent="0.3">
      <c r="B43" s="480"/>
      <c r="C43" s="480"/>
      <c r="D43" s="109" t="s">
        <v>383</v>
      </c>
      <c r="E43" s="109" t="s">
        <v>384</v>
      </c>
      <c r="F43" s="109" t="s">
        <v>385</v>
      </c>
      <c r="G43" s="109" t="s">
        <v>386</v>
      </c>
      <c r="H43" s="109" t="s">
        <v>387</v>
      </c>
      <c r="I43" s="109" t="s">
        <v>388</v>
      </c>
      <c r="J43" s="117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2:28" x14ac:dyDescent="0.25">
      <c r="B44" s="482" t="s">
        <v>389</v>
      </c>
      <c r="C44" s="483"/>
      <c r="D44" s="143">
        <f>+$D$32</f>
        <v>836000</v>
      </c>
      <c r="E44" s="143">
        <f>+$E$32</f>
        <v>792000</v>
      </c>
      <c r="F44" s="143">
        <f>+$F$32</f>
        <v>1003000</v>
      </c>
      <c r="G44" s="143">
        <f>+$G$32</f>
        <v>1187000</v>
      </c>
      <c r="H44" s="143">
        <f>+$H$32</f>
        <v>323000</v>
      </c>
      <c r="I44" s="143">
        <f>+$I$32</f>
        <v>1310000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2:28" x14ac:dyDescent="0.25">
      <c r="B45" s="477" t="s">
        <v>391</v>
      </c>
      <c r="C45" s="477"/>
      <c r="D45" s="117">
        <v>0.02</v>
      </c>
      <c r="E45" s="117">
        <f t="shared" ref="E45:I101" si="8">+D45</f>
        <v>0.02</v>
      </c>
      <c r="F45" s="117">
        <f t="shared" si="8"/>
        <v>0.02</v>
      </c>
      <c r="G45" s="117">
        <f t="shared" si="8"/>
        <v>0.02</v>
      </c>
      <c r="H45" s="117">
        <f t="shared" si="8"/>
        <v>0.02</v>
      </c>
      <c r="I45" s="117">
        <f t="shared" si="8"/>
        <v>0.02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2:28" x14ac:dyDescent="0.25">
      <c r="B46" s="477" t="s">
        <v>392</v>
      </c>
      <c r="C46" s="477"/>
      <c r="D46" s="150">
        <v>110</v>
      </c>
      <c r="E46" s="150">
        <v>110</v>
      </c>
      <c r="F46" s="150">
        <v>110</v>
      </c>
      <c r="G46" s="150">
        <v>200</v>
      </c>
      <c r="H46" s="150">
        <v>200</v>
      </c>
      <c r="I46" s="150">
        <v>200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2:28" ht="15.75" thickBot="1" x14ac:dyDescent="0.3">
      <c r="B47" s="478" t="s">
        <v>393</v>
      </c>
      <c r="C47" s="478"/>
      <c r="D47" s="144">
        <f>+(D44*D45)/D46</f>
        <v>152</v>
      </c>
      <c r="E47" s="144">
        <f t="shared" ref="E47" si="9">+(E44*E45)/E46</f>
        <v>144</v>
      </c>
      <c r="F47" s="144">
        <f t="shared" ref="F47" si="10">+(F44*F45)/F46</f>
        <v>182.36363636363637</v>
      </c>
      <c r="G47" s="144">
        <f t="shared" ref="G47" si="11">+(G44*G45)/G46</f>
        <v>118.7</v>
      </c>
      <c r="H47" s="144">
        <f t="shared" ref="H47" si="12">+(H44*H45)/H46</f>
        <v>32.299999999999997</v>
      </c>
      <c r="I47" s="144">
        <f t="shared" ref="I47" si="13">+(I44*I45)/I46</f>
        <v>131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2:28" ht="15.75" thickBot="1" x14ac:dyDescent="0.3">
      <c r="B48" s="52"/>
      <c r="C48" s="52"/>
      <c r="D48" s="117"/>
      <c r="E48" s="117"/>
      <c r="F48" s="117"/>
      <c r="G48" s="117"/>
      <c r="H48" s="117"/>
      <c r="I48" s="117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2:27" x14ac:dyDescent="0.25">
      <c r="B49" s="481" t="str">
        <f>+C14</f>
        <v>Mini
donas</v>
      </c>
      <c r="C49" s="479"/>
      <c r="D49" s="479" t="s">
        <v>382</v>
      </c>
      <c r="E49" s="479"/>
      <c r="F49" s="479"/>
      <c r="G49" s="479"/>
      <c r="H49" s="479"/>
      <c r="I49" s="47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2:27" ht="15.75" thickBot="1" x14ac:dyDescent="0.3">
      <c r="B50" s="480"/>
      <c r="C50" s="480"/>
      <c r="D50" s="109" t="s">
        <v>383</v>
      </c>
      <c r="E50" s="109" t="s">
        <v>384</v>
      </c>
      <c r="F50" s="109" t="s">
        <v>385</v>
      </c>
      <c r="G50" s="109" t="s">
        <v>386</v>
      </c>
      <c r="H50" s="109" t="s">
        <v>387</v>
      </c>
      <c r="I50" s="109" t="s">
        <v>388</v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2:27" x14ac:dyDescent="0.25">
      <c r="B51" s="482" t="s">
        <v>389</v>
      </c>
      <c r="C51" s="483"/>
      <c r="D51" s="143">
        <f>+$D$32</f>
        <v>836000</v>
      </c>
      <c r="E51" s="143">
        <f>+$E$32</f>
        <v>792000</v>
      </c>
      <c r="F51" s="143">
        <f>+$F$32</f>
        <v>1003000</v>
      </c>
      <c r="G51" s="143">
        <f>+$G$32</f>
        <v>1187000</v>
      </c>
      <c r="H51" s="143">
        <f>+$H$32</f>
        <v>323000</v>
      </c>
      <c r="I51" s="143">
        <f>+$I$32</f>
        <v>1310000</v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2:27" x14ac:dyDescent="0.25">
      <c r="B52" s="477" t="s">
        <v>391</v>
      </c>
      <c r="C52" s="477"/>
      <c r="D52" s="117">
        <v>0.03</v>
      </c>
      <c r="E52" s="117">
        <f t="shared" si="8"/>
        <v>0.03</v>
      </c>
      <c r="F52" s="117">
        <f t="shared" si="8"/>
        <v>0.03</v>
      </c>
      <c r="G52" s="117">
        <f t="shared" si="8"/>
        <v>0.03</v>
      </c>
      <c r="H52" s="117">
        <f t="shared" si="8"/>
        <v>0.03</v>
      </c>
      <c r="I52" s="117">
        <f t="shared" si="8"/>
        <v>0.03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2:27" x14ac:dyDescent="0.25">
      <c r="B53" s="477" t="s">
        <v>392</v>
      </c>
      <c r="C53" s="477"/>
      <c r="D53" s="150">
        <v>110</v>
      </c>
      <c r="E53" s="150">
        <v>110</v>
      </c>
      <c r="F53" s="150">
        <v>110</v>
      </c>
      <c r="G53" s="150">
        <v>200</v>
      </c>
      <c r="H53" s="150">
        <v>200</v>
      </c>
      <c r="I53" s="150">
        <v>200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spans="2:27" ht="15.75" thickBot="1" x14ac:dyDescent="0.3">
      <c r="B54" s="478" t="s">
        <v>393</v>
      </c>
      <c r="C54" s="478"/>
      <c r="D54" s="144">
        <f>+(D51*D52)/D53</f>
        <v>228</v>
      </c>
      <c r="E54" s="144">
        <f t="shared" ref="E54" si="14">+(E51*E52)/E53</f>
        <v>216</v>
      </c>
      <c r="F54" s="144">
        <f t="shared" ref="F54" si="15">+(F51*F52)/F53</f>
        <v>273.54545454545456</v>
      </c>
      <c r="G54" s="144">
        <f t="shared" ref="G54" si="16">+(G51*G52)/G53</f>
        <v>178.05</v>
      </c>
      <c r="H54" s="144">
        <f t="shared" ref="H54" si="17">+(H51*H52)/H53</f>
        <v>48.45</v>
      </c>
      <c r="I54" s="144">
        <f t="shared" ref="I54" si="18">+(I51*I52)/I53</f>
        <v>196.5</v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2:27" ht="15.75" thickBot="1" x14ac:dyDescent="0.3">
      <c r="B55" s="52"/>
      <c r="C55" s="52"/>
      <c r="D55" s="117"/>
      <c r="E55" s="117"/>
      <c r="F55" s="117"/>
      <c r="G55" s="117"/>
      <c r="H55" s="117"/>
      <c r="I55" s="117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2:27" x14ac:dyDescent="0.25">
      <c r="B56" s="481" t="str">
        <f>+C15</f>
        <v>Café JV</v>
      </c>
      <c r="C56" s="479"/>
      <c r="D56" s="479" t="s">
        <v>382</v>
      </c>
      <c r="E56" s="479"/>
      <c r="F56" s="479"/>
      <c r="G56" s="479"/>
      <c r="H56" s="479"/>
      <c r="I56" s="47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2:27" ht="15.75" thickBot="1" x14ac:dyDescent="0.3">
      <c r="B57" s="480"/>
      <c r="C57" s="480"/>
      <c r="D57" s="109" t="s">
        <v>383</v>
      </c>
      <c r="E57" s="109" t="s">
        <v>384</v>
      </c>
      <c r="F57" s="109" t="s">
        <v>385</v>
      </c>
      <c r="G57" s="109" t="s">
        <v>386</v>
      </c>
      <c r="H57" s="109" t="s">
        <v>387</v>
      </c>
      <c r="I57" s="109" t="s">
        <v>388</v>
      </c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2:27" x14ac:dyDescent="0.25">
      <c r="B58" s="482" t="s">
        <v>389</v>
      </c>
      <c r="C58" s="483"/>
      <c r="D58" s="143">
        <f>+$D$32</f>
        <v>836000</v>
      </c>
      <c r="E58" s="143">
        <f>+$E$32</f>
        <v>792000</v>
      </c>
      <c r="F58" s="143">
        <f>+$F$32</f>
        <v>1003000</v>
      </c>
      <c r="G58" s="143">
        <f>+$G$32</f>
        <v>1187000</v>
      </c>
      <c r="H58" s="143">
        <f>+$H$32</f>
        <v>323000</v>
      </c>
      <c r="I58" s="143">
        <f>+$I$32</f>
        <v>1310000</v>
      </c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2:27" x14ac:dyDescent="0.25">
      <c r="B59" s="477" t="s">
        <v>391</v>
      </c>
      <c r="C59" s="477"/>
      <c r="D59" s="117">
        <v>0.33</v>
      </c>
      <c r="E59" s="117">
        <f t="shared" si="8"/>
        <v>0.33</v>
      </c>
      <c r="F59" s="117">
        <f t="shared" si="8"/>
        <v>0.33</v>
      </c>
      <c r="G59" s="117">
        <f t="shared" si="8"/>
        <v>0.33</v>
      </c>
      <c r="H59" s="117">
        <f t="shared" si="8"/>
        <v>0.33</v>
      </c>
      <c r="I59" s="117">
        <f t="shared" si="8"/>
        <v>0.33</v>
      </c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2:27" x14ac:dyDescent="0.25">
      <c r="B60" s="477" t="s">
        <v>392</v>
      </c>
      <c r="C60" s="477"/>
      <c r="D60" s="150">
        <v>110</v>
      </c>
      <c r="E60" s="150">
        <v>110</v>
      </c>
      <c r="F60" s="150">
        <v>110</v>
      </c>
      <c r="G60" s="150">
        <v>200</v>
      </c>
      <c r="H60" s="150">
        <v>200</v>
      </c>
      <c r="I60" s="150">
        <v>200</v>
      </c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2:27" ht="15.75" thickBot="1" x14ac:dyDescent="0.3">
      <c r="B61" s="478" t="s">
        <v>393</v>
      </c>
      <c r="C61" s="478"/>
      <c r="D61" s="144">
        <f>+(D58*D59)/D60</f>
        <v>2508</v>
      </c>
      <c r="E61" s="144">
        <f t="shared" ref="E61" si="19">+(E58*E59)/E60</f>
        <v>2376</v>
      </c>
      <c r="F61" s="144">
        <f t="shared" ref="F61" si="20">+(F58*F59)/F60</f>
        <v>3009</v>
      </c>
      <c r="G61" s="144">
        <f t="shared" ref="G61" si="21">+(G58*G59)/G60</f>
        <v>1958.55</v>
      </c>
      <c r="H61" s="144">
        <f t="shared" ref="H61" si="22">+(H58*H59)/H60</f>
        <v>532.95000000000005</v>
      </c>
      <c r="I61" s="144">
        <f t="shared" ref="I61" si="23">+(I58*I59)/I60</f>
        <v>2161.5</v>
      </c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2:27" ht="15.75" thickBot="1" x14ac:dyDescent="0.3">
      <c r="B62" s="52"/>
      <c r="C62" s="52"/>
      <c r="D62" s="117"/>
      <c r="E62" s="117"/>
      <c r="F62" s="117"/>
      <c r="G62" s="117"/>
      <c r="H62" s="117"/>
      <c r="I62" s="117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spans="2:27" x14ac:dyDescent="0.25">
      <c r="B63" s="481" t="str">
        <f>+C16</f>
        <v>Jugo agua</v>
      </c>
      <c r="C63" s="479"/>
      <c r="D63" s="479" t="s">
        <v>382</v>
      </c>
      <c r="E63" s="479"/>
      <c r="F63" s="479"/>
      <c r="G63" s="479"/>
      <c r="H63" s="479"/>
      <c r="I63" s="47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spans="2:27" ht="15.75" thickBot="1" x14ac:dyDescent="0.3">
      <c r="B64" s="480"/>
      <c r="C64" s="480"/>
      <c r="D64" s="109" t="s">
        <v>383</v>
      </c>
      <c r="E64" s="109" t="s">
        <v>384</v>
      </c>
      <c r="F64" s="109" t="s">
        <v>385</v>
      </c>
      <c r="G64" s="109" t="s">
        <v>386</v>
      </c>
      <c r="H64" s="109" t="s">
        <v>387</v>
      </c>
      <c r="I64" s="109" t="s">
        <v>388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2:27" x14ac:dyDescent="0.25">
      <c r="B65" s="482" t="s">
        <v>389</v>
      </c>
      <c r="C65" s="483"/>
      <c r="D65" s="143">
        <f>+$D$32</f>
        <v>836000</v>
      </c>
      <c r="E65" s="143">
        <f>+$E$32</f>
        <v>792000</v>
      </c>
      <c r="F65" s="143">
        <f>+$F$32</f>
        <v>1003000</v>
      </c>
      <c r="G65" s="143">
        <f>+$G$32</f>
        <v>1187000</v>
      </c>
      <c r="H65" s="143">
        <f>+$H$32</f>
        <v>323000</v>
      </c>
      <c r="I65" s="143">
        <f>+$I$32</f>
        <v>1310000</v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2:27" x14ac:dyDescent="0.25">
      <c r="B66" s="477" t="s">
        <v>391</v>
      </c>
      <c r="C66" s="477"/>
      <c r="D66" s="117">
        <v>0.02</v>
      </c>
      <c r="E66" s="117">
        <f t="shared" si="8"/>
        <v>0.02</v>
      </c>
      <c r="F66" s="117">
        <f t="shared" si="8"/>
        <v>0.02</v>
      </c>
      <c r="G66" s="117">
        <f t="shared" si="8"/>
        <v>0.02</v>
      </c>
      <c r="H66" s="117">
        <f t="shared" si="8"/>
        <v>0.02</v>
      </c>
      <c r="I66" s="117">
        <f t="shared" si="8"/>
        <v>0.02</v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2:27" x14ac:dyDescent="0.25">
      <c r="B67" s="477" t="s">
        <v>392</v>
      </c>
      <c r="C67" s="477"/>
      <c r="D67" s="150">
        <v>110</v>
      </c>
      <c r="E67" s="150">
        <v>110</v>
      </c>
      <c r="F67" s="150">
        <v>110</v>
      </c>
      <c r="G67" s="150">
        <v>200</v>
      </c>
      <c r="H67" s="150">
        <v>200</v>
      </c>
      <c r="I67" s="150">
        <v>200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2:27" ht="15.75" thickBot="1" x14ac:dyDescent="0.3">
      <c r="B68" s="478" t="s">
        <v>393</v>
      </c>
      <c r="C68" s="478"/>
      <c r="D68" s="144">
        <f>+(D65*D66)/D67</f>
        <v>152</v>
      </c>
      <c r="E68" s="144">
        <f t="shared" ref="E68" si="24">+(E65*E66)/E67</f>
        <v>144</v>
      </c>
      <c r="F68" s="144">
        <f t="shared" ref="F68" si="25">+(F65*F66)/F67</f>
        <v>182.36363636363637</v>
      </c>
      <c r="G68" s="144">
        <f t="shared" ref="G68" si="26">+(G65*G66)/G67</f>
        <v>118.7</v>
      </c>
      <c r="H68" s="144">
        <f t="shared" ref="H68" si="27">+(H65*H66)/H67</f>
        <v>32.299999999999997</v>
      </c>
      <c r="I68" s="144">
        <f t="shared" ref="I68" si="28">+(I65*I66)/I67</f>
        <v>131</v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2:27" ht="15.75" thickBot="1" x14ac:dyDescent="0.3">
      <c r="B69" s="52"/>
      <c r="C69" s="52"/>
      <c r="D69" s="117"/>
      <c r="E69" s="117"/>
      <c r="F69" s="117"/>
      <c r="G69" s="117"/>
      <c r="H69" s="117"/>
      <c r="I69" s="117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2:27" x14ac:dyDescent="0.25">
      <c r="B70" s="481" t="str">
        <f>+C17</f>
        <v>Jugo leche</v>
      </c>
      <c r="C70" s="479"/>
      <c r="D70" s="479" t="s">
        <v>382</v>
      </c>
      <c r="E70" s="479"/>
      <c r="F70" s="479"/>
      <c r="G70" s="479"/>
      <c r="H70" s="479"/>
      <c r="I70" s="47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2:27" ht="15.75" thickBot="1" x14ac:dyDescent="0.3">
      <c r="B71" s="480"/>
      <c r="C71" s="480"/>
      <c r="D71" s="109" t="s">
        <v>383</v>
      </c>
      <c r="E71" s="109" t="s">
        <v>384</v>
      </c>
      <c r="F71" s="109" t="s">
        <v>385</v>
      </c>
      <c r="G71" s="109" t="s">
        <v>386</v>
      </c>
      <c r="H71" s="109" t="s">
        <v>387</v>
      </c>
      <c r="I71" s="109" t="s">
        <v>388</v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2:27" x14ac:dyDescent="0.25">
      <c r="B72" s="482" t="s">
        <v>389</v>
      </c>
      <c r="C72" s="483"/>
      <c r="D72" s="143">
        <f>+$D$32</f>
        <v>836000</v>
      </c>
      <c r="E72" s="143">
        <f>+$E$32</f>
        <v>792000</v>
      </c>
      <c r="F72" s="143">
        <f>+$F$32</f>
        <v>1003000</v>
      </c>
      <c r="G72" s="143">
        <f>+$G$32</f>
        <v>1187000</v>
      </c>
      <c r="H72" s="143">
        <f>+$H$32</f>
        <v>323000</v>
      </c>
      <c r="I72" s="143">
        <f>+$I$32</f>
        <v>1310000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2:27" x14ac:dyDescent="0.25">
      <c r="B73" s="477" t="s">
        <v>391</v>
      </c>
      <c r="C73" s="477"/>
      <c r="D73" s="117">
        <v>0.03</v>
      </c>
      <c r="E73" s="117">
        <f t="shared" si="8"/>
        <v>0.03</v>
      </c>
      <c r="F73" s="117">
        <f t="shared" si="8"/>
        <v>0.03</v>
      </c>
      <c r="G73" s="117">
        <f t="shared" si="8"/>
        <v>0.03</v>
      </c>
      <c r="H73" s="117">
        <f t="shared" si="8"/>
        <v>0.03</v>
      </c>
      <c r="I73" s="117">
        <f t="shared" si="8"/>
        <v>0.03</v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2:27" x14ac:dyDescent="0.25">
      <c r="B74" s="477" t="s">
        <v>392</v>
      </c>
      <c r="C74" s="477"/>
      <c r="D74" s="150">
        <v>110</v>
      </c>
      <c r="E74" s="150">
        <v>110</v>
      </c>
      <c r="F74" s="150">
        <v>110</v>
      </c>
      <c r="G74" s="150">
        <v>200</v>
      </c>
      <c r="H74" s="150">
        <v>200</v>
      </c>
      <c r="I74" s="150">
        <v>200</v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2:27" ht="15.75" thickBot="1" x14ac:dyDescent="0.3">
      <c r="B75" s="478" t="s">
        <v>393</v>
      </c>
      <c r="C75" s="478"/>
      <c r="D75" s="144">
        <f>+(D72*D73)/D74</f>
        <v>228</v>
      </c>
      <c r="E75" s="144">
        <f t="shared" ref="E75" si="29">+(E72*E73)/E74</f>
        <v>216</v>
      </c>
      <c r="F75" s="144">
        <f t="shared" ref="F75" si="30">+(F72*F73)/F74</f>
        <v>273.54545454545456</v>
      </c>
      <c r="G75" s="144">
        <f t="shared" ref="G75" si="31">+(G72*G73)/G74</f>
        <v>178.05</v>
      </c>
      <c r="H75" s="144">
        <f t="shared" ref="H75" si="32">+(H72*H73)/H74</f>
        <v>48.45</v>
      </c>
      <c r="I75" s="144">
        <f t="shared" ref="I75" si="33">+(I72*I73)/I74</f>
        <v>196.5</v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spans="2:27" ht="15.75" thickBot="1" x14ac:dyDescent="0.3">
      <c r="B76" s="52"/>
      <c r="C76" s="52"/>
      <c r="D76" s="117"/>
      <c r="E76" s="117"/>
      <c r="F76" s="117"/>
      <c r="G76" s="117"/>
      <c r="H76" s="117"/>
      <c r="I76" s="117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spans="2:27" x14ac:dyDescent="0.25">
      <c r="B77" s="481" t="str">
        <f>+C18</f>
        <v>Coca cola</v>
      </c>
      <c r="C77" s="479"/>
      <c r="D77" s="479" t="s">
        <v>382</v>
      </c>
      <c r="E77" s="479"/>
      <c r="F77" s="479"/>
      <c r="G77" s="479"/>
      <c r="H77" s="479"/>
      <c r="I77" s="47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2:27" ht="15.75" thickBot="1" x14ac:dyDescent="0.3">
      <c r="B78" s="480"/>
      <c r="C78" s="480"/>
      <c r="D78" s="109" t="s">
        <v>383</v>
      </c>
      <c r="E78" s="109" t="s">
        <v>384</v>
      </c>
      <c r="F78" s="109" t="s">
        <v>385</v>
      </c>
      <c r="G78" s="109" t="s">
        <v>386</v>
      </c>
      <c r="H78" s="109" t="s">
        <v>387</v>
      </c>
      <c r="I78" s="109" t="s">
        <v>388</v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spans="2:27" x14ac:dyDescent="0.25">
      <c r="B79" s="482" t="s">
        <v>389</v>
      </c>
      <c r="C79" s="483"/>
      <c r="D79" s="143">
        <f>+$D$32</f>
        <v>836000</v>
      </c>
      <c r="E79" s="143">
        <f>+$E$32</f>
        <v>792000</v>
      </c>
      <c r="F79" s="143">
        <f>+$F$32</f>
        <v>1003000</v>
      </c>
      <c r="G79" s="143">
        <f>+$G$32</f>
        <v>1187000</v>
      </c>
      <c r="H79" s="143">
        <f>+$H$32</f>
        <v>323000</v>
      </c>
      <c r="I79" s="143">
        <f>+$I$32</f>
        <v>1310000</v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spans="2:27" x14ac:dyDescent="0.25">
      <c r="B80" s="477" t="s">
        <v>391</v>
      </c>
      <c r="C80" s="477"/>
      <c r="D80" s="117">
        <v>0.05</v>
      </c>
      <c r="E80" s="117">
        <f t="shared" si="8"/>
        <v>0.05</v>
      </c>
      <c r="F80" s="117">
        <f t="shared" si="8"/>
        <v>0.05</v>
      </c>
      <c r="G80" s="117">
        <f t="shared" si="8"/>
        <v>0.05</v>
      </c>
      <c r="H80" s="117">
        <f t="shared" si="8"/>
        <v>0.05</v>
      </c>
      <c r="I80" s="117">
        <f t="shared" si="8"/>
        <v>0.05</v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spans="2:27" x14ac:dyDescent="0.25">
      <c r="B81" s="477" t="s">
        <v>392</v>
      </c>
      <c r="C81" s="477"/>
      <c r="D81" s="150">
        <v>110</v>
      </c>
      <c r="E81" s="150">
        <v>110</v>
      </c>
      <c r="F81" s="150">
        <v>110</v>
      </c>
      <c r="G81" s="150">
        <v>200</v>
      </c>
      <c r="H81" s="150">
        <v>200</v>
      </c>
      <c r="I81" s="150">
        <v>200</v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spans="2:27" ht="15.75" thickBot="1" x14ac:dyDescent="0.3">
      <c r="B82" s="478" t="s">
        <v>393</v>
      </c>
      <c r="C82" s="478"/>
      <c r="D82" s="144">
        <f>+(D79*D80)/D81</f>
        <v>380</v>
      </c>
      <c r="E82" s="144">
        <f t="shared" ref="E82" si="34">+(E79*E80)/E81</f>
        <v>360</v>
      </c>
      <c r="F82" s="144">
        <f t="shared" ref="F82" si="35">+(F79*F80)/F81</f>
        <v>455.90909090909093</v>
      </c>
      <c r="G82" s="144">
        <f t="shared" ref="G82" si="36">+(G79*G80)/G81</f>
        <v>296.75</v>
      </c>
      <c r="H82" s="144">
        <f t="shared" ref="H82" si="37">+(H79*H80)/H81</f>
        <v>80.75</v>
      </c>
      <c r="I82" s="144">
        <f t="shared" ref="I82" si="38">+(I79*I80)/I81</f>
        <v>327.5</v>
      </c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2:27" ht="15.75" thickBot="1" x14ac:dyDescent="0.3">
      <c r="B83" s="52"/>
      <c r="C83" s="52"/>
      <c r="D83" s="117"/>
      <c r="E83" s="117"/>
      <c r="F83" s="117"/>
      <c r="G83" s="117"/>
      <c r="H83" s="117"/>
      <c r="I83" s="117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2:27" x14ac:dyDescent="0.25">
      <c r="B84" s="481" t="str">
        <f>+C19</f>
        <v>Otras gaseosas</v>
      </c>
      <c r="C84" s="479"/>
      <c r="D84" s="479" t="s">
        <v>382</v>
      </c>
      <c r="E84" s="479"/>
      <c r="F84" s="479"/>
      <c r="G84" s="479"/>
      <c r="H84" s="479"/>
      <c r="I84" s="47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2:27" ht="15.75" thickBot="1" x14ac:dyDescent="0.3">
      <c r="B85" s="480"/>
      <c r="C85" s="480"/>
      <c r="D85" s="109" t="s">
        <v>383</v>
      </c>
      <c r="E85" s="109" t="s">
        <v>384</v>
      </c>
      <c r="F85" s="109" t="s">
        <v>385</v>
      </c>
      <c r="G85" s="109" t="s">
        <v>386</v>
      </c>
      <c r="H85" s="109" t="s">
        <v>387</v>
      </c>
      <c r="I85" s="109" t="s">
        <v>388</v>
      </c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2:27" x14ac:dyDescent="0.25">
      <c r="B86" s="482" t="s">
        <v>389</v>
      </c>
      <c r="C86" s="483"/>
      <c r="D86" s="143">
        <f>+$D$32</f>
        <v>836000</v>
      </c>
      <c r="E86" s="143">
        <f>+$E$32</f>
        <v>792000</v>
      </c>
      <c r="F86" s="143">
        <f>+$F$32</f>
        <v>1003000</v>
      </c>
      <c r="G86" s="143">
        <f>+$G$32</f>
        <v>1187000</v>
      </c>
      <c r="H86" s="143">
        <f>+$H$32</f>
        <v>323000</v>
      </c>
      <c r="I86" s="143">
        <f>+$I$32</f>
        <v>1310000</v>
      </c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spans="2:27" x14ac:dyDescent="0.25">
      <c r="B87" s="477" t="s">
        <v>391</v>
      </c>
      <c r="C87" s="477"/>
      <c r="D87" s="117">
        <v>0.02</v>
      </c>
      <c r="E87" s="117">
        <f t="shared" si="8"/>
        <v>0.02</v>
      </c>
      <c r="F87" s="117">
        <f t="shared" si="8"/>
        <v>0.02</v>
      </c>
      <c r="G87" s="117">
        <f t="shared" si="8"/>
        <v>0.02</v>
      </c>
      <c r="H87" s="117">
        <f t="shared" si="8"/>
        <v>0.02</v>
      </c>
      <c r="I87" s="117">
        <f t="shared" si="8"/>
        <v>0.02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2:27" x14ac:dyDescent="0.25">
      <c r="B88" s="477" t="s">
        <v>392</v>
      </c>
      <c r="C88" s="477"/>
      <c r="D88" s="150">
        <v>110</v>
      </c>
      <c r="E88" s="150">
        <v>110</v>
      </c>
      <c r="F88" s="150">
        <v>110</v>
      </c>
      <c r="G88" s="150">
        <v>200</v>
      </c>
      <c r="H88" s="150">
        <v>200</v>
      </c>
      <c r="I88" s="150">
        <v>200</v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spans="2:27" ht="15.75" thickBot="1" x14ac:dyDescent="0.3">
      <c r="B89" s="478" t="s">
        <v>393</v>
      </c>
      <c r="C89" s="478"/>
      <c r="D89" s="144">
        <f>+(D86*D87)/D88</f>
        <v>152</v>
      </c>
      <c r="E89" s="144">
        <f t="shared" ref="E89" si="39">+(E86*E87)/E88</f>
        <v>144</v>
      </c>
      <c r="F89" s="144">
        <f t="shared" ref="F89" si="40">+(F86*F87)/F88</f>
        <v>182.36363636363637</v>
      </c>
      <c r="G89" s="144">
        <f t="shared" ref="G89" si="41">+(G86*G87)/G88</f>
        <v>118.7</v>
      </c>
      <c r="H89" s="144">
        <f t="shared" ref="H89" si="42">+(H86*H87)/H88</f>
        <v>32.299999999999997</v>
      </c>
      <c r="I89" s="144">
        <f t="shared" ref="I89" si="43">+(I86*I87)/I88</f>
        <v>131</v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spans="2:27" ht="15.75" thickBot="1" x14ac:dyDescent="0.3">
      <c r="B90" s="52"/>
      <c r="C90" s="52"/>
      <c r="D90" s="117"/>
      <c r="E90" s="117"/>
      <c r="F90" s="117"/>
      <c r="G90" s="117"/>
      <c r="H90" s="117"/>
      <c r="I90" s="117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2:27" x14ac:dyDescent="0.25">
      <c r="B91" s="481" t="str">
        <f>+C20</f>
        <v>Agua en botella</v>
      </c>
      <c r="C91" s="479"/>
      <c r="D91" s="479" t="s">
        <v>382</v>
      </c>
      <c r="E91" s="479"/>
      <c r="F91" s="479"/>
      <c r="G91" s="479"/>
      <c r="H91" s="479"/>
      <c r="I91" s="47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spans="2:27" ht="15.75" thickBot="1" x14ac:dyDescent="0.3">
      <c r="B92" s="480"/>
      <c r="C92" s="480"/>
      <c r="D92" s="109" t="s">
        <v>383</v>
      </c>
      <c r="E92" s="109" t="s">
        <v>384</v>
      </c>
      <c r="F92" s="109" t="s">
        <v>385</v>
      </c>
      <c r="G92" s="109" t="s">
        <v>386</v>
      </c>
      <c r="H92" s="109" t="s">
        <v>387</v>
      </c>
      <c r="I92" s="109" t="s">
        <v>388</v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spans="2:27" x14ac:dyDescent="0.25">
      <c r="B93" s="482" t="s">
        <v>389</v>
      </c>
      <c r="C93" s="483"/>
      <c r="D93" s="143">
        <f>+$D$32</f>
        <v>836000</v>
      </c>
      <c r="E93" s="143">
        <f>+$E$32</f>
        <v>792000</v>
      </c>
      <c r="F93" s="143">
        <f>+$F$32</f>
        <v>1003000</v>
      </c>
      <c r="G93" s="143">
        <f>+$G$32</f>
        <v>1187000</v>
      </c>
      <c r="H93" s="143">
        <f>+$H$32</f>
        <v>323000</v>
      </c>
      <c r="I93" s="143">
        <f>+$I$32</f>
        <v>1310000</v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spans="2:27" x14ac:dyDescent="0.25">
      <c r="B94" s="477" t="s">
        <v>391</v>
      </c>
      <c r="C94" s="477"/>
      <c r="D94" s="117">
        <v>0.01</v>
      </c>
      <c r="E94" s="117">
        <f t="shared" si="8"/>
        <v>0.01</v>
      </c>
      <c r="F94" s="117">
        <f t="shared" si="8"/>
        <v>0.01</v>
      </c>
      <c r="G94" s="117">
        <f t="shared" si="8"/>
        <v>0.01</v>
      </c>
      <c r="H94" s="117">
        <f t="shared" si="8"/>
        <v>0.01</v>
      </c>
      <c r="I94" s="117">
        <f t="shared" si="8"/>
        <v>0.01</v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spans="2:27" x14ac:dyDescent="0.25">
      <c r="B95" s="477" t="s">
        <v>392</v>
      </c>
      <c r="C95" s="477"/>
      <c r="D95" s="150">
        <v>110</v>
      </c>
      <c r="E95" s="150">
        <v>110</v>
      </c>
      <c r="F95" s="150">
        <v>110</v>
      </c>
      <c r="G95" s="150">
        <v>200</v>
      </c>
      <c r="H95" s="150">
        <v>200</v>
      </c>
      <c r="I95" s="150">
        <v>200</v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spans="2:27" ht="15.75" thickBot="1" x14ac:dyDescent="0.3">
      <c r="B96" s="478" t="s">
        <v>393</v>
      </c>
      <c r="C96" s="478"/>
      <c r="D96" s="144">
        <f>+(D93*D94)/D95</f>
        <v>76</v>
      </c>
      <c r="E96" s="144">
        <f t="shared" ref="E96" si="44">+(E93*E94)/E95</f>
        <v>72</v>
      </c>
      <c r="F96" s="144">
        <f t="shared" ref="F96" si="45">+(F93*F94)/F95</f>
        <v>91.181818181818187</v>
      </c>
      <c r="G96" s="144">
        <f t="shared" ref="G96" si="46">+(G93*G94)/G95</f>
        <v>59.35</v>
      </c>
      <c r="H96" s="144">
        <f t="shared" ref="H96" si="47">+(H93*H94)/H95</f>
        <v>16.149999999999999</v>
      </c>
      <c r="I96" s="144">
        <f t="shared" ref="I96" si="48">+(I93*I94)/I95</f>
        <v>65.5</v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spans="2:27" ht="15.75" thickBot="1" x14ac:dyDescent="0.3">
      <c r="B97" s="52"/>
      <c r="C97" s="52"/>
      <c r="D97" s="117"/>
      <c r="E97" s="117"/>
      <c r="F97" s="117"/>
      <c r="G97" s="117"/>
      <c r="H97" s="117"/>
      <c r="I97" s="117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spans="2:27" x14ac:dyDescent="0.25">
      <c r="B98" s="481">
        <f>+C21</f>
        <v>0</v>
      </c>
      <c r="C98" s="479"/>
      <c r="D98" s="479" t="s">
        <v>382</v>
      </c>
      <c r="E98" s="479"/>
      <c r="F98" s="479"/>
      <c r="G98" s="479"/>
      <c r="H98" s="479"/>
      <c r="I98" s="47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spans="2:27" ht="15.75" thickBot="1" x14ac:dyDescent="0.3">
      <c r="B99" s="480"/>
      <c r="C99" s="480"/>
      <c r="D99" s="109" t="s">
        <v>383</v>
      </c>
      <c r="E99" s="109" t="s">
        <v>384</v>
      </c>
      <c r="F99" s="109" t="s">
        <v>385</v>
      </c>
      <c r="G99" s="109" t="s">
        <v>386</v>
      </c>
      <c r="H99" s="109" t="s">
        <v>387</v>
      </c>
      <c r="I99" s="109" t="s">
        <v>388</v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2:27" x14ac:dyDescent="0.25">
      <c r="B100" s="482" t="s">
        <v>389</v>
      </c>
      <c r="C100" s="483"/>
      <c r="D100" s="143">
        <f>+$D$32</f>
        <v>836000</v>
      </c>
      <c r="E100" s="143">
        <f>+$E$32</f>
        <v>792000</v>
      </c>
      <c r="F100" s="143">
        <f>+$F$32</f>
        <v>1003000</v>
      </c>
      <c r="G100" s="143">
        <f>+$G$32</f>
        <v>1187000</v>
      </c>
      <c r="H100" s="143">
        <f>+$H$32</f>
        <v>323000</v>
      </c>
      <c r="I100" s="143">
        <f>+$I$32</f>
        <v>1310000</v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spans="2:27" x14ac:dyDescent="0.25">
      <c r="B101" s="477" t="s">
        <v>391</v>
      </c>
      <c r="C101" s="477"/>
      <c r="D101" s="117">
        <v>0</v>
      </c>
      <c r="E101" s="117">
        <f t="shared" si="8"/>
        <v>0</v>
      </c>
      <c r="F101" s="117">
        <f t="shared" si="8"/>
        <v>0</v>
      </c>
      <c r="G101" s="117">
        <f t="shared" si="8"/>
        <v>0</v>
      </c>
      <c r="H101" s="117">
        <f t="shared" si="8"/>
        <v>0</v>
      </c>
      <c r="I101" s="117">
        <f t="shared" si="8"/>
        <v>0</v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spans="2:27" x14ac:dyDescent="0.25">
      <c r="B102" s="477" t="s">
        <v>392</v>
      </c>
      <c r="C102" s="477"/>
      <c r="D102" s="150">
        <v>110</v>
      </c>
      <c r="E102" s="150">
        <v>110</v>
      </c>
      <c r="F102" s="150">
        <v>110</v>
      </c>
      <c r="G102" s="150">
        <v>200</v>
      </c>
      <c r="H102" s="150">
        <v>200</v>
      </c>
      <c r="I102" s="150">
        <v>200</v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2:27" ht="15.75" thickBot="1" x14ac:dyDescent="0.3">
      <c r="B103" s="478" t="s">
        <v>393</v>
      </c>
      <c r="C103" s="478"/>
      <c r="D103" s="144">
        <f>+(D100*D101)/D102</f>
        <v>0</v>
      </c>
      <c r="E103" s="144">
        <f t="shared" ref="E103" si="49">+(E100*E101)/E102</f>
        <v>0</v>
      </c>
      <c r="F103" s="144">
        <f t="shared" ref="F103" si="50">+(F100*F101)/F102</f>
        <v>0</v>
      </c>
      <c r="G103" s="144">
        <f t="shared" ref="G103" si="51">+(G100*G101)/G102</f>
        <v>0</v>
      </c>
      <c r="H103" s="144">
        <f t="shared" ref="H103" si="52">+(H100*H101)/H102</f>
        <v>0</v>
      </c>
      <c r="I103" s="144">
        <f t="shared" ref="I103" si="53">+(I100*I101)/I102</f>
        <v>0</v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spans="2:27" x14ac:dyDescent="0.25">
      <c r="B104" s="52"/>
      <c r="C104" s="132"/>
      <c r="D104" s="117"/>
      <c r="E104" s="117"/>
      <c r="F104" s="117"/>
      <c r="G104" s="117"/>
      <c r="H104" s="117"/>
      <c r="I104" s="117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2:27" x14ac:dyDescent="0.25">
      <c r="B105" s="9"/>
      <c r="C105" s="13"/>
      <c r="E105" s="9"/>
      <c r="F105" s="12"/>
      <c r="G105" s="5"/>
      <c r="H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spans="2:27" x14ac:dyDescent="0.25">
      <c r="B106" s="9"/>
      <c r="C106" s="142" t="s">
        <v>394</v>
      </c>
      <c r="E106" s="9"/>
      <c r="F106" s="12"/>
      <c r="G106" s="5"/>
      <c r="H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2:27" ht="15.75" thickBot="1" x14ac:dyDescent="0.3">
      <c r="B107" s="9"/>
      <c r="C107" s="13"/>
      <c r="E107" s="9"/>
      <c r="F107" s="12"/>
      <c r="G107" s="5"/>
      <c r="H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spans="2:27" ht="15.75" thickBot="1" x14ac:dyDescent="0.3">
      <c r="C108" s="145" t="s">
        <v>395</v>
      </c>
      <c r="D108" s="149" t="s">
        <v>396</v>
      </c>
      <c r="E108" s="149" t="s">
        <v>397</v>
      </c>
      <c r="F108" s="149" t="s">
        <v>398</v>
      </c>
      <c r="G108" s="147"/>
      <c r="H108" s="148"/>
      <c r="I108" s="147"/>
      <c r="J108" s="137" t="s">
        <v>399</v>
      </c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spans="2:27" x14ac:dyDescent="0.25">
      <c r="C109" s="120" t="s">
        <v>188</v>
      </c>
      <c r="D109" s="146">
        <v>780000</v>
      </c>
      <c r="E109" s="146">
        <v>350000</v>
      </c>
      <c r="F109" s="146">
        <v>50000</v>
      </c>
      <c r="G109" s="111">
        <v>0</v>
      </c>
      <c r="H109" s="118">
        <v>0</v>
      </c>
      <c r="I109" s="111">
        <v>0</v>
      </c>
      <c r="J109" s="13" t="s">
        <v>400</v>
      </c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2:27" ht="15.75" thickBot="1" x14ac:dyDescent="0.3">
      <c r="C110" s="123" t="s">
        <v>401</v>
      </c>
      <c r="D110" s="115">
        <f>+D109*12</f>
        <v>9360000</v>
      </c>
      <c r="E110" s="115">
        <f t="shared" ref="E110:I110" si="54">+E109*12</f>
        <v>4200000</v>
      </c>
      <c r="F110" s="115">
        <f t="shared" si="54"/>
        <v>600000</v>
      </c>
      <c r="G110" s="115">
        <f t="shared" si="54"/>
        <v>0</v>
      </c>
      <c r="H110" s="115">
        <f t="shared" si="54"/>
        <v>0</v>
      </c>
      <c r="I110" s="115">
        <f t="shared" si="54"/>
        <v>0</v>
      </c>
      <c r="J110" s="116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spans="2:27" x14ac:dyDescent="0.25">
      <c r="B111" s="71"/>
      <c r="C111" s="9"/>
      <c r="D111" s="122"/>
      <c r="E111" s="122"/>
      <c r="F111" s="12"/>
      <c r="G111" s="5"/>
      <c r="H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2:27" x14ac:dyDescent="0.25">
      <c r="B112" s="71"/>
      <c r="C112" s="9"/>
      <c r="D112" s="122"/>
      <c r="E112" s="122"/>
      <c r="F112" s="12"/>
      <c r="G112" s="5"/>
      <c r="H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spans="2:27" x14ac:dyDescent="0.25">
      <c r="B113" s="71"/>
      <c r="C113" s="9"/>
      <c r="D113" s="122"/>
      <c r="E113" s="122"/>
      <c r="F113" s="12"/>
      <c r="G113" s="5"/>
      <c r="H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spans="2:27" x14ac:dyDescent="0.25">
      <c r="B114" s="71"/>
      <c r="E114" s="122"/>
      <c r="F114" s="12"/>
      <c r="G114" s="5"/>
      <c r="H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spans="2:27" x14ac:dyDescent="0.25">
      <c r="C115" s="9"/>
      <c r="D115" s="9"/>
      <c r="F115" s="12"/>
      <c r="G115" s="5"/>
      <c r="H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spans="2:27" x14ac:dyDescent="0.25">
      <c r="B116" s="9"/>
      <c r="C116" s="13"/>
      <c r="E116" s="9"/>
      <c r="F116" s="12"/>
      <c r="G116" s="5"/>
      <c r="H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spans="2:27" x14ac:dyDescent="0.25">
      <c r="B117" s="9"/>
      <c r="C117" s="13"/>
      <c r="E117" s="9"/>
      <c r="F117" s="12"/>
      <c r="G117" s="5"/>
      <c r="H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spans="2:27" ht="18.75" x14ac:dyDescent="0.25">
      <c r="B118" s="472" t="s">
        <v>402</v>
      </c>
      <c r="C118" s="472"/>
      <c r="D118" s="472"/>
      <c r="E118" s="472"/>
      <c r="F118" s="472"/>
      <c r="G118" s="472"/>
      <c r="H118" s="472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spans="2:27" ht="15.75" thickBot="1" x14ac:dyDescent="0.3">
      <c r="B119" s="9"/>
      <c r="C119" s="13"/>
      <c r="E119" s="9"/>
      <c r="F119" s="12"/>
      <c r="G119" s="5"/>
      <c r="H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spans="2:27" x14ac:dyDescent="0.25">
      <c r="B120" s="490" t="s">
        <v>403</v>
      </c>
      <c r="C120" s="490"/>
      <c r="D120" s="490"/>
      <c r="E120" s="490"/>
      <c r="F120" s="490"/>
      <c r="G120" s="490"/>
      <c r="H120" s="120"/>
      <c r="I120" s="120"/>
      <c r="J120" s="120"/>
      <c r="K120" s="120"/>
      <c r="L120" s="120"/>
      <c r="M120" s="120"/>
      <c r="N120" s="120"/>
      <c r="O120" s="120"/>
      <c r="P120" s="120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spans="2:27" ht="15.75" thickBot="1" x14ac:dyDescent="0.3">
      <c r="B121" s="124" t="s">
        <v>404</v>
      </c>
      <c r="C121" s="124" t="s">
        <v>46</v>
      </c>
      <c r="D121" s="109"/>
      <c r="E121" s="109"/>
      <c r="F121" s="109" t="s">
        <v>405</v>
      </c>
      <c r="G121" s="124" t="s">
        <v>406</v>
      </c>
      <c r="H121" s="120"/>
      <c r="I121" s="120"/>
      <c r="J121" s="120"/>
      <c r="K121" s="120"/>
      <c r="L121" s="120"/>
      <c r="M121" s="120"/>
      <c r="N121" s="120"/>
      <c r="O121" s="120"/>
      <c r="P121" s="120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spans="2:27" x14ac:dyDescent="0.25">
      <c r="B122" s="125">
        <v>1</v>
      </c>
      <c r="C122" s="126" t="s">
        <v>407</v>
      </c>
      <c r="D122" s="85"/>
      <c r="E122" s="85"/>
      <c r="F122" s="127">
        <v>900000</v>
      </c>
      <c r="G122" s="125">
        <v>2</v>
      </c>
      <c r="H122" s="120"/>
      <c r="I122" s="120"/>
      <c r="J122" s="120"/>
      <c r="K122" s="120"/>
      <c r="L122" s="120"/>
      <c r="M122" s="120"/>
      <c r="N122" s="120"/>
      <c r="O122" s="120"/>
      <c r="P122" s="120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spans="2:27" x14ac:dyDescent="0.25">
      <c r="B123" s="125">
        <v>2</v>
      </c>
      <c r="C123" s="126" t="s">
        <v>408</v>
      </c>
      <c r="D123" s="85"/>
      <c r="E123" s="85"/>
      <c r="F123" s="127">
        <v>220000</v>
      </c>
      <c r="G123" s="125">
        <v>2</v>
      </c>
      <c r="H123" s="120"/>
      <c r="I123" s="120"/>
      <c r="J123" s="120"/>
      <c r="K123" s="120"/>
      <c r="L123" s="120"/>
      <c r="M123" s="120"/>
      <c r="N123" s="120"/>
      <c r="O123" s="120"/>
      <c r="P123" s="120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spans="2:27" ht="15.75" thickBot="1" x14ac:dyDescent="0.3">
      <c r="B124" s="128">
        <v>2</v>
      </c>
      <c r="C124" s="129" t="s">
        <v>409</v>
      </c>
      <c r="D124" s="130"/>
      <c r="E124" s="130"/>
      <c r="F124" s="131">
        <v>1000000</v>
      </c>
      <c r="G124" s="128">
        <v>1</v>
      </c>
      <c r="H124" s="120"/>
      <c r="I124" s="120"/>
      <c r="J124" s="120"/>
      <c r="K124" s="120"/>
      <c r="L124" s="120"/>
      <c r="M124" s="120"/>
      <c r="N124" s="120"/>
      <c r="O124" s="120"/>
      <c r="P124" s="120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spans="2:27" ht="15.75" thickBot="1" x14ac:dyDescent="0.3">
      <c r="B125" s="121"/>
      <c r="C125" s="71"/>
      <c r="D125" s="9"/>
      <c r="E125" s="9"/>
      <c r="F125" s="122"/>
      <c r="G125" s="121"/>
      <c r="H125" s="120"/>
      <c r="I125" s="120"/>
      <c r="J125" s="120"/>
      <c r="K125" s="120"/>
      <c r="L125" s="120"/>
      <c r="M125" s="120"/>
      <c r="N125" s="120"/>
      <c r="O125" s="120"/>
      <c r="P125" s="120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spans="2:27" x14ac:dyDescent="0.25">
      <c r="B126" s="490" t="s">
        <v>410</v>
      </c>
      <c r="C126" s="490"/>
      <c r="D126" s="490"/>
      <c r="E126" s="490"/>
      <c r="F126" s="490" t="s">
        <v>405</v>
      </c>
      <c r="G126" s="490" t="s">
        <v>406</v>
      </c>
      <c r="H126" s="120"/>
      <c r="I126" s="120"/>
      <c r="J126" s="120"/>
      <c r="K126" s="120"/>
      <c r="L126" s="120"/>
      <c r="M126" s="120"/>
      <c r="N126" s="120"/>
      <c r="O126" s="120"/>
      <c r="P126" s="120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spans="2:27" ht="15.75" thickBot="1" x14ac:dyDescent="0.3">
      <c r="B127" s="124" t="s">
        <v>404</v>
      </c>
      <c r="C127" s="124" t="s">
        <v>46</v>
      </c>
      <c r="D127" s="109"/>
      <c r="E127" s="109"/>
      <c r="F127" s="109" t="s">
        <v>405</v>
      </c>
      <c r="G127" s="124" t="s">
        <v>406</v>
      </c>
      <c r="H127" s="120"/>
      <c r="I127" s="120"/>
      <c r="J127" s="120"/>
      <c r="K127" s="120"/>
      <c r="L127" s="120"/>
      <c r="M127" s="120"/>
      <c r="N127" s="120"/>
      <c r="O127" s="120"/>
      <c r="P127" s="120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spans="2:27" x14ac:dyDescent="0.25">
      <c r="B128" s="125">
        <v>2</v>
      </c>
      <c r="C128" s="126" t="s">
        <v>411</v>
      </c>
      <c r="D128" s="85"/>
      <c r="E128" s="85"/>
      <c r="F128" s="127">
        <v>425000</v>
      </c>
      <c r="G128" s="125">
        <v>2</v>
      </c>
      <c r="H128" s="120"/>
      <c r="I128" s="120"/>
      <c r="J128" s="120"/>
      <c r="K128" s="120"/>
      <c r="L128" s="120"/>
      <c r="M128" s="120"/>
      <c r="N128" s="120"/>
      <c r="O128" s="120"/>
      <c r="P128" s="120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2:27" x14ac:dyDescent="0.25">
      <c r="B129" s="125">
        <v>2</v>
      </c>
      <c r="C129" s="126" t="s">
        <v>412</v>
      </c>
      <c r="D129" s="85"/>
      <c r="E129" s="85"/>
      <c r="F129" s="127">
        <v>500000</v>
      </c>
      <c r="G129" s="125">
        <v>1</v>
      </c>
      <c r="H129" s="120"/>
      <c r="I129" s="120"/>
      <c r="J129" s="120"/>
      <c r="K129" s="120"/>
      <c r="L129" s="120"/>
      <c r="M129" s="120"/>
      <c r="N129" s="120"/>
      <c r="O129" s="120"/>
      <c r="P129" s="120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2:27" ht="15.75" thickBot="1" x14ac:dyDescent="0.3">
      <c r="B130" s="128">
        <v>1</v>
      </c>
      <c r="C130" s="129" t="s">
        <v>413</v>
      </c>
      <c r="D130" s="130"/>
      <c r="E130" s="130"/>
      <c r="F130" s="131">
        <v>600000</v>
      </c>
      <c r="G130" s="128">
        <v>1</v>
      </c>
      <c r="H130" s="120"/>
      <c r="I130" s="120"/>
      <c r="J130" s="120"/>
      <c r="K130" s="120"/>
      <c r="L130" s="120"/>
      <c r="M130" s="120"/>
      <c r="N130" s="120"/>
      <c r="O130" s="120"/>
      <c r="P130" s="120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2:27" ht="15.75" thickBot="1" x14ac:dyDescent="0.3">
      <c r="B131" s="120"/>
      <c r="C131" s="9"/>
      <c r="D131" s="9"/>
      <c r="E131" s="9"/>
      <c r="F131" s="108"/>
      <c r="G131" s="80"/>
      <c r="H131" s="120"/>
      <c r="I131" s="120"/>
      <c r="J131" s="120"/>
      <c r="K131" s="120"/>
      <c r="L131" s="120"/>
      <c r="M131" s="120"/>
      <c r="N131" s="120"/>
      <c r="O131" s="120"/>
      <c r="P131" s="120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2:27" x14ac:dyDescent="0.25">
      <c r="B132" s="490" t="s">
        <v>414</v>
      </c>
      <c r="C132" s="490"/>
      <c r="D132" s="490"/>
      <c r="E132" s="490"/>
      <c r="F132" s="490" t="s">
        <v>405</v>
      </c>
      <c r="G132" s="490" t="s">
        <v>406</v>
      </c>
      <c r="H132" s="120"/>
      <c r="I132" s="120"/>
      <c r="J132" s="120"/>
      <c r="K132" s="120"/>
      <c r="L132" s="120"/>
      <c r="M132" s="120"/>
      <c r="N132" s="120"/>
      <c r="O132" s="120"/>
      <c r="P132" s="120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2:27" ht="15.75" thickBot="1" x14ac:dyDescent="0.3">
      <c r="B133" s="124" t="s">
        <v>404</v>
      </c>
      <c r="C133" s="124" t="s">
        <v>46</v>
      </c>
      <c r="D133" s="109"/>
      <c r="E133" s="109"/>
      <c r="F133" s="109" t="s">
        <v>405</v>
      </c>
      <c r="G133" s="124" t="s">
        <v>406</v>
      </c>
      <c r="H133" s="120"/>
      <c r="I133" s="120"/>
      <c r="J133" s="120"/>
      <c r="K133" s="120"/>
      <c r="L133" s="120"/>
      <c r="M133" s="120"/>
      <c r="N133" s="120"/>
      <c r="O133" s="120"/>
      <c r="P133" s="120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2:27" x14ac:dyDescent="0.25">
      <c r="B134" s="125">
        <v>1</v>
      </c>
      <c r="C134" s="126" t="s">
        <v>138</v>
      </c>
      <c r="D134" s="85"/>
      <c r="E134" s="85"/>
      <c r="F134" s="127">
        <v>1500000</v>
      </c>
      <c r="G134" s="125">
        <v>1</v>
      </c>
      <c r="H134" s="120"/>
      <c r="I134" s="120"/>
      <c r="J134" s="120"/>
      <c r="K134" s="120"/>
      <c r="L134" s="120"/>
      <c r="M134" s="120"/>
      <c r="N134" s="120"/>
      <c r="O134" s="120"/>
      <c r="P134" s="120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2:27" x14ac:dyDescent="0.25">
      <c r="B135" s="125">
        <v>1</v>
      </c>
      <c r="C135" s="126" t="s">
        <v>415</v>
      </c>
      <c r="D135" s="85"/>
      <c r="E135" s="85"/>
      <c r="F135" s="127">
        <v>1800000</v>
      </c>
      <c r="G135" s="125">
        <v>1</v>
      </c>
      <c r="H135" s="120"/>
      <c r="I135" s="120"/>
      <c r="J135" s="120"/>
      <c r="K135" s="120"/>
      <c r="L135" s="120"/>
      <c r="M135" s="120"/>
      <c r="N135" s="120"/>
      <c r="O135" s="120"/>
      <c r="P135" s="120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2:27" ht="15.75" thickBot="1" x14ac:dyDescent="0.3">
      <c r="B136" s="128">
        <v>1</v>
      </c>
      <c r="C136" s="129" t="s">
        <v>416</v>
      </c>
      <c r="D136" s="130"/>
      <c r="E136" s="130"/>
      <c r="F136" s="131">
        <v>80000</v>
      </c>
      <c r="G136" s="128">
        <v>1</v>
      </c>
      <c r="H136" s="120"/>
      <c r="I136" s="120"/>
      <c r="J136" s="120"/>
      <c r="K136" s="120"/>
      <c r="L136" s="120"/>
      <c r="M136" s="120"/>
      <c r="N136" s="120"/>
      <c r="O136" s="120"/>
      <c r="P136" s="120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2:27" ht="15.75" thickBot="1" x14ac:dyDescent="0.3">
      <c r="H137" s="120"/>
      <c r="I137" s="120"/>
      <c r="J137" s="120"/>
      <c r="K137" s="120"/>
      <c r="L137" s="120"/>
      <c r="M137" s="120"/>
      <c r="N137" s="120"/>
      <c r="O137" s="120"/>
      <c r="P137" s="120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2:27" x14ac:dyDescent="0.25">
      <c r="B138" s="490" t="s">
        <v>417</v>
      </c>
      <c r="C138" s="490"/>
      <c r="D138" s="490"/>
      <c r="E138" s="490"/>
      <c r="F138" s="490" t="s">
        <v>405</v>
      </c>
      <c r="G138" s="490" t="s">
        <v>406</v>
      </c>
      <c r="H138" s="120"/>
      <c r="I138" s="120"/>
      <c r="J138" s="120"/>
      <c r="K138" s="120"/>
      <c r="L138" s="120"/>
      <c r="M138" s="120"/>
      <c r="N138" s="120"/>
      <c r="O138" s="120"/>
      <c r="P138" s="120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2:27" ht="15.75" thickBot="1" x14ac:dyDescent="0.3">
      <c r="B139" s="124" t="s">
        <v>404</v>
      </c>
      <c r="C139" s="124" t="s">
        <v>46</v>
      </c>
      <c r="D139" s="109"/>
      <c r="E139" s="109"/>
      <c r="F139" s="109" t="s">
        <v>405</v>
      </c>
      <c r="G139" s="124" t="s">
        <v>406</v>
      </c>
      <c r="H139" s="120"/>
      <c r="I139" s="120"/>
      <c r="J139" s="120"/>
      <c r="K139" s="120"/>
      <c r="L139" s="120"/>
      <c r="M139" s="120"/>
      <c r="N139" s="120"/>
      <c r="O139" s="120"/>
      <c r="P139" s="120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2:27" x14ac:dyDescent="0.25">
      <c r="B140" s="125">
        <v>1</v>
      </c>
      <c r="C140" s="126" t="s">
        <v>418</v>
      </c>
      <c r="D140" s="85"/>
      <c r="E140" s="85"/>
      <c r="F140" s="127">
        <v>2000000</v>
      </c>
      <c r="G140" s="125">
        <v>1</v>
      </c>
      <c r="H140" s="120"/>
      <c r="I140" s="120"/>
      <c r="J140" s="120"/>
      <c r="K140" s="120"/>
      <c r="L140" s="120"/>
      <c r="M140" s="120"/>
      <c r="N140" s="120"/>
      <c r="O140" s="120"/>
      <c r="P140" s="120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2:27" x14ac:dyDescent="0.25">
      <c r="B141" s="125"/>
      <c r="C141" s="126"/>
      <c r="D141" s="85"/>
      <c r="E141" s="85"/>
      <c r="F141" s="127"/>
      <c r="G141" s="125"/>
      <c r="H141" s="120"/>
      <c r="I141" s="120"/>
      <c r="J141" s="120"/>
      <c r="K141" s="120"/>
      <c r="L141" s="120"/>
      <c r="M141" s="120"/>
      <c r="N141" s="120"/>
      <c r="O141" s="120"/>
      <c r="P141" s="120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2:27" ht="15.75" thickBot="1" x14ac:dyDescent="0.3">
      <c r="B142" s="128"/>
      <c r="C142" s="129"/>
      <c r="D142" s="130"/>
      <c r="E142" s="130"/>
      <c r="F142" s="131"/>
      <c r="G142" s="128"/>
      <c r="H142" s="120"/>
      <c r="I142" s="120"/>
      <c r="J142" s="120"/>
      <c r="K142" s="120"/>
      <c r="L142" s="120"/>
      <c r="M142" s="120"/>
      <c r="N142" s="120"/>
      <c r="O142" s="120"/>
      <c r="P142" s="120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2:27" ht="15.75" thickBot="1" x14ac:dyDescent="0.3">
      <c r="B143" s="9"/>
      <c r="C143" s="13"/>
      <c r="E143" s="9"/>
      <c r="F143" s="12"/>
      <c r="G143" s="5"/>
      <c r="H143" s="120"/>
      <c r="I143" s="120"/>
      <c r="J143" s="120"/>
      <c r="K143" s="120"/>
      <c r="L143" s="120"/>
      <c r="M143" s="120"/>
      <c r="N143" s="120"/>
      <c r="O143" s="120"/>
      <c r="P143" s="120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2:27" x14ac:dyDescent="0.25">
      <c r="B144" s="490" t="s">
        <v>419</v>
      </c>
      <c r="C144" s="490"/>
      <c r="D144" s="490"/>
      <c r="E144" s="490"/>
      <c r="F144" s="490" t="s">
        <v>405</v>
      </c>
      <c r="G144" s="490" t="s">
        <v>406</v>
      </c>
      <c r="H144" s="120"/>
      <c r="I144" s="120"/>
      <c r="J144" s="120"/>
      <c r="K144" s="120"/>
      <c r="L144" s="120"/>
      <c r="M144" s="120"/>
      <c r="N144" s="120"/>
      <c r="O144" s="120"/>
      <c r="P144" s="120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2:27" ht="15.75" thickBot="1" x14ac:dyDescent="0.3">
      <c r="B145" s="124" t="s">
        <v>404</v>
      </c>
      <c r="C145" s="124" t="s">
        <v>46</v>
      </c>
      <c r="D145" s="109"/>
      <c r="E145" s="109"/>
      <c r="F145" s="109" t="s">
        <v>405</v>
      </c>
      <c r="G145" s="124" t="s">
        <v>406</v>
      </c>
      <c r="H145" s="120"/>
      <c r="I145" s="120"/>
      <c r="J145" s="120"/>
      <c r="K145" s="120"/>
      <c r="L145" s="120"/>
      <c r="M145" s="120"/>
      <c r="N145" s="120"/>
      <c r="O145" s="120"/>
      <c r="P145" s="120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2:27" x14ac:dyDescent="0.25">
      <c r="B146" s="125"/>
      <c r="C146" s="126"/>
      <c r="D146" s="85"/>
      <c r="E146" s="85"/>
      <c r="F146" s="127"/>
      <c r="G146" s="125"/>
      <c r="H146" s="120"/>
      <c r="I146" s="120"/>
      <c r="J146" s="120"/>
      <c r="K146" s="120"/>
      <c r="L146" s="120"/>
      <c r="M146" s="120"/>
      <c r="N146" s="120"/>
      <c r="O146" s="120"/>
      <c r="P146" s="120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2:27" x14ac:dyDescent="0.25">
      <c r="B147" s="125"/>
      <c r="C147" s="126"/>
      <c r="D147" s="85"/>
      <c r="E147" s="85"/>
      <c r="F147" s="127"/>
      <c r="G147" s="125"/>
      <c r="H147" s="120"/>
      <c r="I147" s="120"/>
      <c r="J147" s="120"/>
      <c r="K147" s="120"/>
      <c r="L147" s="120"/>
      <c r="M147" s="120"/>
      <c r="N147" s="120"/>
      <c r="O147" s="120"/>
      <c r="P147" s="120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2:27" ht="15.75" thickBot="1" x14ac:dyDescent="0.3">
      <c r="B148" s="128"/>
      <c r="C148" s="129"/>
      <c r="D148" s="130"/>
      <c r="E148" s="130"/>
      <c r="F148" s="131"/>
      <c r="G148" s="128"/>
      <c r="H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2:27" x14ac:dyDescent="0.25">
      <c r="B149" s="9"/>
      <c r="C149" s="13"/>
      <c r="E149" s="9"/>
      <c r="F149" s="12"/>
      <c r="G149" s="5"/>
      <c r="H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2:27" ht="18.75" x14ac:dyDescent="0.25">
      <c r="B150" s="472" t="s">
        <v>420</v>
      </c>
      <c r="C150" s="472"/>
      <c r="D150" s="472"/>
      <c r="E150" s="472"/>
      <c r="F150" s="472"/>
      <c r="G150" s="472"/>
      <c r="H150" s="472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2:27" x14ac:dyDescent="0.25">
      <c r="B151" s="9"/>
      <c r="C151" s="13"/>
      <c r="E151" s="9"/>
      <c r="F151" s="12"/>
      <c r="G151" s="5"/>
      <c r="H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2:27" x14ac:dyDescent="0.25">
      <c r="B152" s="6" t="s">
        <v>421</v>
      </c>
      <c r="C152" s="141">
        <v>1423500</v>
      </c>
      <c r="E152" s="9"/>
      <c r="F152" s="12"/>
      <c r="G152" s="5"/>
      <c r="H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2:27" x14ac:dyDescent="0.25">
      <c r="B153" s="6" t="s">
        <v>422</v>
      </c>
      <c r="C153" s="141">
        <v>200000</v>
      </c>
      <c r="E153" s="9"/>
      <c r="F153" s="12"/>
      <c r="G153" s="5"/>
      <c r="H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2:27" ht="15.75" thickBot="1" x14ac:dyDescent="0.3">
      <c r="B154" s="9"/>
      <c r="C154" s="13"/>
      <c r="D154" s="135"/>
      <c r="E154" s="9"/>
      <c r="F154" s="12"/>
      <c r="G154" s="136">
        <v>0.03</v>
      </c>
      <c r="H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2:27" ht="15.75" thickBot="1" x14ac:dyDescent="0.3">
      <c r="B155" s="137" t="s">
        <v>240</v>
      </c>
      <c r="C155" s="138" t="s">
        <v>210</v>
      </c>
      <c r="D155" s="139" t="s">
        <v>423</v>
      </c>
      <c r="E155" s="137" t="s">
        <v>422</v>
      </c>
      <c r="F155" s="137" t="s">
        <v>424</v>
      </c>
      <c r="G155" s="137" t="s">
        <v>425</v>
      </c>
      <c r="H155" s="140" t="s">
        <v>426</v>
      </c>
      <c r="I155" s="137" t="s">
        <v>226</v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2:27" x14ac:dyDescent="0.25">
      <c r="B156" s="9">
        <v>1</v>
      </c>
      <c r="C156" s="13" t="s">
        <v>427</v>
      </c>
      <c r="D156" s="111">
        <v>2900000</v>
      </c>
      <c r="E156" s="118" t="str">
        <f>IF(D156=0,"",IF(D156&lt;=($C$152*2),$C$153,""))</f>
        <v/>
      </c>
      <c r="F156" s="118"/>
      <c r="G156" s="118"/>
      <c r="H156" s="118"/>
      <c r="I156" s="111">
        <f>SUM(D156:H156)</f>
        <v>2900000</v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2:27" x14ac:dyDescent="0.25">
      <c r="B157" s="9">
        <v>1</v>
      </c>
      <c r="C157" s="13" t="s">
        <v>428</v>
      </c>
      <c r="D157" s="111">
        <f>+C152</f>
        <v>1423500</v>
      </c>
      <c r="E157" s="118">
        <f t="shared" ref="E157:E160" si="55">IF(D157=0,"",IF(D157&lt;=($C$152*2),$C$153,""))</f>
        <v>200000</v>
      </c>
      <c r="F157" s="118"/>
      <c r="G157" s="118">
        <f>+SUM(F15:F17)*G154</f>
        <v>95400</v>
      </c>
      <c r="H157" s="118"/>
      <c r="I157" s="111">
        <f>SUM(D157:H157)</f>
        <v>1718900</v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2:27" x14ac:dyDescent="0.25">
      <c r="B158" s="9"/>
      <c r="C158" s="13"/>
      <c r="D158" s="111"/>
      <c r="E158" s="118" t="str">
        <f t="shared" si="55"/>
        <v/>
      </c>
      <c r="F158" s="118"/>
      <c r="G158" s="118"/>
      <c r="H158" s="118"/>
      <c r="I158" s="111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2:27" x14ac:dyDescent="0.25">
      <c r="B159" s="9"/>
      <c r="C159" s="13"/>
      <c r="D159" s="111"/>
      <c r="E159" s="118" t="str">
        <f t="shared" si="55"/>
        <v/>
      </c>
      <c r="F159" s="118"/>
      <c r="G159" s="118"/>
      <c r="H159" s="118"/>
      <c r="I159" s="111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2:27" ht="15.75" thickBot="1" x14ac:dyDescent="0.3">
      <c r="B160" s="116"/>
      <c r="C160" s="113"/>
      <c r="D160" s="115"/>
      <c r="E160" s="119" t="str">
        <f t="shared" si="55"/>
        <v/>
      </c>
      <c r="F160" s="119"/>
      <c r="G160" s="119"/>
      <c r="H160" s="119"/>
      <c r="I160" s="115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2:27" x14ac:dyDescent="0.25">
      <c r="B161" s="9"/>
      <c r="C161" s="13"/>
      <c r="E161" s="9"/>
      <c r="F161" s="12"/>
      <c r="G161" s="5"/>
      <c r="H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2:27" x14ac:dyDescent="0.25">
      <c r="B162" s="25" t="s">
        <v>429</v>
      </c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</row>
    <row r="163" spans="2:27" x14ac:dyDescent="0.25">
      <c r="B163" s="9" t="s">
        <v>430</v>
      </c>
      <c r="C163" s="9"/>
      <c r="D163" s="5" t="s">
        <v>431</v>
      </c>
      <c r="E163" s="9"/>
      <c r="F163" s="27" t="s">
        <v>432</v>
      </c>
      <c r="G163" s="28"/>
      <c r="H163" s="28"/>
      <c r="I163" s="29" t="s">
        <v>433</v>
      </c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2:27" x14ac:dyDescent="0.25">
      <c r="B164" s="30" t="s">
        <v>434</v>
      </c>
      <c r="C164" s="31" t="s">
        <v>435</v>
      </c>
      <c r="D164" s="32">
        <v>225000</v>
      </c>
      <c r="E164" s="9">
        <f>+ROUND(L164*(1+0.5),0)</f>
        <v>225000</v>
      </c>
      <c r="F164" s="9"/>
      <c r="G164" s="9"/>
      <c r="H164" s="9"/>
      <c r="I164" s="9"/>
      <c r="J164" s="9"/>
      <c r="K164" s="9"/>
      <c r="L164" s="9">
        <v>150000</v>
      </c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2:27" x14ac:dyDescent="0.25">
      <c r="B165" s="30" t="s">
        <v>436</v>
      </c>
      <c r="C165" s="31" t="s">
        <v>437</v>
      </c>
      <c r="D165" s="32">
        <v>675000</v>
      </c>
      <c r="E165" s="9">
        <f t="shared" ref="E165:E172" si="56">+ROUND(L165*(1+0.5),0)</f>
        <v>675000</v>
      </c>
      <c r="F165" s="30" t="s">
        <v>438</v>
      </c>
      <c r="G165" s="31"/>
      <c r="H165" s="33">
        <v>1</v>
      </c>
      <c r="I165" s="9"/>
      <c r="J165" s="9"/>
      <c r="K165" s="9"/>
      <c r="L165" s="9">
        <v>450000</v>
      </c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2:27" x14ac:dyDescent="0.25">
      <c r="B166" s="30" t="s">
        <v>439</v>
      </c>
      <c r="C166" s="31" t="s">
        <v>440</v>
      </c>
      <c r="D166" s="32">
        <v>420000</v>
      </c>
      <c r="E166" s="9">
        <f t="shared" si="56"/>
        <v>420000</v>
      </c>
      <c r="F166" s="30" t="s">
        <v>441</v>
      </c>
      <c r="G166" s="31"/>
      <c r="H166" s="33">
        <v>0</v>
      </c>
      <c r="I166" s="9"/>
      <c r="J166" s="9"/>
      <c r="K166" s="9"/>
      <c r="L166" s="9">
        <v>280000</v>
      </c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2:27" x14ac:dyDescent="0.25">
      <c r="B167" s="30" t="s">
        <v>442</v>
      </c>
      <c r="C167" s="31" t="s">
        <v>443</v>
      </c>
      <c r="D167" s="32">
        <v>120000</v>
      </c>
      <c r="E167" s="9">
        <f t="shared" si="56"/>
        <v>120000</v>
      </c>
      <c r="F167" s="9"/>
      <c r="G167" s="9"/>
      <c r="H167" s="9"/>
      <c r="I167" s="9"/>
      <c r="J167" s="9"/>
      <c r="K167" s="9"/>
      <c r="L167" s="9">
        <v>80000</v>
      </c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2:27" x14ac:dyDescent="0.25">
      <c r="B168" s="30" t="s">
        <v>444</v>
      </c>
      <c r="C168" s="31" t="s">
        <v>445</v>
      </c>
      <c r="D168" s="32">
        <v>195000</v>
      </c>
      <c r="E168" s="9">
        <f t="shared" si="56"/>
        <v>195000</v>
      </c>
      <c r="F168" s="9"/>
      <c r="G168" s="9"/>
      <c r="H168" s="9"/>
      <c r="I168" s="9"/>
      <c r="J168" s="9"/>
      <c r="K168" s="9"/>
      <c r="L168" s="9">
        <v>130000</v>
      </c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2:27" x14ac:dyDescent="0.25">
      <c r="B169" s="30" t="s">
        <v>446</v>
      </c>
      <c r="C169" s="31" t="s">
        <v>447</v>
      </c>
      <c r="D169" s="32">
        <v>135000</v>
      </c>
      <c r="E169" s="9">
        <f t="shared" si="56"/>
        <v>135000</v>
      </c>
      <c r="F169" s="9"/>
      <c r="G169" s="9"/>
      <c r="H169" s="16" t="s">
        <v>448</v>
      </c>
      <c r="I169" s="16" t="s">
        <v>449</v>
      </c>
      <c r="J169" s="16" t="s">
        <v>450</v>
      </c>
      <c r="K169" s="16" t="s">
        <v>451</v>
      </c>
      <c r="L169" s="9">
        <v>90000</v>
      </c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2:27" x14ac:dyDescent="0.25">
      <c r="B170" s="30" t="s">
        <v>452</v>
      </c>
      <c r="C170" s="31" t="s">
        <v>453</v>
      </c>
      <c r="D170" s="32">
        <v>525000</v>
      </c>
      <c r="E170" s="9">
        <f t="shared" si="56"/>
        <v>525000</v>
      </c>
      <c r="F170" s="34" t="s">
        <v>454</v>
      </c>
      <c r="G170" s="35"/>
      <c r="H170" s="36">
        <v>0.05</v>
      </c>
      <c r="I170" s="36">
        <v>0.05</v>
      </c>
      <c r="J170" s="36">
        <v>0.05</v>
      </c>
      <c r="K170" s="36">
        <v>0.05</v>
      </c>
      <c r="L170" s="9">
        <v>350000</v>
      </c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2:27" x14ac:dyDescent="0.25">
      <c r="B171" s="30" t="s">
        <v>455</v>
      </c>
      <c r="C171" s="31" t="s">
        <v>456</v>
      </c>
      <c r="D171" s="32">
        <v>675000</v>
      </c>
      <c r="E171" s="9">
        <f t="shared" si="56"/>
        <v>675000</v>
      </c>
      <c r="F171" s="34" t="s">
        <v>457</v>
      </c>
      <c r="G171" s="35"/>
      <c r="H171" s="37">
        <f>$K$6</f>
        <v>0.10307999999999999</v>
      </c>
      <c r="I171" s="37">
        <f>$K$6</f>
        <v>0.10307999999999999</v>
      </c>
      <c r="J171" s="37">
        <f>$K$6</f>
        <v>0.10307999999999999</v>
      </c>
      <c r="K171" s="37">
        <f>$K$6</f>
        <v>0.10307999999999999</v>
      </c>
      <c r="L171" s="9">
        <v>450000</v>
      </c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2:27" x14ac:dyDescent="0.25">
      <c r="B172" s="30" t="s">
        <v>458</v>
      </c>
      <c r="C172" s="31" t="s">
        <v>459</v>
      </c>
      <c r="D172" s="32">
        <v>3450000</v>
      </c>
      <c r="E172" s="9">
        <f t="shared" si="56"/>
        <v>3450000</v>
      </c>
      <c r="F172" s="9"/>
      <c r="G172" s="9"/>
      <c r="H172" s="9"/>
      <c r="I172" s="9"/>
      <c r="J172" s="9"/>
      <c r="K172" s="9"/>
      <c r="L172" s="9">
        <v>2300000</v>
      </c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2:27" x14ac:dyDescent="0.25">
      <c r="B173" s="30" t="s">
        <v>460</v>
      </c>
      <c r="C173" s="31"/>
      <c r="D173" s="32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2:27" x14ac:dyDescent="0.25">
      <c r="B174" s="38"/>
      <c r="C174" s="9"/>
      <c r="D174" s="9"/>
      <c r="E174" s="3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 t="s">
        <v>461</v>
      </c>
      <c r="T174" s="9"/>
      <c r="U174" s="9"/>
      <c r="V174" s="9"/>
      <c r="W174" s="9"/>
      <c r="X174" s="9"/>
      <c r="Y174" s="9"/>
      <c r="Z174" s="9"/>
      <c r="AA174" s="9"/>
    </row>
    <row r="175" spans="2:27" x14ac:dyDescent="0.25">
      <c r="B175" s="40" t="s">
        <v>462</v>
      </c>
      <c r="C175" s="41"/>
      <c r="D175" s="5" t="s">
        <v>431</v>
      </c>
      <c r="E175" s="42"/>
      <c r="F175" s="41" t="s">
        <v>463</v>
      </c>
      <c r="G175" s="41"/>
      <c r="H175" s="5" t="s">
        <v>431</v>
      </c>
      <c r="I175" s="9"/>
      <c r="J175" s="40" t="s">
        <v>464</v>
      </c>
      <c r="K175" s="41"/>
      <c r="L175" s="5" t="s">
        <v>431</v>
      </c>
      <c r="M175" s="9"/>
      <c r="N175" s="9"/>
      <c r="O175" s="9"/>
      <c r="P175" s="9"/>
      <c r="Q175" s="9"/>
      <c r="R175" s="9"/>
      <c r="S175" s="9" t="s">
        <v>433</v>
      </c>
      <c r="T175" s="9"/>
      <c r="U175" s="9"/>
      <c r="V175" s="9"/>
      <c r="W175" s="9"/>
      <c r="X175" s="9"/>
      <c r="Y175" s="9"/>
      <c r="Z175" s="9"/>
      <c r="AA175" s="9"/>
    </row>
    <row r="176" spans="2:27" x14ac:dyDescent="0.25">
      <c r="B176" s="30" t="s">
        <v>434</v>
      </c>
      <c r="C176" s="43" t="str">
        <f>$C$164</f>
        <v>Maquillaje social</v>
      </c>
      <c r="D176" s="32">
        <v>60</v>
      </c>
      <c r="E176" s="44"/>
      <c r="F176" s="30" t="s">
        <v>434</v>
      </c>
      <c r="G176" s="43" t="str">
        <f>$C$164</f>
        <v>Maquillaje social</v>
      </c>
      <c r="H176" s="32">
        <f t="shared" ref="H176:H185" si="57">D176*12</f>
        <v>720</v>
      </c>
      <c r="I176" s="9">
        <v>72</v>
      </c>
      <c r="J176" s="30" t="s">
        <v>434</v>
      </c>
      <c r="K176" s="43" t="str">
        <f>$C$164</f>
        <v>Maquillaje social</v>
      </c>
      <c r="L176" s="45">
        <f>+H176/360</f>
        <v>2</v>
      </c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2:27" x14ac:dyDescent="0.25">
      <c r="B177" s="30" t="s">
        <v>436</v>
      </c>
      <c r="C177" s="43" t="str">
        <f>$C$165</f>
        <v>Maquillaje de novia</v>
      </c>
      <c r="D177" s="32">
        <v>3</v>
      </c>
      <c r="E177" s="44"/>
      <c r="F177" s="30" t="s">
        <v>436</v>
      </c>
      <c r="G177" s="43" t="str">
        <f>$C$165</f>
        <v>Maquillaje de novia</v>
      </c>
      <c r="H177" s="32">
        <f t="shared" si="57"/>
        <v>36</v>
      </c>
      <c r="I177" s="9">
        <v>4</v>
      </c>
      <c r="J177" s="30" t="s">
        <v>436</v>
      </c>
      <c r="K177" s="43" t="str">
        <f>$C$165</f>
        <v>Maquillaje de novia</v>
      </c>
      <c r="L177" s="45">
        <f t="shared" ref="L177:L185" si="58">+H177/360</f>
        <v>0.1</v>
      </c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2:27" x14ac:dyDescent="0.25">
      <c r="B178" s="30" t="s">
        <v>439</v>
      </c>
      <c r="C178" s="43" t="str">
        <f>$C$166</f>
        <v>Maquillaje quinceañera</v>
      </c>
      <c r="D178" s="32">
        <v>4</v>
      </c>
      <c r="E178" s="44"/>
      <c r="F178" s="30" t="s">
        <v>439</v>
      </c>
      <c r="G178" s="43" t="str">
        <f>$C$166</f>
        <v>Maquillaje quinceañera</v>
      </c>
      <c r="H178" s="32">
        <f t="shared" si="57"/>
        <v>48</v>
      </c>
      <c r="I178" s="9">
        <v>5</v>
      </c>
      <c r="J178" s="30" t="s">
        <v>439</v>
      </c>
      <c r="K178" s="43" t="str">
        <f>$C$166</f>
        <v>Maquillaje quinceañera</v>
      </c>
      <c r="L178" s="45">
        <f t="shared" si="58"/>
        <v>0.13333333333333333</v>
      </c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2:27" x14ac:dyDescent="0.25">
      <c r="B179" s="30" t="s">
        <v>442</v>
      </c>
      <c r="C179" s="43" t="str">
        <f>$C$167</f>
        <v>Peinado social</v>
      </c>
      <c r="D179" s="32">
        <v>40</v>
      </c>
      <c r="E179" s="44"/>
      <c r="F179" s="30" t="s">
        <v>442</v>
      </c>
      <c r="G179" s="43" t="str">
        <f>$C$167</f>
        <v>Peinado social</v>
      </c>
      <c r="H179" s="32">
        <f t="shared" si="57"/>
        <v>480</v>
      </c>
      <c r="I179" s="9">
        <v>48</v>
      </c>
      <c r="J179" s="30" t="s">
        <v>442</v>
      </c>
      <c r="K179" s="43" t="str">
        <f>$C$167</f>
        <v>Peinado social</v>
      </c>
      <c r="L179" s="45">
        <f t="shared" si="58"/>
        <v>1.3333333333333333</v>
      </c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2:27" x14ac:dyDescent="0.25">
      <c r="B180" s="30" t="s">
        <v>444</v>
      </c>
      <c r="C180" s="43" t="str">
        <f>$C$168</f>
        <v>Peinado de novia</v>
      </c>
      <c r="D180" s="32">
        <v>3</v>
      </c>
      <c r="E180" s="44"/>
      <c r="F180" s="30" t="s">
        <v>444</v>
      </c>
      <c r="G180" s="43" t="str">
        <f>$C$168</f>
        <v>Peinado de novia</v>
      </c>
      <c r="H180" s="32">
        <f t="shared" si="57"/>
        <v>36</v>
      </c>
      <c r="I180" s="9">
        <v>4</v>
      </c>
      <c r="J180" s="30" t="s">
        <v>444</v>
      </c>
      <c r="K180" s="43" t="str">
        <f>$C$168</f>
        <v>Peinado de novia</v>
      </c>
      <c r="L180" s="45">
        <f t="shared" si="58"/>
        <v>0.1</v>
      </c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2:27" x14ac:dyDescent="0.25">
      <c r="B181" s="30" t="s">
        <v>446</v>
      </c>
      <c r="C181" s="43" t="str">
        <f>$C$169</f>
        <v>Peinado quinceañera</v>
      </c>
      <c r="D181" s="32">
        <v>4</v>
      </c>
      <c r="E181" s="44"/>
      <c r="F181" s="30" t="s">
        <v>446</v>
      </c>
      <c r="G181" s="43" t="str">
        <f>$C$169</f>
        <v>Peinado quinceañera</v>
      </c>
      <c r="H181" s="32">
        <f t="shared" si="57"/>
        <v>48</v>
      </c>
      <c r="I181" s="9">
        <v>5</v>
      </c>
      <c r="J181" s="30" t="s">
        <v>446</v>
      </c>
      <c r="K181" s="43" t="str">
        <f>$C$169</f>
        <v>Peinado quinceañera</v>
      </c>
      <c r="L181" s="45">
        <f t="shared" si="58"/>
        <v>0.13333333333333333</v>
      </c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2:27" x14ac:dyDescent="0.25">
      <c r="B182" s="30" t="s">
        <v>452</v>
      </c>
      <c r="C182" s="43" t="str">
        <f>$C$170</f>
        <v>Cursos (automaquillaje)</v>
      </c>
      <c r="D182" s="32">
        <v>6</v>
      </c>
      <c r="E182" s="44"/>
      <c r="F182" s="30" t="s">
        <v>452</v>
      </c>
      <c r="G182" s="43" t="str">
        <f>$C$170</f>
        <v>Cursos (automaquillaje)</v>
      </c>
      <c r="H182" s="32">
        <f t="shared" si="57"/>
        <v>72</v>
      </c>
      <c r="I182" s="9">
        <v>7</v>
      </c>
      <c r="J182" s="30" t="s">
        <v>452</v>
      </c>
      <c r="K182" s="43" t="str">
        <f>$C$170</f>
        <v>Cursos (automaquillaje)</v>
      </c>
      <c r="L182" s="45">
        <f t="shared" si="58"/>
        <v>0.2</v>
      </c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2:27" x14ac:dyDescent="0.25">
      <c r="B183" s="30" t="s">
        <v>455</v>
      </c>
      <c r="C183" s="43" t="str">
        <f>$C$171</f>
        <v>Cursos (perfeccionamiento)</v>
      </c>
      <c r="D183" s="32">
        <v>2</v>
      </c>
      <c r="E183" s="44"/>
      <c r="F183" s="30" t="s">
        <v>455</v>
      </c>
      <c r="G183" s="43" t="str">
        <f>$C$171</f>
        <v>Cursos (perfeccionamiento)</v>
      </c>
      <c r="H183" s="32">
        <f t="shared" si="57"/>
        <v>24</v>
      </c>
      <c r="I183" s="9">
        <v>2</v>
      </c>
      <c r="J183" s="30" t="s">
        <v>455</v>
      </c>
      <c r="K183" s="43" t="str">
        <f>$C$171</f>
        <v>Cursos (perfeccionamiento)</v>
      </c>
      <c r="L183" s="45">
        <f t="shared" si="58"/>
        <v>6.6666666666666666E-2</v>
      </c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2:27" x14ac:dyDescent="0.25">
      <c r="B184" s="30" t="s">
        <v>458</v>
      </c>
      <c r="C184" s="43" t="str">
        <f>$C$172</f>
        <v>Cursos (profesional)</v>
      </c>
      <c r="D184" s="32">
        <v>1</v>
      </c>
      <c r="E184" s="44"/>
      <c r="F184" s="30" t="s">
        <v>458</v>
      </c>
      <c r="G184" s="43" t="str">
        <f>$C$172</f>
        <v>Cursos (profesional)</v>
      </c>
      <c r="H184" s="32">
        <f t="shared" si="57"/>
        <v>12</v>
      </c>
      <c r="I184" s="9">
        <v>1</v>
      </c>
      <c r="J184" s="30" t="s">
        <v>458</v>
      </c>
      <c r="K184" s="43" t="str">
        <f>$C$172</f>
        <v>Cursos (profesional)</v>
      </c>
      <c r="L184" s="45">
        <f t="shared" si="58"/>
        <v>3.3333333333333333E-2</v>
      </c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2:27" x14ac:dyDescent="0.25">
      <c r="B185" s="30" t="s">
        <v>460</v>
      </c>
      <c r="C185" s="43">
        <f>$C$173</f>
        <v>0</v>
      </c>
      <c r="D185" s="32"/>
      <c r="E185" s="44"/>
      <c r="F185" s="30" t="s">
        <v>460</v>
      </c>
      <c r="G185" s="43">
        <f>$C$173</f>
        <v>0</v>
      </c>
      <c r="H185" s="32">
        <f t="shared" si="57"/>
        <v>0</v>
      </c>
      <c r="I185" s="9"/>
      <c r="J185" s="30" t="s">
        <v>460</v>
      </c>
      <c r="K185" s="43">
        <f>$C$173</f>
        <v>0</v>
      </c>
      <c r="L185" s="45">
        <f t="shared" si="58"/>
        <v>0</v>
      </c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2:27" x14ac:dyDescent="0.25">
      <c r="B186" s="9"/>
      <c r="C186" s="9"/>
      <c r="D186" s="9"/>
      <c r="E186" s="3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2:27" x14ac:dyDescent="0.25">
      <c r="B187" s="25" t="s">
        <v>465</v>
      </c>
      <c r="C187" s="26"/>
      <c r="D187" s="26"/>
      <c r="E187" s="4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</row>
    <row r="188" spans="2:27" x14ac:dyDescent="0.25">
      <c r="B188" s="9" t="s">
        <v>466</v>
      </c>
      <c r="C188" s="9"/>
      <c r="D188" s="5" t="s">
        <v>431</v>
      </c>
      <c r="E188" s="39"/>
      <c r="F188" s="30" t="s">
        <v>467</v>
      </c>
      <c r="G188" s="22"/>
      <c r="H188" s="32">
        <v>0</v>
      </c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2:27" x14ac:dyDescent="0.25">
      <c r="B189" s="35" t="s">
        <v>434</v>
      </c>
      <c r="C189" s="43" t="str">
        <f>$C$164</f>
        <v>Maquillaje social</v>
      </c>
      <c r="D189" s="32">
        <v>0</v>
      </c>
      <c r="E189" s="39"/>
      <c r="F189" s="40" t="s">
        <v>468</v>
      </c>
      <c r="G189" s="47"/>
      <c r="H189" s="32">
        <v>0</v>
      </c>
      <c r="I189" s="9" t="s">
        <v>469</v>
      </c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2:27" x14ac:dyDescent="0.25">
      <c r="B190" s="35" t="s">
        <v>436</v>
      </c>
      <c r="C190" s="43" t="str">
        <f>$C$165</f>
        <v>Maquillaje de novia</v>
      </c>
      <c r="D190" s="32">
        <v>0</v>
      </c>
      <c r="E190" s="3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2:27" x14ac:dyDescent="0.25">
      <c r="B191" s="35" t="s">
        <v>439</v>
      </c>
      <c r="C191" s="43" t="str">
        <f>$C$166</f>
        <v>Maquillaje quinceañera</v>
      </c>
      <c r="D191" s="32">
        <v>0</v>
      </c>
      <c r="E191" s="3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2:27" x14ac:dyDescent="0.25">
      <c r="B192" s="35" t="s">
        <v>442</v>
      </c>
      <c r="C192" s="43" t="str">
        <f>$C$167</f>
        <v>Peinado social</v>
      </c>
      <c r="D192" s="32">
        <v>0</v>
      </c>
      <c r="E192" s="3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2:27" x14ac:dyDescent="0.25">
      <c r="B193" s="35" t="s">
        <v>444</v>
      </c>
      <c r="C193" s="43" t="str">
        <f>$C$168</f>
        <v>Peinado de novia</v>
      </c>
      <c r="D193" s="32">
        <v>0</v>
      </c>
      <c r="E193" s="39"/>
      <c r="F193" s="9"/>
      <c r="G193" s="9"/>
      <c r="H193" s="9"/>
      <c r="I193" s="48" t="s">
        <v>448</v>
      </c>
      <c r="J193" s="48" t="s">
        <v>449</v>
      </c>
      <c r="K193" s="48" t="s">
        <v>450</v>
      </c>
      <c r="L193" s="48" t="s">
        <v>451</v>
      </c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2:27" x14ac:dyDescent="0.25">
      <c r="B194" s="35" t="s">
        <v>446</v>
      </c>
      <c r="C194" s="43" t="str">
        <f>$C$169</f>
        <v>Peinado quinceañera</v>
      </c>
      <c r="D194" s="32">
        <v>0</v>
      </c>
      <c r="E194" s="39"/>
      <c r="F194" s="30" t="s">
        <v>470</v>
      </c>
      <c r="G194" s="31"/>
      <c r="H194" s="22"/>
      <c r="I194" s="49">
        <v>0.08</v>
      </c>
      <c r="J194" s="49">
        <v>0.08</v>
      </c>
      <c r="K194" s="49">
        <v>0.08</v>
      </c>
      <c r="L194" s="49">
        <v>0.08</v>
      </c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2:27" x14ac:dyDescent="0.25">
      <c r="B195" s="35" t="s">
        <v>452</v>
      </c>
      <c r="C195" s="43" t="str">
        <f>$C$170</f>
        <v>Cursos (automaquillaje)</v>
      </c>
      <c r="D195" s="32">
        <v>0</v>
      </c>
      <c r="E195" s="3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2:27" x14ac:dyDescent="0.25">
      <c r="B196" s="35" t="s">
        <v>455</v>
      </c>
      <c r="C196" s="43" t="str">
        <f>$C$171</f>
        <v>Cursos (perfeccionamiento)</v>
      </c>
      <c r="D196" s="32">
        <v>0</v>
      </c>
      <c r="E196" s="50"/>
      <c r="F196" s="30" t="s">
        <v>471</v>
      </c>
      <c r="G196" s="31"/>
      <c r="H196" s="48">
        <v>100</v>
      </c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2:27" x14ac:dyDescent="0.25">
      <c r="B197" s="35" t="s">
        <v>458</v>
      </c>
      <c r="C197" s="43" t="str">
        <f>$C$172</f>
        <v>Cursos (profesional)</v>
      </c>
      <c r="D197" s="32">
        <v>0</v>
      </c>
      <c r="E197" s="39"/>
      <c r="F197" s="30" t="s">
        <v>472</v>
      </c>
      <c r="G197" s="31"/>
      <c r="H197" s="33">
        <v>0</v>
      </c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2:27" x14ac:dyDescent="0.25">
      <c r="B198" s="35" t="s">
        <v>460</v>
      </c>
      <c r="C198" s="43">
        <f>$C$173</f>
        <v>0</v>
      </c>
      <c r="D198" s="32">
        <v>0</v>
      </c>
      <c r="E198" s="3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2:27" x14ac:dyDescent="0.25">
      <c r="B199" s="9"/>
      <c r="C199" s="9"/>
      <c r="D199" s="51"/>
      <c r="E199" s="3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2:27" ht="15.75" thickBot="1" x14ac:dyDescent="0.3">
      <c r="B200" s="25" t="s">
        <v>473</v>
      </c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</row>
    <row r="201" spans="2:27" x14ac:dyDescent="0.25">
      <c r="B201" s="52"/>
      <c r="C201" s="9"/>
      <c r="D201" s="484" t="s">
        <v>474</v>
      </c>
      <c r="E201" s="485"/>
      <c r="F201" s="485"/>
      <c r="G201" s="485"/>
      <c r="H201" s="485"/>
      <c r="I201" s="485"/>
      <c r="J201" s="486"/>
      <c r="K201" s="487" t="s">
        <v>475</v>
      </c>
      <c r="L201" s="485"/>
      <c r="M201" s="485"/>
      <c r="N201" s="485"/>
      <c r="O201" s="485"/>
      <c r="P201" s="485"/>
      <c r="Q201" s="486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2:27" ht="15.75" thickBot="1" x14ac:dyDescent="0.3">
      <c r="B202" s="9"/>
      <c r="C202" s="9"/>
      <c r="D202" s="53" t="s">
        <v>383</v>
      </c>
      <c r="E202" s="54" t="s">
        <v>384</v>
      </c>
      <c r="F202" s="54" t="s">
        <v>385</v>
      </c>
      <c r="G202" s="54" t="s">
        <v>386</v>
      </c>
      <c r="H202" s="54" t="s">
        <v>387</v>
      </c>
      <c r="I202" s="54" t="s">
        <v>388</v>
      </c>
      <c r="J202" s="55"/>
      <c r="K202" s="1" t="str">
        <f t="shared" ref="K202:Q202" si="59">+D202</f>
        <v>Preparación de piel</v>
      </c>
      <c r="L202" s="2" t="str">
        <f t="shared" si="59"/>
        <v>Produc. Crema</v>
      </c>
      <c r="M202" s="2" t="str">
        <f t="shared" si="59"/>
        <v>Produc. Polvo</v>
      </c>
      <c r="N202" s="2" t="str">
        <f t="shared" si="59"/>
        <v>Produc. Ojos</v>
      </c>
      <c r="O202" s="2" t="str">
        <f t="shared" si="59"/>
        <v>Produc. Cejas</v>
      </c>
      <c r="P202" s="2" t="str">
        <f t="shared" si="59"/>
        <v>Produc. Labios</v>
      </c>
      <c r="Q202" s="3">
        <f t="shared" si="59"/>
        <v>0</v>
      </c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2:27" ht="15.75" thickBot="1" x14ac:dyDescent="0.3">
      <c r="B203" s="35" t="s">
        <v>434</v>
      </c>
      <c r="C203" s="56" t="str">
        <f>$C$164</f>
        <v>Maquillaje social</v>
      </c>
      <c r="D203" s="57">
        <v>200</v>
      </c>
      <c r="E203" s="57">
        <f>+D203</f>
        <v>200</v>
      </c>
      <c r="F203" s="57">
        <f t="shared" ref="F203:I203" si="60">+E203</f>
        <v>200</v>
      </c>
      <c r="G203" s="57">
        <f t="shared" si="60"/>
        <v>200</v>
      </c>
      <c r="H203" s="57">
        <f t="shared" si="60"/>
        <v>200</v>
      </c>
      <c r="I203" s="57">
        <f t="shared" si="60"/>
        <v>200</v>
      </c>
      <c r="J203" s="58"/>
      <c r="K203" s="59">
        <f>(K204/AVERAGE(D203:D211))/12</f>
        <v>348.33333333333331</v>
      </c>
      <c r="L203" s="59">
        <f t="shared" ref="L203:P203" si="61">(L204/AVERAGE(E203:E211))/12</f>
        <v>330</v>
      </c>
      <c r="M203" s="59">
        <f t="shared" si="61"/>
        <v>417.91666666666669</v>
      </c>
      <c r="N203" s="59">
        <f t="shared" si="61"/>
        <v>494.58333333333331</v>
      </c>
      <c r="O203" s="59">
        <f t="shared" si="61"/>
        <v>134.58333333333334</v>
      </c>
      <c r="P203" s="59">
        <f t="shared" si="61"/>
        <v>545.83333333333337</v>
      </c>
      <c r="Q203" s="5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2:27" x14ac:dyDescent="0.25">
      <c r="B204" s="35" t="s">
        <v>436</v>
      </c>
      <c r="C204" s="56" t="str">
        <f>$C$165</f>
        <v>Maquillaje de novia</v>
      </c>
      <c r="D204" s="57">
        <f>+D203</f>
        <v>200</v>
      </c>
      <c r="E204" s="57">
        <f>+E203</f>
        <v>200</v>
      </c>
      <c r="F204" s="57">
        <f t="shared" ref="F204:I211" si="62">+F203</f>
        <v>200</v>
      </c>
      <c r="G204" s="57">
        <f t="shared" si="62"/>
        <v>200</v>
      </c>
      <c r="H204" s="57">
        <f t="shared" si="62"/>
        <v>200</v>
      </c>
      <c r="I204" s="57">
        <f t="shared" si="62"/>
        <v>200</v>
      </c>
      <c r="J204" s="60"/>
      <c r="K204" s="5">
        <v>836000</v>
      </c>
      <c r="L204" s="5">
        <v>792000</v>
      </c>
      <c r="M204" s="5">
        <v>1003000</v>
      </c>
      <c r="N204" s="5">
        <v>1187000</v>
      </c>
      <c r="O204" s="5">
        <v>323000</v>
      </c>
      <c r="P204" s="5">
        <v>1310000</v>
      </c>
      <c r="Q204" s="5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2:27" x14ac:dyDescent="0.25">
      <c r="B205" s="35" t="s">
        <v>439</v>
      </c>
      <c r="C205" s="56" t="str">
        <f>$C$166</f>
        <v>Maquillaje quinceañera</v>
      </c>
      <c r="D205" s="57">
        <f t="shared" ref="D205:E211" si="63">+D204</f>
        <v>200</v>
      </c>
      <c r="E205" s="57">
        <f t="shared" si="63"/>
        <v>200</v>
      </c>
      <c r="F205" s="57">
        <f t="shared" si="62"/>
        <v>200</v>
      </c>
      <c r="G205" s="57">
        <f t="shared" si="62"/>
        <v>200</v>
      </c>
      <c r="H205" s="57">
        <f t="shared" si="62"/>
        <v>200</v>
      </c>
      <c r="I205" s="57">
        <f t="shared" si="62"/>
        <v>200</v>
      </c>
      <c r="J205" s="60"/>
      <c r="K205" s="5"/>
      <c r="L205" s="5"/>
      <c r="M205" s="5"/>
      <c r="N205" s="5"/>
      <c r="O205" s="5"/>
      <c r="P205" s="5"/>
      <c r="Q205" s="5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2:27" x14ac:dyDescent="0.25">
      <c r="B206" s="35" t="s">
        <v>442</v>
      </c>
      <c r="C206" s="56" t="str">
        <f>$C$167</f>
        <v>Peinado social</v>
      </c>
      <c r="D206" s="57">
        <f t="shared" si="63"/>
        <v>200</v>
      </c>
      <c r="E206" s="57">
        <f t="shared" si="63"/>
        <v>200</v>
      </c>
      <c r="F206" s="57">
        <f t="shared" si="62"/>
        <v>200</v>
      </c>
      <c r="G206" s="57">
        <f t="shared" si="62"/>
        <v>200</v>
      </c>
      <c r="H206" s="57">
        <f t="shared" si="62"/>
        <v>200</v>
      </c>
      <c r="I206" s="57">
        <f t="shared" si="62"/>
        <v>200</v>
      </c>
      <c r="J206" s="60"/>
      <c r="K206" s="5"/>
      <c r="L206" s="9"/>
      <c r="M206" s="9"/>
      <c r="N206" s="9"/>
      <c r="O206" s="48" t="s">
        <v>448</v>
      </c>
      <c r="P206" s="48" t="s">
        <v>449</v>
      </c>
      <c r="Q206" s="48" t="s">
        <v>450</v>
      </c>
      <c r="R206" s="48" t="s">
        <v>451</v>
      </c>
      <c r="S206" s="9"/>
      <c r="T206" s="9"/>
      <c r="U206" s="9"/>
      <c r="V206" s="9"/>
      <c r="W206" s="9"/>
      <c r="X206" s="9"/>
      <c r="Y206" s="9"/>
      <c r="Z206" s="9"/>
      <c r="AA206" s="9"/>
    </row>
    <row r="207" spans="2:27" x14ac:dyDescent="0.25">
      <c r="B207" s="35" t="s">
        <v>444</v>
      </c>
      <c r="C207" s="56" t="str">
        <f>$C$168</f>
        <v>Peinado de novia</v>
      </c>
      <c r="D207" s="57">
        <f t="shared" si="63"/>
        <v>200</v>
      </c>
      <c r="E207" s="57">
        <f t="shared" si="63"/>
        <v>200</v>
      </c>
      <c r="F207" s="57">
        <f t="shared" si="62"/>
        <v>200</v>
      </c>
      <c r="G207" s="57">
        <f t="shared" si="62"/>
        <v>200</v>
      </c>
      <c r="H207" s="57">
        <f t="shared" si="62"/>
        <v>200</v>
      </c>
      <c r="I207" s="57">
        <f t="shared" si="62"/>
        <v>200</v>
      </c>
      <c r="J207" s="60"/>
      <c r="K207" s="473" t="s">
        <v>470</v>
      </c>
      <c r="L207" s="474"/>
      <c r="M207" s="474"/>
      <c r="N207" s="474"/>
      <c r="O207" s="61">
        <v>0.08</v>
      </c>
      <c r="P207" s="61">
        <v>0.08</v>
      </c>
      <c r="Q207" s="61">
        <v>0.08</v>
      </c>
      <c r="R207" s="61">
        <v>0.08</v>
      </c>
      <c r="S207" s="9"/>
      <c r="T207" s="9"/>
      <c r="U207" s="9"/>
      <c r="V207" s="9"/>
      <c r="W207" s="9"/>
      <c r="X207" s="9"/>
      <c r="Y207" s="9"/>
      <c r="Z207" s="9"/>
      <c r="AA207" s="9"/>
    </row>
    <row r="208" spans="2:27" x14ac:dyDescent="0.25">
      <c r="B208" s="35" t="s">
        <v>446</v>
      </c>
      <c r="C208" s="56" t="str">
        <f>$C$169</f>
        <v>Peinado quinceañera</v>
      </c>
      <c r="D208" s="57">
        <f t="shared" si="63"/>
        <v>200</v>
      </c>
      <c r="E208" s="57">
        <f t="shared" si="63"/>
        <v>200</v>
      </c>
      <c r="F208" s="57">
        <f t="shared" si="62"/>
        <v>200</v>
      </c>
      <c r="G208" s="57">
        <f t="shared" si="62"/>
        <v>200</v>
      </c>
      <c r="H208" s="57">
        <f t="shared" si="62"/>
        <v>200</v>
      </c>
      <c r="I208" s="57">
        <f t="shared" si="62"/>
        <v>200</v>
      </c>
      <c r="J208" s="60"/>
      <c r="K208" s="5"/>
      <c r="L208" s="5"/>
      <c r="M208" s="5"/>
      <c r="N208" s="5"/>
      <c r="O208" s="5"/>
      <c r="P208" s="5"/>
      <c r="Q208" s="5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2:27" x14ac:dyDescent="0.25">
      <c r="B209" s="35" t="s">
        <v>452</v>
      </c>
      <c r="C209" s="56" t="str">
        <f>$C$170</f>
        <v>Cursos (automaquillaje)</v>
      </c>
      <c r="D209" s="57">
        <f t="shared" si="63"/>
        <v>200</v>
      </c>
      <c r="E209" s="57">
        <f t="shared" si="63"/>
        <v>200</v>
      </c>
      <c r="F209" s="57">
        <f t="shared" si="62"/>
        <v>200</v>
      </c>
      <c r="G209" s="57">
        <f t="shared" si="62"/>
        <v>200</v>
      </c>
      <c r="H209" s="57">
        <f t="shared" si="62"/>
        <v>200</v>
      </c>
      <c r="I209" s="57">
        <f t="shared" si="62"/>
        <v>200</v>
      </c>
      <c r="J209" s="60"/>
      <c r="K209" s="5"/>
      <c r="L209" s="5"/>
      <c r="M209" s="5"/>
      <c r="N209" s="5"/>
      <c r="O209" s="5"/>
      <c r="P209" s="5"/>
      <c r="Q209" s="5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2:27" x14ac:dyDescent="0.25">
      <c r="B210" s="35" t="s">
        <v>455</v>
      </c>
      <c r="C210" s="56" t="str">
        <f>$C$171</f>
        <v>Cursos (perfeccionamiento)</v>
      </c>
      <c r="D210" s="57">
        <f t="shared" si="63"/>
        <v>200</v>
      </c>
      <c r="E210" s="57">
        <f t="shared" si="63"/>
        <v>200</v>
      </c>
      <c r="F210" s="57">
        <f t="shared" si="62"/>
        <v>200</v>
      </c>
      <c r="G210" s="57">
        <f t="shared" si="62"/>
        <v>200</v>
      </c>
      <c r="H210" s="57">
        <f t="shared" si="62"/>
        <v>200</v>
      </c>
      <c r="I210" s="57">
        <f t="shared" si="62"/>
        <v>200</v>
      </c>
      <c r="J210" s="60"/>
      <c r="K210" s="5"/>
      <c r="L210" s="30" t="s">
        <v>471</v>
      </c>
      <c r="M210" s="31"/>
      <c r="N210" s="33">
        <v>1</v>
      </c>
      <c r="O210" s="5"/>
      <c r="P210" s="5"/>
      <c r="Q210" s="5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spans="2:27" x14ac:dyDescent="0.25">
      <c r="B211" s="35" t="s">
        <v>458</v>
      </c>
      <c r="C211" s="56" t="str">
        <f>$C$172</f>
        <v>Cursos (profesional)</v>
      </c>
      <c r="D211" s="57">
        <f t="shared" si="63"/>
        <v>200</v>
      </c>
      <c r="E211" s="57">
        <f t="shared" si="63"/>
        <v>200</v>
      </c>
      <c r="F211" s="57">
        <f t="shared" si="62"/>
        <v>200</v>
      </c>
      <c r="G211" s="57">
        <f t="shared" si="62"/>
        <v>200</v>
      </c>
      <c r="H211" s="57">
        <f t="shared" si="62"/>
        <v>200</v>
      </c>
      <c r="I211" s="57">
        <f t="shared" si="62"/>
        <v>200</v>
      </c>
      <c r="J211" s="60"/>
      <c r="K211" s="5"/>
      <c r="L211" s="30" t="s">
        <v>472</v>
      </c>
      <c r="M211" s="31"/>
      <c r="N211" s="33">
        <f>1-N210</f>
        <v>0</v>
      </c>
      <c r="O211" s="5"/>
      <c r="P211" s="5"/>
      <c r="Q211" s="5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spans="2:27" ht="15.75" thickBot="1" x14ac:dyDescent="0.3">
      <c r="B212" s="35" t="s">
        <v>460</v>
      </c>
      <c r="C212" s="56">
        <f>$C$173</f>
        <v>0</v>
      </c>
      <c r="D212" s="62"/>
      <c r="E212" s="63"/>
      <c r="F212" s="63"/>
      <c r="G212" s="63"/>
      <c r="H212" s="63"/>
      <c r="I212" s="63"/>
      <c r="J212" s="64"/>
      <c r="K212" s="5"/>
      <c r="L212" s="5"/>
      <c r="M212" s="5"/>
      <c r="N212" s="5"/>
      <c r="O212" s="5"/>
      <c r="P212" s="5"/>
      <c r="Q212" s="5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spans="2:27" x14ac:dyDescent="0.25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spans="2:27" x14ac:dyDescent="0.25">
      <c r="B214" s="25" t="s">
        <v>476</v>
      </c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</row>
    <row r="215" spans="2:27" x14ac:dyDescent="0.25">
      <c r="B215" s="52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spans="2:27" x14ac:dyDescent="0.25">
      <c r="B216" s="65" t="s">
        <v>477</v>
      </c>
      <c r="C216" s="66"/>
      <c r="D216" s="31"/>
      <c r="E216" s="22"/>
      <c r="F216" s="16" t="s">
        <v>405</v>
      </c>
      <c r="G216" s="67" t="s">
        <v>406</v>
      </c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spans="2:27" x14ac:dyDescent="0.25">
      <c r="B217" s="68">
        <v>1</v>
      </c>
      <c r="C217" s="69" t="s">
        <v>407</v>
      </c>
      <c r="D217" s="31"/>
      <c r="E217" s="22"/>
      <c r="F217" s="70">
        <v>900000</v>
      </c>
      <c r="G217" s="68">
        <v>5</v>
      </c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spans="2:27" x14ac:dyDescent="0.25">
      <c r="B218" s="68">
        <v>2</v>
      </c>
      <c r="C218" s="69" t="s">
        <v>408</v>
      </c>
      <c r="D218" s="31"/>
      <c r="E218" s="22"/>
      <c r="F218" s="70">
        <v>220000</v>
      </c>
      <c r="G218" s="68">
        <v>5</v>
      </c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spans="2:27" x14ac:dyDescent="0.25">
      <c r="B219" s="68"/>
      <c r="C219" s="69"/>
      <c r="D219" s="31"/>
      <c r="E219" s="22"/>
      <c r="F219" s="70"/>
      <c r="G219" s="68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spans="2:27" x14ac:dyDescent="0.25">
      <c r="B220" s="68"/>
      <c r="C220" s="69"/>
      <c r="D220" s="31"/>
      <c r="E220" s="22"/>
      <c r="F220" s="70"/>
      <c r="G220" s="68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spans="2:27" x14ac:dyDescent="0.25">
      <c r="B221" s="65" t="s">
        <v>478</v>
      </c>
      <c r="C221" s="71"/>
      <c r="D221" s="9"/>
      <c r="E221" s="9"/>
      <c r="F221" s="16" t="s">
        <v>405</v>
      </c>
      <c r="G221" s="67" t="s">
        <v>406</v>
      </c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spans="2:27" x14ac:dyDescent="0.25">
      <c r="B222" s="68">
        <v>1</v>
      </c>
      <c r="C222" s="69" t="s">
        <v>138</v>
      </c>
      <c r="D222" s="72"/>
      <c r="E222" s="22"/>
      <c r="F222" s="70">
        <v>1500000</v>
      </c>
      <c r="G222" s="68">
        <v>1</v>
      </c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spans="2:27" x14ac:dyDescent="0.25">
      <c r="B223" s="68"/>
      <c r="C223" s="69"/>
      <c r="D223" s="31"/>
      <c r="E223" s="22"/>
      <c r="F223" s="70">
        <v>1500000</v>
      </c>
      <c r="G223" s="68">
        <v>5</v>
      </c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spans="2:27" x14ac:dyDescent="0.25">
      <c r="B224" s="68"/>
      <c r="C224" s="69"/>
      <c r="D224" s="31"/>
      <c r="E224" s="22"/>
      <c r="F224" s="70"/>
      <c r="G224" s="68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spans="2:27" x14ac:dyDescent="0.25">
      <c r="B225" s="73" t="s">
        <v>479</v>
      </c>
      <c r="C225" s="9"/>
      <c r="D225" s="9"/>
      <c r="E225" s="9"/>
      <c r="F225" s="16" t="s">
        <v>405</v>
      </c>
      <c r="G225" s="67" t="s">
        <v>406</v>
      </c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spans="2:27" x14ac:dyDescent="0.25">
      <c r="B226" s="68">
        <v>2</v>
      </c>
      <c r="C226" s="69" t="s">
        <v>409</v>
      </c>
      <c r="D226" s="31"/>
      <c r="E226" s="22"/>
      <c r="F226" s="70">
        <v>1000000</v>
      </c>
      <c r="G226" s="68">
        <v>5</v>
      </c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spans="2:27" x14ac:dyDescent="0.25">
      <c r="B227" s="68"/>
      <c r="C227" s="69"/>
      <c r="D227" s="31"/>
      <c r="E227" s="22"/>
      <c r="F227" s="70"/>
      <c r="G227" s="68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spans="2:27" x14ac:dyDescent="0.25">
      <c r="B228" s="68"/>
      <c r="C228" s="69"/>
      <c r="D228" s="31"/>
      <c r="E228" s="22"/>
      <c r="F228" s="70"/>
      <c r="G228" s="68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spans="2:27" x14ac:dyDescent="0.25">
      <c r="B229" s="68"/>
      <c r="C229" s="69"/>
      <c r="D229" s="31"/>
      <c r="E229" s="22"/>
      <c r="F229" s="70"/>
      <c r="G229" s="68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spans="2:27" x14ac:dyDescent="0.25">
      <c r="B230" s="65" t="s">
        <v>480</v>
      </c>
      <c r="C230" s="9"/>
      <c r="D230" s="9"/>
      <c r="E230" s="9"/>
      <c r="F230" s="16" t="s">
        <v>405</v>
      </c>
      <c r="G230" s="67" t="s">
        <v>406</v>
      </c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spans="2:27" x14ac:dyDescent="0.25">
      <c r="B231" s="68">
        <v>1</v>
      </c>
      <c r="C231" s="69" t="s">
        <v>415</v>
      </c>
      <c r="D231" s="31"/>
      <c r="E231" s="22"/>
      <c r="F231" s="70">
        <v>1800000</v>
      </c>
      <c r="G231" s="68">
        <v>2</v>
      </c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spans="2:27" x14ac:dyDescent="0.25">
      <c r="B232" s="68">
        <v>1</v>
      </c>
      <c r="C232" s="69" t="s">
        <v>416</v>
      </c>
      <c r="D232" s="31"/>
      <c r="E232" s="22"/>
      <c r="F232" s="70">
        <v>80000</v>
      </c>
      <c r="G232" s="68">
        <v>5</v>
      </c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spans="2:27" x14ac:dyDescent="0.25">
      <c r="B233" s="68"/>
      <c r="C233" s="69"/>
      <c r="D233" s="31"/>
      <c r="E233" s="22"/>
      <c r="F233" s="70"/>
      <c r="G233" s="68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spans="2:27" x14ac:dyDescent="0.25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spans="2:27" x14ac:dyDescent="0.25">
      <c r="B235" s="25" t="s">
        <v>481</v>
      </c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</row>
    <row r="236" spans="2:27" x14ac:dyDescent="0.25">
      <c r="B236" s="52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spans="2:27" x14ac:dyDescent="0.25">
      <c r="B237" s="65" t="s">
        <v>410</v>
      </c>
      <c r="C237" s="31"/>
      <c r="D237" s="31"/>
      <c r="E237" s="22"/>
      <c r="F237" s="16" t="s">
        <v>405</v>
      </c>
      <c r="G237" s="74" t="s">
        <v>406</v>
      </c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spans="2:27" x14ac:dyDescent="0.25">
      <c r="B238" s="75">
        <v>2</v>
      </c>
      <c r="C238" s="76" t="s">
        <v>411</v>
      </c>
      <c r="D238" s="77"/>
      <c r="E238" s="78"/>
      <c r="F238" s="70">
        <v>425000</v>
      </c>
      <c r="G238" s="68">
        <v>5</v>
      </c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spans="2:27" x14ac:dyDescent="0.25">
      <c r="B239" s="68">
        <v>2</v>
      </c>
      <c r="C239" s="76" t="s">
        <v>412</v>
      </c>
      <c r="D239" s="77"/>
      <c r="E239" s="78"/>
      <c r="F239" s="79">
        <v>500000</v>
      </c>
      <c r="G239" s="68">
        <v>5</v>
      </c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spans="2:27" x14ac:dyDescent="0.25">
      <c r="B240" s="68">
        <v>1</v>
      </c>
      <c r="C240" s="76" t="s">
        <v>413</v>
      </c>
      <c r="D240" s="77"/>
      <c r="E240" s="78"/>
      <c r="F240" s="79">
        <v>600000</v>
      </c>
      <c r="G240" s="68">
        <v>5</v>
      </c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spans="2:27" x14ac:dyDescent="0.25">
      <c r="B241" s="68"/>
      <c r="C241" s="76"/>
      <c r="D241" s="77"/>
      <c r="E241" s="78"/>
      <c r="F241" s="79"/>
      <c r="G241" s="68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spans="2:27" x14ac:dyDescent="0.25">
      <c r="B242" s="68"/>
      <c r="C242" s="76"/>
      <c r="D242" s="77"/>
      <c r="E242" s="78"/>
      <c r="F242" s="79"/>
      <c r="G242" s="68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spans="2:27" x14ac:dyDescent="0.25">
      <c r="B243" s="68"/>
      <c r="C243" s="76"/>
      <c r="D243" s="77"/>
      <c r="E243" s="78"/>
      <c r="F243" s="79"/>
      <c r="G243" s="68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spans="2:27" x14ac:dyDescent="0.25">
      <c r="B244" s="65" t="s">
        <v>482</v>
      </c>
      <c r="C244" s="80"/>
      <c r="D244" s="9"/>
      <c r="E244" s="9"/>
      <c r="F244" s="16" t="s">
        <v>405</v>
      </c>
      <c r="G244" s="74" t="s">
        <v>406</v>
      </c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spans="2:27" x14ac:dyDescent="0.25">
      <c r="B245" s="68"/>
      <c r="C245" s="69"/>
      <c r="D245" s="31"/>
      <c r="E245" s="22"/>
      <c r="F245" s="70"/>
      <c r="G245" s="68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spans="2:27" x14ac:dyDescent="0.25">
      <c r="B246" s="68"/>
      <c r="C246" s="69"/>
      <c r="D246" s="31"/>
      <c r="E246" s="22"/>
      <c r="F246" s="70"/>
      <c r="G246" s="68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spans="2:27" x14ac:dyDescent="0.25">
      <c r="B247" s="65" t="s">
        <v>417</v>
      </c>
      <c r="C247" s="80"/>
      <c r="D247" s="9"/>
      <c r="E247" s="9"/>
      <c r="F247" s="16" t="s">
        <v>405</v>
      </c>
      <c r="G247" s="74" t="s">
        <v>406</v>
      </c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spans="2:27" x14ac:dyDescent="0.25">
      <c r="B248" s="68">
        <v>1</v>
      </c>
      <c r="C248" s="69" t="s">
        <v>418</v>
      </c>
      <c r="D248" s="31"/>
      <c r="E248" s="22"/>
      <c r="F248" s="70">
        <v>2000000</v>
      </c>
      <c r="G248" s="68">
        <v>3</v>
      </c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spans="2:27" x14ac:dyDescent="0.25">
      <c r="B249" s="68"/>
      <c r="C249" s="69"/>
      <c r="D249" s="31"/>
      <c r="E249" s="22"/>
      <c r="F249" s="70"/>
      <c r="G249" s="68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spans="2:27" x14ac:dyDescent="0.25">
      <c r="B250" s="65" t="s">
        <v>483</v>
      </c>
      <c r="C250" s="9"/>
      <c r="D250" s="9"/>
      <c r="E250" s="9"/>
      <c r="F250" s="16" t="s">
        <v>405</v>
      </c>
      <c r="G250" s="74" t="s">
        <v>406</v>
      </c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spans="2:27" x14ac:dyDescent="0.25">
      <c r="B251" s="68">
        <v>2</v>
      </c>
      <c r="C251" s="69" t="s">
        <v>409</v>
      </c>
      <c r="D251" s="31"/>
      <c r="E251" s="22"/>
      <c r="F251" s="70">
        <v>1000000</v>
      </c>
      <c r="G251" s="68">
        <v>5</v>
      </c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spans="2:27" x14ac:dyDescent="0.25">
      <c r="B252" s="68">
        <v>1</v>
      </c>
      <c r="C252" s="69" t="s">
        <v>484</v>
      </c>
      <c r="D252" s="31"/>
      <c r="E252" s="22"/>
      <c r="F252" s="70">
        <v>350000</v>
      </c>
      <c r="G252" s="68">
        <v>5</v>
      </c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spans="2:27" x14ac:dyDescent="0.25">
      <c r="B253" s="68"/>
      <c r="C253" s="69"/>
      <c r="D253" s="31"/>
      <c r="E253" s="22"/>
      <c r="F253" s="70"/>
      <c r="G253" s="68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spans="2:27" x14ac:dyDescent="0.25">
      <c r="B254" s="68"/>
      <c r="C254" s="69"/>
      <c r="D254" s="31"/>
      <c r="E254" s="22"/>
      <c r="F254" s="70"/>
      <c r="G254" s="68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spans="2:27" x14ac:dyDescent="0.25">
      <c r="B255" s="65" t="s">
        <v>414</v>
      </c>
      <c r="C255" s="9"/>
      <c r="D255" s="9"/>
      <c r="E255" s="9"/>
      <c r="F255" s="16" t="s">
        <v>405</v>
      </c>
      <c r="G255" s="74" t="s">
        <v>406</v>
      </c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spans="2:27" x14ac:dyDescent="0.25">
      <c r="B256" s="68"/>
      <c r="C256" s="69"/>
      <c r="D256" s="72"/>
      <c r="E256" s="22"/>
      <c r="F256" s="70"/>
      <c r="G256" s="68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spans="2:27" x14ac:dyDescent="0.25">
      <c r="B257" s="68"/>
      <c r="C257" s="69"/>
      <c r="D257" s="31"/>
      <c r="E257" s="22"/>
      <c r="F257" s="70"/>
      <c r="G257" s="68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spans="2:27" x14ac:dyDescent="0.25">
      <c r="B258" s="68"/>
      <c r="C258" s="69"/>
      <c r="D258" s="81"/>
      <c r="E258" s="82"/>
      <c r="F258" s="70"/>
      <c r="G258" s="68"/>
      <c r="H258" s="5"/>
      <c r="I258" s="5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spans="2:27" x14ac:dyDescent="0.25">
      <c r="B259" s="68"/>
      <c r="C259" s="69"/>
      <c r="D259" s="4"/>
      <c r="E259" s="83"/>
      <c r="F259" s="70"/>
      <c r="G259" s="68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spans="2:27" x14ac:dyDescent="0.25">
      <c r="B260" s="65" t="s">
        <v>419</v>
      </c>
      <c r="C260" s="71"/>
      <c r="D260" s="5"/>
      <c r="E260" s="84"/>
      <c r="F260" s="16" t="s">
        <v>405</v>
      </c>
      <c r="G260" s="74" t="s">
        <v>406</v>
      </c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spans="2:27" x14ac:dyDescent="0.25">
      <c r="B261" s="68"/>
      <c r="C261" s="69"/>
      <c r="D261" s="4"/>
      <c r="E261" s="83"/>
      <c r="F261" s="70"/>
      <c r="G261" s="68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spans="2:27" x14ac:dyDescent="0.25">
      <c r="B262" s="85"/>
      <c r="C262" s="85"/>
      <c r="D262" s="5"/>
      <c r="E262" s="84"/>
      <c r="F262" s="85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spans="2:27" x14ac:dyDescent="0.25">
      <c r="B263" s="25" t="s">
        <v>485</v>
      </c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</row>
    <row r="264" spans="2:27" x14ac:dyDescent="0.25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2:27" x14ac:dyDescent="0.25">
      <c r="B265" s="9"/>
      <c r="C265" s="475" t="s">
        <v>486</v>
      </c>
      <c r="D265" s="476"/>
      <c r="E265" s="5" t="s">
        <v>487</v>
      </c>
      <c r="F265" s="5" t="s">
        <v>424</v>
      </c>
      <c r="G265" s="5" t="s">
        <v>488</v>
      </c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2:27" x14ac:dyDescent="0.25">
      <c r="B266" s="86">
        <v>1</v>
      </c>
      <c r="C266" s="30" t="s">
        <v>489</v>
      </c>
      <c r="D266" s="22"/>
      <c r="E266" s="87">
        <v>3000000</v>
      </c>
      <c r="F266" s="87"/>
      <c r="G266" s="87">
        <f t="shared" ref="G266" si="64">IF((E266+F266)&lt;$G$277*2,$G$278,0)</f>
        <v>0</v>
      </c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2:27" x14ac:dyDescent="0.25">
      <c r="B267" s="86"/>
      <c r="C267" s="30"/>
      <c r="D267" s="22"/>
      <c r="E267" s="87"/>
      <c r="F267" s="87"/>
      <c r="G267" s="87">
        <f>IF(E268=0,0,IF((E267+F267)&lt;$G$277*2,$G$278,0))</f>
        <v>0</v>
      </c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spans="2:27" x14ac:dyDescent="0.25">
      <c r="B268" s="86"/>
      <c r="C268" s="30"/>
      <c r="D268" s="22"/>
      <c r="E268" s="87"/>
      <c r="F268" s="87"/>
      <c r="G268" s="87">
        <f>IF(E269=0,0,IF((E268+F268)&lt;$G$277*2,$G$278,0))</f>
        <v>0</v>
      </c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spans="2:27" x14ac:dyDescent="0.25">
      <c r="B269" s="86"/>
      <c r="C269" s="30"/>
      <c r="D269" s="22"/>
      <c r="E269" s="87"/>
      <c r="F269" s="87"/>
      <c r="G269" s="87">
        <f>IF(E270=0,0,IF((E269+F269)&lt;$G$277*2,$G$278,0))</f>
        <v>0</v>
      </c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spans="2:27" x14ac:dyDescent="0.25">
      <c r="B270" s="86"/>
      <c r="C270" s="30"/>
      <c r="D270" s="22"/>
      <c r="E270" s="87"/>
      <c r="F270" s="87"/>
      <c r="G270" s="87">
        <f>IF(E271=0,0,IF((E270+F270)&lt;$G$277*2,$G$278,0))</f>
        <v>0</v>
      </c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spans="2:27" x14ac:dyDescent="0.25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spans="2:27" x14ac:dyDescent="0.25">
      <c r="B272" s="9"/>
      <c r="C272" s="475" t="s">
        <v>490</v>
      </c>
      <c r="D272" s="476"/>
      <c r="E272" s="5" t="s">
        <v>487</v>
      </c>
      <c r="F272" s="5" t="s">
        <v>424</v>
      </c>
      <c r="G272" s="5" t="s">
        <v>488</v>
      </c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spans="2:27" x14ac:dyDescent="0.25">
      <c r="B273" s="86">
        <v>1</v>
      </c>
      <c r="C273" s="30" t="s">
        <v>491</v>
      </c>
      <c r="D273" s="22"/>
      <c r="E273" s="87">
        <v>1423500</v>
      </c>
      <c r="F273" s="87"/>
      <c r="G273" s="87">
        <f t="shared" ref="G273:G274" si="65">IF((E273+F273)&lt;$G$277*2,$G$278,0)</f>
        <v>200000</v>
      </c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spans="2:27" x14ac:dyDescent="0.25">
      <c r="B274" s="86"/>
      <c r="C274" s="30"/>
      <c r="D274" s="22"/>
      <c r="E274" s="87"/>
      <c r="F274" s="87"/>
      <c r="G274" s="87">
        <f t="shared" si="65"/>
        <v>200000</v>
      </c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spans="2:27" x14ac:dyDescent="0.25">
      <c r="B275" s="86"/>
      <c r="C275" s="30"/>
      <c r="D275" s="22"/>
      <c r="E275" s="87"/>
      <c r="F275" s="87"/>
      <c r="G275" s="87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spans="2:27" x14ac:dyDescent="0.25">
      <c r="B276" s="5"/>
      <c r="C276" s="9"/>
      <c r="D276" s="88"/>
      <c r="E276" s="13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spans="2:27" x14ac:dyDescent="0.25">
      <c r="B277" s="35" t="s">
        <v>492</v>
      </c>
      <c r="C277" s="35"/>
      <c r="D277" s="35"/>
      <c r="E277" s="33">
        <v>0.01</v>
      </c>
      <c r="F277" s="9"/>
      <c r="G277" s="89">
        <v>1423500</v>
      </c>
      <c r="H277" s="90" t="s">
        <v>493</v>
      </c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spans="2:27" x14ac:dyDescent="0.25">
      <c r="B278" s="35" t="s">
        <v>494</v>
      </c>
      <c r="C278" s="35"/>
      <c r="D278" s="35"/>
      <c r="E278" s="91">
        <v>5.0000000000000001E-4</v>
      </c>
      <c r="F278" s="9"/>
      <c r="G278" s="89">
        <v>200000</v>
      </c>
      <c r="H278" s="90" t="s">
        <v>495</v>
      </c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spans="2:27" x14ac:dyDescent="0.25">
      <c r="B279" s="9"/>
      <c r="C279" s="9"/>
      <c r="D279" s="9"/>
      <c r="E279" s="92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spans="2:27" x14ac:dyDescent="0.25">
      <c r="B280" s="9"/>
      <c r="C280" s="9"/>
      <c r="D280" s="9"/>
      <c r="E280" s="92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spans="2:27" x14ac:dyDescent="0.25">
      <c r="B281" s="25" t="s">
        <v>496</v>
      </c>
      <c r="C281" s="26"/>
      <c r="D281" s="26"/>
      <c r="E281" s="93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</row>
    <row r="282" spans="2:27" x14ac:dyDescent="0.25">
      <c r="B282" s="9"/>
      <c r="C282" s="9"/>
      <c r="D282" s="9"/>
      <c r="E282" s="92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spans="2:27" x14ac:dyDescent="0.25">
      <c r="B283" s="9"/>
      <c r="C283" s="475" t="s">
        <v>497</v>
      </c>
      <c r="D283" s="476"/>
      <c r="E283" s="5" t="s">
        <v>487</v>
      </c>
      <c r="F283" s="5" t="s">
        <v>424</v>
      </c>
      <c r="G283" s="5" t="s">
        <v>488</v>
      </c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spans="2:27" x14ac:dyDescent="0.25">
      <c r="B284" s="86"/>
      <c r="C284" s="30"/>
      <c r="D284" s="22"/>
      <c r="E284" s="87"/>
      <c r="F284" s="87"/>
      <c r="G284" s="87">
        <f t="shared" ref="G284:G286" si="66">IF((E284+F284)&lt;$G$277*2,$G$278,0)</f>
        <v>200000</v>
      </c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spans="2:27" x14ac:dyDescent="0.25">
      <c r="B285" s="86"/>
      <c r="C285" s="30"/>
      <c r="D285" s="22"/>
      <c r="E285" s="87"/>
      <c r="F285" s="87"/>
      <c r="G285" s="87">
        <f t="shared" si="66"/>
        <v>200000</v>
      </c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spans="2:27" x14ac:dyDescent="0.25">
      <c r="B286" s="86"/>
      <c r="C286" s="30"/>
      <c r="D286" s="22"/>
      <c r="E286" s="87"/>
      <c r="F286" s="87"/>
      <c r="G286" s="87">
        <f t="shared" si="66"/>
        <v>200000</v>
      </c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spans="2:27" x14ac:dyDescent="0.25">
      <c r="B287" s="9"/>
      <c r="C287" s="9"/>
      <c r="D287" s="9"/>
      <c r="E287" s="92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spans="2:27" x14ac:dyDescent="0.25">
      <c r="B288" s="25" t="s">
        <v>498</v>
      </c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</row>
    <row r="289" spans="2:27" x14ac:dyDescent="0.25">
      <c r="B289" s="52"/>
      <c r="C289" s="9"/>
      <c r="D289" s="9"/>
      <c r="E289" s="5" t="s">
        <v>431</v>
      </c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spans="2:27" x14ac:dyDescent="0.25">
      <c r="B290" s="69" t="s">
        <v>396</v>
      </c>
      <c r="C290" s="31"/>
      <c r="D290" s="22"/>
      <c r="E290" s="70">
        <v>780000</v>
      </c>
      <c r="F290" s="9"/>
      <c r="G290" s="9"/>
      <c r="H290" s="9"/>
      <c r="I290" s="9"/>
      <c r="J290" s="48" t="s">
        <v>448</v>
      </c>
      <c r="K290" s="48" t="s">
        <v>449</v>
      </c>
      <c r="L290" s="48" t="s">
        <v>450</v>
      </c>
      <c r="M290" s="48" t="s">
        <v>451</v>
      </c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spans="2:27" x14ac:dyDescent="0.25">
      <c r="B291" s="69" t="s">
        <v>397</v>
      </c>
      <c r="C291" s="31"/>
      <c r="D291" s="22"/>
      <c r="E291" s="70">
        <v>350000</v>
      </c>
      <c r="F291" s="9"/>
      <c r="G291" s="94" t="s">
        <v>499</v>
      </c>
      <c r="H291" s="30"/>
      <c r="I291" s="22"/>
      <c r="J291" s="49">
        <v>0.08</v>
      </c>
      <c r="K291" s="49">
        <v>0.08</v>
      </c>
      <c r="L291" s="49">
        <v>0.08</v>
      </c>
      <c r="M291" s="49">
        <v>0.08</v>
      </c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spans="2:27" x14ac:dyDescent="0.25">
      <c r="B292" s="69" t="s">
        <v>398</v>
      </c>
      <c r="C292" s="31"/>
      <c r="D292" s="22"/>
      <c r="E292" s="70">
        <v>50000</v>
      </c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spans="2:27" x14ac:dyDescent="0.25">
      <c r="B293" s="69"/>
      <c r="C293" s="31"/>
      <c r="D293" s="22"/>
      <c r="E293" s="70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spans="2:27" x14ac:dyDescent="0.25">
      <c r="B294" s="69"/>
      <c r="C294" s="31"/>
      <c r="D294" s="22"/>
      <c r="E294" s="70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spans="2:27" x14ac:dyDescent="0.25">
      <c r="B295" s="69"/>
      <c r="C295" s="31"/>
      <c r="D295" s="22"/>
      <c r="E295" s="70">
        <v>0</v>
      </c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spans="2:27" x14ac:dyDescent="0.25">
      <c r="B296" s="69"/>
      <c r="C296" s="31"/>
      <c r="D296" s="22"/>
      <c r="E296" s="70">
        <v>0</v>
      </c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spans="2:27" x14ac:dyDescent="0.25">
      <c r="B297" s="30" t="s">
        <v>399</v>
      </c>
      <c r="C297" s="31"/>
      <c r="D297" s="22"/>
      <c r="E297" s="87" t="s">
        <v>400</v>
      </c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spans="2:27" x14ac:dyDescent="0.25">
      <c r="B298" s="9"/>
      <c r="C298" s="9"/>
      <c r="D298" s="9"/>
      <c r="E298" s="92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spans="2:27" x14ac:dyDescent="0.25">
      <c r="B299" s="25" t="s">
        <v>500</v>
      </c>
      <c r="C299" s="26"/>
      <c r="D299" s="26"/>
      <c r="E299" s="93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</row>
    <row r="300" spans="2:27" x14ac:dyDescent="0.25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spans="2:27" x14ac:dyDescent="0.25">
      <c r="B301" s="52" t="s">
        <v>501</v>
      </c>
      <c r="C301" s="9"/>
      <c r="D301" s="5" t="s">
        <v>431</v>
      </c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spans="2:27" x14ac:dyDescent="0.25">
      <c r="B302" s="30" t="s">
        <v>396</v>
      </c>
      <c r="C302" s="22"/>
      <c r="D302" s="87">
        <v>780000</v>
      </c>
      <c r="E302" s="9"/>
      <c r="F302" s="9"/>
      <c r="G302" s="9"/>
      <c r="H302" s="9"/>
      <c r="I302" s="9"/>
      <c r="J302" s="48" t="s">
        <v>448</v>
      </c>
      <c r="K302" s="48" t="s">
        <v>449</v>
      </c>
      <c r="L302" s="48" t="s">
        <v>450</v>
      </c>
      <c r="M302" s="48" t="s">
        <v>451</v>
      </c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spans="2:27" x14ac:dyDescent="0.25">
      <c r="B303" s="30" t="s">
        <v>502</v>
      </c>
      <c r="C303" s="22"/>
      <c r="D303" s="87">
        <v>0</v>
      </c>
      <c r="E303" s="9"/>
      <c r="F303" s="9"/>
      <c r="G303" s="94" t="s">
        <v>503</v>
      </c>
      <c r="H303" s="95"/>
      <c r="I303" s="95"/>
      <c r="J303" s="96">
        <v>0.08</v>
      </c>
      <c r="K303" s="96">
        <v>0.08</v>
      </c>
      <c r="L303" s="96">
        <v>0.08</v>
      </c>
      <c r="M303" s="96">
        <v>0.08</v>
      </c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spans="2:27" x14ac:dyDescent="0.25">
      <c r="B304" s="30" t="s">
        <v>397</v>
      </c>
      <c r="C304" s="22"/>
      <c r="D304" s="87">
        <v>60000</v>
      </c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spans="2:27" x14ac:dyDescent="0.25">
      <c r="B305" s="30" t="s">
        <v>504</v>
      </c>
      <c r="C305" s="22"/>
      <c r="D305" s="97">
        <v>1000000</v>
      </c>
      <c r="E305" s="9" t="s">
        <v>505</v>
      </c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spans="2:27" x14ac:dyDescent="0.25">
      <c r="B306" s="30" t="s">
        <v>506</v>
      </c>
      <c r="C306" s="22"/>
      <c r="D306" s="70">
        <v>200000</v>
      </c>
      <c r="E306" s="9"/>
      <c r="F306" s="9"/>
      <c r="G306" s="9"/>
      <c r="H306" s="9"/>
      <c r="I306" s="9"/>
      <c r="J306" s="5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spans="2:27" x14ac:dyDescent="0.25">
      <c r="B307" s="30" t="s">
        <v>507</v>
      </c>
      <c r="C307" s="22"/>
      <c r="D307" s="70">
        <v>65000</v>
      </c>
      <c r="E307" s="9"/>
      <c r="F307" s="9"/>
      <c r="G307" s="9"/>
      <c r="H307" s="9"/>
      <c r="I307" s="9"/>
      <c r="J307" s="98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spans="2:27" x14ac:dyDescent="0.25">
      <c r="B308" s="30" t="s">
        <v>508</v>
      </c>
      <c r="C308" s="22"/>
      <c r="D308" s="87">
        <v>0</v>
      </c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spans="2:27" x14ac:dyDescent="0.25">
      <c r="B309" s="30" t="s">
        <v>399</v>
      </c>
      <c r="C309" s="22"/>
      <c r="D309" s="87" t="s">
        <v>400</v>
      </c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spans="2:27" x14ac:dyDescent="0.25">
      <c r="B310" s="52" t="s">
        <v>509</v>
      </c>
      <c r="C310" s="9"/>
      <c r="D310" s="5" t="s">
        <v>431</v>
      </c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spans="2:27" x14ac:dyDescent="0.25">
      <c r="B311" s="30" t="s">
        <v>510</v>
      </c>
      <c r="C311" s="22"/>
      <c r="D311" s="87">
        <v>1000000</v>
      </c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spans="2:27" x14ac:dyDescent="0.25">
      <c r="B312" s="30" t="s">
        <v>511</v>
      </c>
      <c r="C312" s="22"/>
      <c r="D312" s="87">
        <v>0</v>
      </c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spans="2:27" x14ac:dyDescent="0.25">
      <c r="B313" s="30" t="s">
        <v>399</v>
      </c>
      <c r="C313" s="22"/>
      <c r="D313" s="87" t="s">
        <v>400</v>
      </c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spans="2:27" x14ac:dyDescent="0.25">
      <c r="B314" s="30" t="s">
        <v>512</v>
      </c>
      <c r="C314" s="22"/>
      <c r="D314" s="87">
        <v>0</v>
      </c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spans="2:27" x14ac:dyDescent="0.25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spans="2:27" x14ac:dyDescent="0.25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spans="2:27" x14ac:dyDescent="0.25">
      <c r="B317" s="25" t="s">
        <v>513</v>
      </c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</row>
    <row r="318" spans="2:27" x14ac:dyDescent="0.25">
      <c r="B318" s="85"/>
      <c r="C318" s="85"/>
      <c r="D318" s="85"/>
      <c r="E318" s="98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spans="2:27" x14ac:dyDescent="0.25">
      <c r="B319" s="85" t="s">
        <v>514</v>
      </c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spans="2:27" x14ac:dyDescent="0.25">
      <c r="B320" s="30" t="s">
        <v>515</v>
      </c>
      <c r="C320" s="31"/>
      <c r="D320" s="99">
        <v>0</v>
      </c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spans="2:27" x14ac:dyDescent="0.25">
      <c r="B321" s="30" t="s">
        <v>516</v>
      </c>
      <c r="C321" s="4">
        <v>0</v>
      </c>
      <c r="D321" s="22" t="s">
        <v>517</v>
      </c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spans="2:27" x14ac:dyDescent="0.25">
      <c r="B322" s="30" t="s">
        <v>518</v>
      </c>
      <c r="C322" s="100" t="s">
        <v>519</v>
      </c>
      <c r="D322" s="101">
        <v>1</v>
      </c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spans="2:27" x14ac:dyDescent="0.25">
      <c r="B323" s="30" t="s">
        <v>520</v>
      </c>
      <c r="C323" s="72">
        <v>0</v>
      </c>
      <c r="D323" s="82">
        <v>0</v>
      </c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spans="2:27" x14ac:dyDescent="0.25">
      <c r="B324" s="9"/>
      <c r="C324" s="102"/>
      <c r="D324" s="5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spans="2:27" x14ac:dyDescent="0.25">
      <c r="B325" s="25" t="s">
        <v>521</v>
      </c>
      <c r="C325" s="103"/>
      <c r="D325" s="104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</row>
    <row r="326" spans="2:27" x14ac:dyDescent="0.25">
      <c r="B326" s="9"/>
      <c r="C326" s="102"/>
      <c r="D326" s="48" t="s">
        <v>431</v>
      </c>
      <c r="E326" s="48" t="s">
        <v>448</v>
      </c>
      <c r="F326" s="48" t="s">
        <v>449</v>
      </c>
      <c r="G326" s="48" t="s">
        <v>450</v>
      </c>
      <c r="H326" s="48" t="s">
        <v>451</v>
      </c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spans="2:27" x14ac:dyDescent="0.25">
      <c r="B327" s="35" t="s">
        <v>522</v>
      </c>
      <c r="C327" s="49"/>
      <c r="D327" s="49">
        <v>0.33</v>
      </c>
      <c r="E327" s="49">
        <v>0.33</v>
      </c>
      <c r="F327" s="49">
        <v>0.33</v>
      </c>
      <c r="G327" s="49">
        <v>0.33</v>
      </c>
      <c r="H327" s="49">
        <v>0.33</v>
      </c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spans="2:27" x14ac:dyDescent="0.25">
      <c r="B328" s="9"/>
      <c r="C328" s="102"/>
      <c r="D328" s="51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spans="2:27" x14ac:dyDescent="0.25">
      <c r="B329" s="9"/>
      <c r="C329" s="102"/>
      <c r="D329" s="48" t="s">
        <v>431</v>
      </c>
      <c r="E329" s="48" t="s">
        <v>448</v>
      </c>
      <c r="F329" s="48" t="s">
        <v>449</v>
      </c>
      <c r="G329" s="48" t="s">
        <v>450</v>
      </c>
      <c r="H329" s="48" t="s">
        <v>451</v>
      </c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spans="2:27" x14ac:dyDescent="0.25">
      <c r="B330" s="35" t="s">
        <v>523</v>
      </c>
      <c r="C330" s="49"/>
      <c r="D330" s="49">
        <v>0.6</v>
      </c>
      <c r="E330" s="49">
        <v>0.6</v>
      </c>
      <c r="F330" s="49">
        <v>0.6</v>
      </c>
      <c r="G330" s="49">
        <v>0.6</v>
      </c>
      <c r="H330" s="49">
        <v>0.6</v>
      </c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spans="2:27" x14ac:dyDescent="0.25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spans="2:27" x14ac:dyDescent="0.25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spans="2:27" x14ac:dyDescent="0.25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spans="2:27" x14ac:dyDescent="0.25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spans="2:27" x14ac:dyDescent="0.25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spans="2:27" x14ac:dyDescent="0.25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spans="2:27" x14ac:dyDescent="0.25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spans="2:27" x14ac:dyDescent="0.25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spans="2:27" x14ac:dyDescent="0.25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spans="2:27" x14ac:dyDescent="0.25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spans="2:27" x14ac:dyDescent="0.25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spans="2:27" x14ac:dyDescent="0.25">
      <c r="B342" s="30" t="s">
        <v>524</v>
      </c>
      <c r="C342" s="22" t="s">
        <v>525</v>
      </c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spans="2:27" x14ac:dyDescent="0.25">
      <c r="B343" s="35" t="s">
        <v>519</v>
      </c>
      <c r="C343" s="48">
        <v>1</v>
      </c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spans="2:27" x14ac:dyDescent="0.25">
      <c r="B344" s="35" t="s">
        <v>526</v>
      </c>
      <c r="C344" s="48">
        <v>6</v>
      </c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spans="2:27" x14ac:dyDescent="0.25">
      <c r="B345" s="35" t="s">
        <v>527</v>
      </c>
      <c r="C345" s="48">
        <v>360</v>
      </c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spans="2:27" x14ac:dyDescent="0.25">
      <c r="B346" s="35" t="s">
        <v>528</v>
      </c>
      <c r="C346" s="48">
        <v>12</v>
      </c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spans="2:27" x14ac:dyDescent="0.25">
      <c r="B347" s="35" t="s">
        <v>529</v>
      </c>
      <c r="C347" s="48">
        <v>24</v>
      </c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spans="2:27" x14ac:dyDescent="0.25">
      <c r="B348" s="35" t="s">
        <v>530</v>
      </c>
      <c r="C348" s="48">
        <v>48</v>
      </c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spans="2:27" x14ac:dyDescent="0.25">
      <c r="B349" s="35" t="s">
        <v>531</v>
      </c>
      <c r="C349" s="48">
        <v>2</v>
      </c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spans="2:27" x14ac:dyDescent="0.25">
      <c r="B350" s="35" t="s">
        <v>532</v>
      </c>
      <c r="C350" s="48">
        <v>4</v>
      </c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spans="2:27" x14ac:dyDescent="0.25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spans="2:27" x14ac:dyDescent="0.25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spans="2:27" x14ac:dyDescent="0.25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spans="2:27" x14ac:dyDescent="0.25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spans="2:27" x14ac:dyDescent="0.25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spans="2:27" x14ac:dyDescent="0.25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spans="2:27" x14ac:dyDescent="0.25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spans="2:27" x14ac:dyDescent="0.25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spans="2:27" x14ac:dyDescent="0.25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spans="2:27" x14ac:dyDescent="0.25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spans="2:27" x14ac:dyDescent="0.25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spans="2:27" x14ac:dyDescent="0.25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spans="2:27" x14ac:dyDescent="0.25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spans="2:27" x14ac:dyDescent="0.25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spans="2:27" x14ac:dyDescent="0.25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spans="2:27" x14ac:dyDescent="0.25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spans="2:27" x14ac:dyDescent="0.25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spans="2:27" x14ac:dyDescent="0.25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spans="2:27" x14ac:dyDescent="0.25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spans="2:27" x14ac:dyDescent="0.25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spans="2:27" x14ac:dyDescent="0.25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spans="2:27" x14ac:dyDescent="0.25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spans="2:27" x14ac:dyDescent="0.25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spans="2:27" x14ac:dyDescent="0.25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spans="2:27" x14ac:dyDescent="0.25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spans="2:27" x14ac:dyDescent="0.25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spans="2:27" x14ac:dyDescent="0.25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spans="2:27" x14ac:dyDescent="0.25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spans="2:27" x14ac:dyDescent="0.25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spans="2:27" x14ac:dyDescent="0.25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spans="2:27" x14ac:dyDescent="0.25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spans="2:27" x14ac:dyDescent="0.25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spans="2:27" x14ac:dyDescent="0.25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spans="2:27" x14ac:dyDescent="0.25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spans="2:27" x14ac:dyDescent="0.25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spans="2:27" x14ac:dyDescent="0.25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spans="2:27" x14ac:dyDescent="0.25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spans="2:27" x14ac:dyDescent="0.25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spans="2:27" x14ac:dyDescent="0.25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spans="2:27" x14ac:dyDescent="0.25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spans="2:27" x14ac:dyDescent="0.25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spans="2:27" x14ac:dyDescent="0.25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spans="2:27" x14ac:dyDescent="0.25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spans="2:27" x14ac:dyDescent="0.25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spans="2:27" x14ac:dyDescent="0.25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spans="2:27" x14ac:dyDescent="0.25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spans="2:27" x14ac:dyDescent="0.25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spans="2:27" x14ac:dyDescent="0.25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spans="2:27" x14ac:dyDescent="0.25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spans="2:27" x14ac:dyDescent="0.25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spans="2:27" x14ac:dyDescent="0.25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spans="2:27" x14ac:dyDescent="0.25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spans="2:27" x14ac:dyDescent="0.25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spans="2:27" x14ac:dyDescent="0.25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spans="2:27" x14ac:dyDescent="0.25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spans="2:27" x14ac:dyDescent="0.25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spans="2:27" x14ac:dyDescent="0.25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spans="2:27" x14ac:dyDescent="0.25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spans="2:27" x14ac:dyDescent="0.25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spans="2:27" x14ac:dyDescent="0.25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spans="2:27" x14ac:dyDescent="0.25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spans="2:27" x14ac:dyDescent="0.25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spans="2:27" x14ac:dyDescent="0.25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spans="2:27" x14ac:dyDescent="0.25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spans="2:27" x14ac:dyDescent="0.25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spans="2:27" x14ac:dyDescent="0.25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spans="2:27" x14ac:dyDescent="0.25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spans="2:27" x14ac:dyDescent="0.25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spans="2:27" x14ac:dyDescent="0.25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spans="2:27" x14ac:dyDescent="0.25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spans="2:27" x14ac:dyDescent="0.25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spans="2:27" x14ac:dyDescent="0.25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spans="2:27" x14ac:dyDescent="0.25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spans="2:27" x14ac:dyDescent="0.25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spans="2:27" x14ac:dyDescent="0.25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spans="2:27" x14ac:dyDescent="0.25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spans="2:27" x14ac:dyDescent="0.25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spans="2:27" x14ac:dyDescent="0.25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spans="2:27" x14ac:dyDescent="0.25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spans="2:27" x14ac:dyDescent="0.25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spans="2:27" x14ac:dyDescent="0.25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spans="2:27" x14ac:dyDescent="0.25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spans="2:27" x14ac:dyDescent="0.25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spans="2:27" x14ac:dyDescent="0.25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spans="2:27" x14ac:dyDescent="0.25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spans="2:27" x14ac:dyDescent="0.25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spans="2:27" x14ac:dyDescent="0.25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spans="2:27" x14ac:dyDescent="0.25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spans="2:27" x14ac:dyDescent="0.25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spans="2:27" x14ac:dyDescent="0.25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spans="2:27" x14ac:dyDescent="0.25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spans="2:27" x14ac:dyDescent="0.25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spans="2:27" x14ac:dyDescent="0.25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spans="2:27" x14ac:dyDescent="0.25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spans="2:27" x14ac:dyDescent="0.25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spans="2:27" x14ac:dyDescent="0.25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spans="2:27" x14ac:dyDescent="0.25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spans="2:27" x14ac:dyDescent="0.25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spans="2:27" x14ac:dyDescent="0.25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spans="2:27" x14ac:dyDescent="0.25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spans="2:27" x14ac:dyDescent="0.25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spans="2:27" x14ac:dyDescent="0.25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spans="2:27" x14ac:dyDescent="0.25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spans="2:27" x14ac:dyDescent="0.25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spans="2:27" x14ac:dyDescent="0.25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spans="2:27" x14ac:dyDescent="0.25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spans="2:27" x14ac:dyDescent="0.25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spans="2:27" x14ac:dyDescent="0.25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spans="2:27" x14ac:dyDescent="0.25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spans="2:27" x14ac:dyDescent="0.25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spans="2:27" x14ac:dyDescent="0.25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spans="2:27" x14ac:dyDescent="0.25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spans="2:27" x14ac:dyDescent="0.25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spans="2:27" x14ac:dyDescent="0.25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spans="2:27" x14ac:dyDescent="0.25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spans="2:27" x14ac:dyDescent="0.25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spans="2:27" x14ac:dyDescent="0.25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spans="2:27" x14ac:dyDescent="0.25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spans="2:27" x14ac:dyDescent="0.25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spans="2:27" x14ac:dyDescent="0.25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spans="2:27" x14ac:dyDescent="0.25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spans="2:27" x14ac:dyDescent="0.25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spans="2:27" x14ac:dyDescent="0.25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spans="2:27" x14ac:dyDescent="0.25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spans="2:27" x14ac:dyDescent="0.25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spans="2:27" x14ac:dyDescent="0.25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spans="2:27" x14ac:dyDescent="0.25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spans="2:27" x14ac:dyDescent="0.25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spans="2:27" x14ac:dyDescent="0.25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spans="2:27" x14ac:dyDescent="0.25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spans="2:27" x14ac:dyDescent="0.25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spans="2:27" x14ac:dyDescent="0.25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spans="2:27" x14ac:dyDescent="0.25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spans="2:27" x14ac:dyDescent="0.25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spans="2:27" x14ac:dyDescent="0.25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spans="2:27" x14ac:dyDescent="0.25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spans="2:27" x14ac:dyDescent="0.25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spans="2:27" x14ac:dyDescent="0.25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spans="2:27" x14ac:dyDescent="0.25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spans="2:27" x14ac:dyDescent="0.25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spans="2:27" x14ac:dyDescent="0.25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spans="2:27" x14ac:dyDescent="0.25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spans="2:27" x14ac:dyDescent="0.25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spans="2:27" x14ac:dyDescent="0.25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spans="2:27" x14ac:dyDescent="0.25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spans="2:27" x14ac:dyDescent="0.25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spans="2:27" x14ac:dyDescent="0.25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spans="2:27" x14ac:dyDescent="0.25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spans="2:27" x14ac:dyDescent="0.25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spans="2:27" x14ac:dyDescent="0.25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spans="2:27" x14ac:dyDescent="0.25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spans="2:27" x14ac:dyDescent="0.25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spans="2:27" x14ac:dyDescent="0.25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spans="2:27" x14ac:dyDescent="0.25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spans="2:27" x14ac:dyDescent="0.25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spans="2:27" x14ac:dyDescent="0.25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spans="2:27" x14ac:dyDescent="0.25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spans="2:27" x14ac:dyDescent="0.25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spans="2:27" x14ac:dyDescent="0.25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spans="2:27" x14ac:dyDescent="0.25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spans="2:27" x14ac:dyDescent="0.25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spans="2:27" x14ac:dyDescent="0.25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spans="2:27" x14ac:dyDescent="0.25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spans="2:27" x14ac:dyDescent="0.25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spans="2:27" x14ac:dyDescent="0.25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spans="2:27" x14ac:dyDescent="0.25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spans="2:27" x14ac:dyDescent="0.25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spans="2:27" x14ac:dyDescent="0.25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spans="2:27" x14ac:dyDescent="0.25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spans="2:27" x14ac:dyDescent="0.25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spans="2:27" x14ac:dyDescent="0.25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spans="2:27" x14ac:dyDescent="0.25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spans="2:27" x14ac:dyDescent="0.25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spans="2:27" x14ac:dyDescent="0.25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spans="2:27" x14ac:dyDescent="0.25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spans="2:27" x14ac:dyDescent="0.25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spans="2:27" x14ac:dyDescent="0.25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spans="2:27" x14ac:dyDescent="0.25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spans="2:27" x14ac:dyDescent="0.25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spans="2:27" x14ac:dyDescent="0.25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spans="2:27" x14ac:dyDescent="0.25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spans="2:27" x14ac:dyDescent="0.25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spans="2:27" x14ac:dyDescent="0.25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spans="2:27" x14ac:dyDescent="0.25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spans="2:27" x14ac:dyDescent="0.25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spans="2:27" x14ac:dyDescent="0.25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spans="2:27" x14ac:dyDescent="0.25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spans="2:27" x14ac:dyDescent="0.25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spans="2:27" x14ac:dyDescent="0.25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spans="2:27" x14ac:dyDescent="0.25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spans="2:27" x14ac:dyDescent="0.25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spans="2:27" x14ac:dyDescent="0.25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spans="2:27" x14ac:dyDescent="0.25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spans="2:27" x14ac:dyDescent="0.25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spans="2:27" x14ac:dyDescent="0.25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spans="2:27" x14ac:dyDescent="0.25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spans="2:27" x14ac:dyDescent="0.25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spans="2:27" x14ac:dyDescent="0.25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spans="2:27" x14ac:dyDescent="0.25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spans="2:27" x14ac:dyDescent="0.25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spans="2:27" x14ac:dyDescent="0.25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spans="2:27" x14ac:dyDescent="0.25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spans="2:27" x14ac:dyDescent="0.25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spans="2:27" x14ac:dyDescent="0.25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spans="2:27" x14ac:dyDescent="0.25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spans="2:27" x14ac:dyDescent="0.25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spans="2:27" x14ac:dyDescent="0.25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spans="2:27" x14ac:dyDescent="0.25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spans="2:27" x14ac:dyDescent="0.25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spans="2:27" x14ac:dyDescent="0.25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spans="2:27" x14ac:dyDescent="0.25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spans="2:27" x14ac:dyDescent="0.25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spans="2:27" x14ac:dyDescent="0.25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spans="2:27" x14ac:dyDescent="0.25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spans="2:27" x14ac:dyDescent="0.25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spans="2:27" x14ac:dyDescent="0.25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spans="2:27" x14ac:dyDescent="0.25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spans="2:27" x14ac:dyDescent="0.25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spans="2:27" x14ac:dyDescent="0.25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spans="2:27" x14ac:dyDescent="0.25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spans="2:27" x14ac:dyDescent="0.25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spans="2:27" x14ac:dyDescent="0.25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spans="2:27" x14ac:dyDescent="0.25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spans="2:27" x14ac:dyDescent="0.25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spans="2:27" x14ac:dyDescent="0.25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spans="2:27" x14ac:dyDescent="0.25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spans="2:27" x14ac:dyDescent="0.25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spans="2:27" x14ac:dyDescent="0.25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spans="2:27" x14ac:dyDescent="0.25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spans="2:27" x14ac:dyDescent="0.25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spans="2:27" x14ac:dyDescent="0.25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spans="2:27" x14ac:dyDescent="0.25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spans="2:27" x14ac:dyDescent="0.25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spans="2:27" x14ac:dyDescent="0.25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spans="2:27" x14ac:dyDescent="0.25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spans="2:27" x14ac:dyDescent="0.25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spans="2:27" x14ac:dyDescent="0.25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spans="2:27" x14ac:dyDescent="0.25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spans="2:27" x14ac:dyDescent="0.25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spans="2:27" x14ac:dyDescent="0.25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spans="2:27" x14ac:dyDescent="0.25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spans="2:27" x14ac:dyDescent="0.25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spans="2:27" x14ac:dyDescent="0.25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spans="2:27" x14ac:dyDescent="0.25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spans="2:27" x14ac:dyDescent="0.25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spans="2:27" x14ac:dyDescent="0.25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spans="2:27" x14ac:dyDescent="0.25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spans="2:27" x14ac:dyDescent="0.25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spans="2:27" x14ac:dyDescent="0.25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spans="2:27" x14ac:dyDescent="0.25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spans="2:27" x14ac:dyDescent="0.25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spans="2:27" x14ac:dyDescent="0.25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spans="2:27" x14ac:dyDescent="0.25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spans="2:27" x14ac:dyDescent="0.25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spans="2:27" x14ac:dyDescent="0.25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spans="2:27" x14ac:dyDescent="0.25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spans="2:27" x14ac:dyDescent="0.25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spans="2:27" x14ac:dyDescent="0.25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spans="2:27" x14ac:dyDescent="0.25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spans="2:27" x14ac:dyDescent="0.25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spans="2:27" x14ac:dyDescent="0.25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spans="2:27" x14ac:dyDescent="0.25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spans="2:27" x14ac:dyDescent="0.25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spans="2:27" x14ac:dyDescent="0.25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spans="2:27" x14ac:dyDescent="0.25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spans="2:27" x14ac:dyDescent="0.25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spans="2:27" x14ac:dyDescent="0.25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spans="2:27" x14ac:dyDescent="0.25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spans="2:27" x14ac:dyDescent="0.25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spans="2:27" x14ac:dyDescent="0.25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spans="2:27" x14ac:dyDescent="0.25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spans="2:27" x14ac:dyDescent="0.25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spans="2:27" x14ac:dyDescent="0.25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spans="2:27" x14ac:dyDescent="0.25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spans="2:27" x14ac:dyDescent="0.25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spans="2:27" x14ac:dyDescent="0.25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spans="2:27" x14ac:dyDescent="0.25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spans="2:27" x14ac:dyDescent="0.25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spans="2:27" x14ac:dyDescent="0.25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spans="2:27" x14ac:dyDescent="0.25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spans="2:27" x14ac:dyDescent="0.25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spans="2:27" x14ac:dyDescent="0.25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spans="2:27" x14ac:dyDescent="0.25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spans="2:27" x14ac:dyDescent="0.25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spans="2:27" x14ac:dyDescent="0.25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spans="2:27" x14ac:dyDescent="0.25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spans="2:27" x14ac:dyDescent="0.25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spans="2:27" x14ac:dyDescent="0.25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spans="2:27" x14ac:dyDescent="0.25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spans="2:27" x14ac:dyDescent="0.25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spans="2:27" x14ac:dyDescent="0.25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spans="2:27" x14ac:dyDescent="0.25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spans="2:27" x14ac:dyDescent="0.25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spans="2:27" x14ac:dyDescent="0.25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spans="2:27" x14ac:dyDescent="0.25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spans="2:27" x14ac:dyDescent="0.25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spans="2:27" x14ac:dyDescent="0.25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spans="2:27" x14ac:dyDescent="0.25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spans="2:27" x14ac:dyDescent="0.25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spans="2:27" x14ac:dyDescent="0.25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spans="2:27" x14ac:dyDescent="0.25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spans="2:27" x14ac:dyDescent="0.25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spans="2:27" x14ac:dyDescent="0.25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spans="2:27" x14ac:dyDescent="0.25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spans="2:27" x14ac:dyDescent="0.25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spans="2:27" x14ac:dyDescent="0.25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spans="2:27" x14ac:dyDescent="0.25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spans="2:27" x14ac:dyDescent="0.25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spans="2:27" x14ac:dyDescent="0.25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spans="2:27" x14ac:dyDescent="0.25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spans="2:27" x14ac:dyDescent="0.25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spans="2:27" x14ac:dyDescent="0.25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spans="2:27" x14ac:dyDescent="0.25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spans="2:27" x14ac:dyDescent="0.25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spans="2:27" x14ac:dyDescent="0.25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spans="2:27" x14ac:dyDescent="0.25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spans="2:27" x14ac:dyDescent="0.25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spans="2:27" x14ac:dyDescent="0.25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spans="2:27" x14ac:dyDescent="0.25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spans="2:27" x14ac:dyDescent="0.25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spans="2:27" x14ac:dyDescent="0.25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spans="2:27" x14ac:dyDescent="0.25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spans="2:27" x14ac:dyDescent="0.25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spans="2:27" x14ac:dyDescent="0.25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spans="2:27" x14ac:dyDescent="0.25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spans="2:27" x14ac:dyDescent="0.25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spans="2:27" x14ac:dyDescent="0.25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spans="2:27" x14ac:dyDescent="0.25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spans="2:27" x14ac:dyDescent="0.25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spans="2:27" x14ac:dyDescent="0.25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spans="2:27" x14ac:dyDescent="0.25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spans="2:27" x14ac:dyDescent="0.25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spans="2:27" x14ac:dyDescent="0.25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spans="2:27" x14ac:dyDescent="0.25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spans="2:27" x14ac:dyDescent="0.25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spans="2:27" x14ac:dyDescent="0.25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spans="2:27" x14ac:dyDescent="0.25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spans="2:27" x14ac:dyDescent="0.25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spans="2:27" x14ac:dyDescent="0.25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spans="2:27" x14ac:dyDescent="0.25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spans="2:27" x14ac:dyDescent="0.25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spans="2:27" x14ac:dyDescent="0.25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spans="2:27" x14ac:dyDescent="0.25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spans="2:27" x14ac:dyDescent="0.25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spans="2:27" x14ac:dyDescent="0.25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spans="2:27" x14ac:dyDescent="0.25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spans="2:27" x14ac:dyDescent="0.25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spans="2:27" x14ac:dyDescent="0.25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spans="2:27" x14ac:dyDescent="0.25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spans="2:27" x14ac:dyDescent="0.25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spans="2:27" x14ac:dyDescent="0.25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spans="2:27" x14ac:dyDescent="0.25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spans="2:27" x14ac:dyDescent="0.25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spans="2:27" x14ac:dyDescent="0.25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spans="2:27" x14ac:dyDescent="0.25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spans="2:27" x14ac:dyDescent="0.25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spans="2:27" x14ac:dyDescent="0.25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spans="2:27" x14ac:dyDescent="0.25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spans="2:27" x14ac:dyDescent="0.25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spans="2:27" x14ac:dyDescent="0.25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spans="2:27" x14ac:dyDescent="0.25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spans="2:27" x14ac:dyDescent="0.25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spans="2:27" x14ac:dyDescent="0.25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spans="2:27" x14ac:dyDescent="0.25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spans="2:27" x14ac:dyDescent="0.25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spans="2:27" x14ac:dyDescent="0.25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spans="2:27" x14ac:dyDescent="0.25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spans="2:27" x14ac:dyDescent="0.25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spans="2:27" x14ac:dyDescent="0.25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spans="2:27" x14ac:dyDescent="0.25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spans="2:27" x14ac:dyDescent="0.25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spans="2:27" x14ac:dyDescent="0.25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spans="2:27" x14ac:dyDescent="0.25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spans="2:27" x14ac:dyDescent="0.25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spans="2:27" x14ac:dyDescent="0.25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spans="2:27" x14ac:dyDescent="0.25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spans="2:27" x14ac:dyDescent="0.25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spans="2:27" x14ac:dyDescent="0.25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spans="2:27" x14ac:dyDescent="0.25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spans="2:27" x14ac:dyDescent="0.25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spans="2:27" x14ac:dyDescent="0.25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spans="2:27" x14ac:dyDescent="0.25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spans="2:27" x14ac:dyDescent="0.25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spans="2:27" x14ac:dyDescent="0.25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spans="2:27" x14ac:dyDescent="0.25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spans="2:27" x14ac:dyDescent="0.25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spans="2:27" x14ac:dyDescent="0.25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spans="2:27" x14ac:dyDescent="0.25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spans="2:27" x14ac:dyDescent="0.25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spans="2:27" x14ac:dyDescent="0.25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spans="2:27" x14ac:dyDescent="0.25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spans="2:27" x14ac:dyDescent="0.25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spans="2:27" x14ac:dyDescent="0.25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spans="2:27" x14ac:dyDescent="0.25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spans="2:27" x14ac:dyDescent="0.25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spans="2:27" x14ac:dyDescent="0.25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spans="2:27" x14ac:dyDescent="0.25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spans="2:27" x14ac:dyDescent="0.25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spans="2:27" x14ac:dyDescent="0.25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spans="2:27" x14ac:dyDescent="0.25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spans="2:27" x14ac:dyDescent="0.25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spans="2:27" x14ac:dyDescent="0.25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spans="2:27" x14ac:dyDescent="0.25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spans="2:27" x14ac:dyDescent="0.25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spans="2:27" x14ac:dyDescent="0.25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spans="2:27" x14ac:dyDescent="0.25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spans="2:27" x14ac:dyDescent="0.25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spans="2:27" x14ac:dyDescent="0.25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spans="2:27" x14ac:dyDescent="0.25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spans="2:27" x14ac:dyDescent="0.25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spans="2:27" x14ac:dyDescent="0.25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spans="2:27" x14ac:dyDescent="0.25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spans="2:27" x14ac:dyDescent="0.25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spans="2:27" x14ac:dyDescent="0.25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spans="2:27" x14ac:dyDescent="0.25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spans="2:27" x14ac:dyDescent="0.25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spans="2:27" x14ac:dyDescent="0.25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spans="2:27" x14ac:dyDescent="0.25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spans="2:27" x14ac:dyDescent="0.25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spans="2:27" x14ac:dyDescent="0.25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spans="2:27" x14ac:dyDescent="0.25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spans="2:27" x14ac:dyDescent="0.25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spans="2:27" x14ac:dyDescent="0.25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spans="2:27" x14ac:dyDescent="0.25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spans="2:27" x14ac:dyDescent="0.25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spans="2:27" x14ac:dyDescent="0.25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spans="2:27" x14ac:dyDescent="0.25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spans="2:27" x14ac:dyDescent="0.25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spans="2:27" x14ac:dyDescent="0.25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spans="2:27" x14ac:dyDescent="0.25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spans="2:27" x14ac:dyDescent="0.25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spans="2:27" x14ac:dyDescent="0.25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spans="2:27" x14ac:dyDescent="0.25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spans="2:27" x14ac:dyDescent="0.25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spans="2:27" x14ac:dyDescent="0.25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spans="2:27" x14ac:dyDescent="0.25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spans="2:27" x14ac:dyDescent="0.25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spans="2:27" x14ac:dyDescent="0.25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spans="2:27" x14ac:dyDescent="0.25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spans="2:27" x14ac:dyDescent="0.25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spans="2:27" x14ac:dyDescent="0.25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spans="2:27" x14ac:dyDescent="0.25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spans="2:27" x14ac:dyDescent="0.25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spans="2:27" x14ac:dyDescent="0.25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spans="2:27" x14ac:dyDescent="0.25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spans="2:27" x14ac:dyDescent="0.25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spans="2:27" x14ac:dyDescent="0.25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spans="2:27" x14ac:dyDescent="0.25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spans="2:27" x14ac:dyDescent="0.25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spans="2:27" x14ac:dyDescent="0.25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spans="2:27" x14ac:dyDescent="0.25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spans="2:27" x14ac:dyDescent="0.25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spans="2:27" x14ac:dyDescent="0.25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spans="2:27" x14ac:dyDescent="0.25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spans="2:27" x14ac:dyDescent="0.25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spans="2:27" x14ac:dyDescent="0.25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spans="2:27" x14ac:dyDescent="0.25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spans="2:27" x14ac:dyDescent="0.25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spans="2:27" x14ac:dyDescent="0.25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spans="2:27" x14ac:dyDescent="0.25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spans="2:27" x14ac:dyDescent="0.25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spans="2:27" x14ac:dyDescent="0.25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spans="2:27" x14ac:dyDescent="0.25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spans="2:27" x14ac:dyDescent="0.25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spans="2:27" x14ac:dyDescent="0.25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spans="2:27" x14ac:dyDescent="0.25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spans="2:27" x14ac:dyDescent="0.25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spans="2:27" x14ac:dyDescent="0.25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spans="2:27" x14ac:dyDescent="0.25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spans="2:27" x14ac:dyDescent="0.25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spans="2:27" x14ac:dyDescent="0.25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spans="2:27" x14ac:dyDescent="0.25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spans="2:27" x14ac:dyDescent="0.25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spans="2:27" x14ac:dyDescent="0.25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spans="2:27" x14ac:dyDescent="0.25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spans="2:27" x14ac:dyDescent="0.25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spans="2:27" x14ac:dyDescent="0.25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spans="2:27" x14ac:dyDescent="0.25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spans="2:27" x14ac:dyDescent="0.25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spans="2:27" x14ac:dyDescent="0.25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spans="2:27" x14ac:dyDescent="0.25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spans="2:27" x14ac:dyDescent="0.25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spans="2:27" x14ac:dyDescent="0.25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spans="2:27" x14ac:dyDescent="0.25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spans="2:27" x14ac:dyDescent="0.25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spans="2:27" x14ac:dyDescent="0.25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spans="2:27" x14ac:dyDescent="0.25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spans="2:27" x14ac:dyDescent="0.25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spans="2:27" x14ac:dyDescent="0.25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spans="2:27" x14ac:dyDescent="0.25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spans="2:27" x14ac:dyDescent="0.25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spans="2:27" x14ac:dyDescent="0.25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spans="2:27" x14ac:dyDescent="0.25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spans="2:27" x14ac:dyDescent="0.25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spans="2:27" x14ac:dyDescent="0.25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spans="2:27" x14ac:dyDescent="0.25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spans="2:27" x14ac:dyDescent="0.25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spans="2:27" x14ac:dyDescent="0.25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spans="2:27" x14ac:dyDescent="0.25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spans="2:27" x14ac:dyDescent="0.25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spans="2:27" x14ac:dyDescent="0.25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spans="2:27" x14ac:dyDescent="0.25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spans="2:27" x14ac:dyDescent="0.25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spans="2:27" x14ac:dyDescent="0.25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spans="2:27" x14ac:dyDescent="0.25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spans="2:27" x14ac:dyDescent="0.25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spans="2:27" x14ac:dyDescent="0.25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spans="2:27" x14ac:dyDescent="0.25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spans="2:27" x14ac:dyDescent="0.25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spans="2:27" x14ac:dyDescent="0.25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spans="2:27" x14ac:dyDescent="0.25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spans="2:27" x14ac:dyDescent="0.25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spans="2:27" x14ac:dyDescent="0.25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spans="2:27" x14ac:dyDescent="0.25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spans="2:27" x14ac:dyDescent="0.25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spans="2:27" x14ac:dyDescent="0.25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spans="2:27" x14ac:dyDescent="0.25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spans="2:27" x14ac:dyDescent="0.25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spans="2:27" x14ac:dyDescent="0.25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spans="2:27" x14ac:dyDescent="0.25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spans="2:27" x14ac:dyDescent="0.25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spans="2:27" x14ac:dyDescent="0.25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spans="2:27" x14ac:dyDescent="0.25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spans="2:27" x14ac:dyDescent="0.25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spans="2:27" x14ac:dyDescent="0.25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spans="2:27" x14ac:dyDescent="0.25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spans="2:27" x14ac:dyDescent="0.25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spans="2:27" x14ac:dyDescent="0.25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spans="2:27" x14ac:dyDescent="0.25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spans="2:27" x14ac:dyDescent="0.25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spans="2:27" x14ac:dyDescent="0.25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spans="2:27" x14ac:dyDescent="0.25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spans="2:27" x14ac:dyDescent="0.25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spans="2:27" x14ac:dyDescent="0.25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spans="2:27" x14ac:dyDescent="0.25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spans="2:27" x14ac:dyDescent="0.25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spans="2:27" x14ac:dyDescent="0.25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spans="2:27" x14ac:dyDescent="0.25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spans="2:27" x14ac:dyDescent="0.25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spans="2:27" x14ac:dyDescent="0.25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spans="2:27" x14ac:dyDescent="0.25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spans="2:27" x14ac:dyDescent="0.25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spans="2:27" x14ac:dyDescent="0.25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spans="2:27" x14ac:dyDescent="0.25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spans="2:27" x14ac:dyDescent="0.25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spans="2:27" x14ac:dyDescent="0.25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spans="2:27" x14ac:dyDescent="0.25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spans="2:27" x14ac:dyDescent="0.25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spans="2:27" x14ac:dyDescent="0.25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spans="2:27" x14ac:dyDescent="0.25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spans="2:27" x14ac:dyDescent="0.25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spans="2:27" x14ac:dyDescent="0.25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spans="2:27" x14ac:dyDescent="0.25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spans="2:27" x14ac:dyDescent="0.25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spans="2:27" x14ac:dyDescent="0.25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spans="2:27" x14ac:dyDescent="0.25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spans="2:27" x14ac:dyDescent="0.25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spans="2:27" x14ac:dyDescent="0.25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spans="2:27" x14ac:dyDescent="0.25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spans="2:27" x14ac:dyDescent="0.25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spans="2:27" x14ac:dyDescent="0.25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spans="2:27" x14ac:dyDescent="0.25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spans="2:27" x14ac:dyDescent="0.25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spans="2:27" x14ac:dyDescent="0.25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spans="2:27" x14ac:dyDescent="0.25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spans="2:27" x14ac:dyDescent="0.25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spans="2:27" x14ac:dyDescent="0.25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spans="2:27" x14ac:dyDescent="0.25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spans="2:27" x14ac:dyDescent="0.25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spans="2:27" x14ac:dyDescent="0.25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spans="2:27" x14ac:dyDescent="0.25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spans="2:27" x14ac:dyDescent="0.25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spans="2:27" x14ac:dyDescent="0.25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spans="2:27" x14ac:dyDescent="0.25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spans="2:27" x14ac:dyDescent="0.25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spans="2:27" x14ac:dyDescent="0.25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spans="2:27" x14ac:dyDescent="0.25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spans="2:27" x14ac:dyDescent="0.25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spans="2:27" x14ac:dyDescent="0.25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spans="2:27" x14ac:dyDescent="0.25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spans="2:27" x14ac:dyDescent="0.25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spans="2:27" x14ac:dyDescent="0.25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spans="2:27" x14ac:dyDescent="0.25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spans="2:27" x14ac:dyDescent="0.25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spans="2:27" x14ac:dyDescent="0.25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spans="2:27" x14ac:dyDescent="0.25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spans="2:27" x14ac:dyDescent="0.25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spans="2:27" x14ac:dyDescent="0.25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spans="2:27" x14ac:dyDescent="0.25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spans="2:27" x14ac:dyDescent="0.25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spans="2:27" x14ac:dyDescent="0.25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spans="2:27" x14ac:dyDescent="0.25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spans="2:27" x14ac:dyDescent="0.25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spans="2:27" x14ac:dyDescent="0.25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spans="2:27" x14ac:dyDescent="0.25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spans="2:27" x14ac:dyDescent="0.25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spans="2:27" x14ac:dyDescent="0.25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spans="2:27" x14ac:dyDescent="0.25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spans="2:27" x14ac:dyDescent="0.25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spans="2:27" x14ac:dyDescent="0.25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spans="2:27" x14ac:dyDescent="0.25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spans="2:27" x14ac:dyDescent="0.25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spans="2:27" x14ac:dyDescent="0.25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spans="2:27" x14ac:dyDescent="0.25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spans="2:27" x14ac:dyDescent="0.25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spans="2:27" x14ac:dyDescent="0.25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spans="2:27" x14ac:dyDescent="0.25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spans="2:27" x14ac:dyDescent="0.25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spans="2:27" x14ac:dyDescent="0.25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spans="2:27" x14ac:dyDescent="0.25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spans="2:27" x14ac:dyDescent="0.25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spans="2:27" x14ac:dyDescent="0.25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spans="2:27" x14ac:dyDescent="0.25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spans="2:27" x14ac:dyDescent="0.25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spans="2:27" x14ac:dyDescent="0.25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spans="2:27" x14ac:dyDescent="0.25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spans="2:27" x14ac:dyDescent="0.25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spans="2:27" x14ac:dyDescent="0.25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spans="2:27" x14ac:dyDescent="0.25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spans="2:27" x14ac:dyDescent="0.25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spans="2:27" x14ac:dyDescent="0.25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spans="2:27" x14ac:dyDescent="0.25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spans="2:27" x14ac:dyDescent="0.25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spans="2:27" x14ac:dyDescent="0.25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spans="2:27" x14ac:dyDescent="0.25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spans="2:27" x14ac:dyDescent="0.25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spans="2:27" x14ac:dyDescent="0.25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spans="2:27" x14ac:dyDescent="0.25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spans="2:27" x14ac:dyDescent="0.25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spans="2:27" x14ac:dyDescent="0.25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spans="2:27" x14ac:dyDescent="0.25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spans="2:27" x14ac:dyDescent="0.25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spans="2:27" x14ac:dyDescent="0.25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spans="2:27" x14ac:dyDescent="0.25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spans="2:27" x14ac:dyDescent="0.25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spans="2:27" x14ac:dyDescent="0.25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spans="2:27" x14ac:dyDescent="0.25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spans="2:27" x14ac:dyDescent="0.25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spans="2:27" x14ac:dyDescent="0.25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spans="2:27" x14ac:dyDescent="0.25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spans="2:27" x14ac:dyDescent="0.25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spans="2:27" x14ac:dyDescent="0.25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spans="2:27" x14ac:dyDescent="0.25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spans="2:27" x14ac:dyDescent="0.25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spans="2:27" x14ac:dyDescent="0.25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spans="2:27" x14ac:dyDescent="0.25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spans="2:27" x14ac:dyDescent="0.25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spans="2:27" x14ac:dyDescent="0.25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spans="2:27" x14ac:dyDescent="0.25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spans="2:27" x14ac:dyDescent="0.25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  <row r="1001" spans="2:27" x14ac:dyDescent="0.25"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</row>
    <row r="1002" spans="2:27" x14ac:dyDescent="0.25"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</row>
    <row r="1003" spans="2:27" x14ac:dyDescent="0.25"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</row>
    <row r="1004" spans="2:27" x14ac:dyDescent="0.25"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</row>
    <row r="1005" spans="2:27" x14ac:dyDescent="0.25"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</row>
    <row r="1006" spans="2:27" x14ac:dyDescent="0.25"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</row>
    <row r="1007" spans="2:27" x14ac:dyDescent="0.25"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</row>
    <row r="1008" spans="2:27" x14ac:dyDescent="0.25"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</row>
    <row r="1009" spans="2:27" x14ac:dyDescent="0.25"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</row>
    <row r="1010" spans="2:27" x14ac:dyDescent="0.25"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</row>
    <row r="1011" spans="2:27" x14ac:dyDescent="0.25"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</row>
    <row r="1012" spans="2:27" x14ac:dyDescent="0.25"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</row>
    <row r="1013" spans="2:27" x14ac:dyDescent="0.25"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</row>
    <row r="1014" spans="2:27" x14ac:dyDescent="0.25"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</row>
    <row r="1015" spans="2:27" x14ac:dyDescent="0.25"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</row>
    <row r="1016" spans="2:27" x14ac:dyDescent="0.25"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</row>
    <row r="1017" spans="2:27" x14ac:dyDescent="0.25"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</row>
    <row r="1018" spans="2:27" x14ac:dyDescent="0.25"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</row>
    <row r="1019" spans="2:27" x14ac:dyDescent="0.25"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</row>
    <row r="1020" spans="2:27" x14ac:dyDescent="0.25"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</row>
    <row r="1021" spans="2:27" x14ac:dyDescent="0.25"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</row>
    <row r="1022" spans="2:27" x14ac:dyDescent="0.25"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</row>
    <row r="1023" spans="2:27" x14ac:dyDescent="0.25"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</row>
    <row r="1024" spans="2:27" x14ac:dyDescent="0.25"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</row>
    <row r="1025" spans="2:27" x14ac:dyDescent="0.25"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</row>
    <row r="1026" spans="2:27" x14ac:dyDescent="0.25"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</row>
    <row r="1027" spans="2:27" x14ac:dyDescent="0.25"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</row>
    <row r="1028" spans="2:27" x14ac:dyDescent="0.25"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</row>
    <row r="1029" spans="2:27" x14ac:dyDescent="0.25"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</row>
    <row r="1030" spans="2:27" x14ac:dyDescent="0.25"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</row>
    <row r="1031" spans="2:27" x14ac:dyDescent="0.25"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</row>
    <row r="1032" spans="2:27" x14ac:dyDescent="0.25"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</row>
    <row r="1033" spans="2:27" x14ac:dyDescent="0.25"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</row>
    <row r="1034" spans="2:27" x14ac:dyDescent="0.25"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</row>
    <row r="1035" spans="2:27" x14ac:dyDescent="0.25"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</row>
    <row r="1036" spans="2:27" x14ac:dyDescent="0.25"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</row>
    <row r="1037" spans="2:27" x14ac:dyDescent="0.25"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</row>
    <row r="1038" spans="2:27" x14ac:dyDescent="0.25"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</row>
    <row r="1039" spans="2:27" x14ac:dyDescent="0.25"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</row>
    <row r="1040" spans="2:27" x14ac:dyDescent="0.25"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</row>
    <row r="1041" spans="2:27" x14ac:dyDescent="0.25"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</row>
    <row r="1042" spans="2:27" x14ac:dyDescent="0.25"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</row>
    <row r="1043" spans="2:27" x14ac:dyDescent="0.25"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</row>
    <row r="1044" spans="2:27" x14ac:dyDescent="0.25"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</row>
    <row r="1045" spans="2:27" x14ac:dyDescent="0.25"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</row>
    <row r="1046" spans="2:27" x14ac:dyDescent="0.25"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</row>
    <row r="1047" spans="2:27" x14ac:dyDescent="0.25"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</row>
    <row r="1048" spans="2:27" x14ac:dyDescent="0.25"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</row>
    <row r="1049" spans="2:27" x14ac:dyDescent="0.25"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</row>
    <row r="1050" spans="2:27" x14ac:dyDescent="0.25"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</row>
    <row r="1051" spans="2:27" x14ac:dyDescent="0.25"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</row>
    <row r="1052" spans="2:27" x14ac:dyDescent="0.25"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</row>
    <row r="1053" spans="2:27" x14ac:dyDescent="0.25"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</row>
    <row r="1054" spans="2:27" x14ac:dyDescent="0.25"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</row>
    <row r="1055" spans="2:27" x14ac:dyDescent="0.25"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</row>
    <row r="1056" spans="2:27" x14ac:dyDescent="0.25"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</row>
    <row r="1057" spans="2:27" x14ac:dyDescent="0.25"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</row>
    <row r="1058" spans="2:27" x14ac:dyDescent="0.25"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</row>
    <row r="1059" spans="2:27" x14ac:dyDescent="0.25"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</row>
    <row r="1060" spans="2:27" x14ac:dyDescent="0.25"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</row>
    <row r="1061" spans="2:27" x14ac:dyDescent="0.25"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</row>
    <row r="1062" spans="2:27" x14ac:dyDescent="0.25"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</row>
    <row r="1063" spans="2:27" x14ac:dyDescent="0.25"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</row>
    <row r="1064" spans="2:27" x14ac:dyDescent="0.25"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</row>
    <row r="1065" spans="2:27" x14ac:dyDescent="0.25"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</row>
    <row r="1066" spans="2:27" x14ac:dyDescent="0.25"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</row>
    <row r="1067" spans="2:27" x14ac:dyDescent="0.25"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</row>
    <row r="1068" spans="2:27" x14ac:dyDescent="0.25"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</row>
    <row r="1069" spans="2:27" x14ac:dyDescent="0.25"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</row>
    <row r="1070" spans="2:27" x14ac:dyDescent="0.25"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</row>
    <row r="1071" spans="2:27" x14ac:dyDescent="0.25"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</row>
    <row r="1072" spans="2:27" x14ac:dyDescent="0.25"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</row>
    <row r="1073" spans="2:27" x14ac:dyDescent="0.25"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</row>
    <row r="1074" spans="2:27" x14ac:dyDescent="0.25"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</row>
    <row r="1075" spans="2:27" x14ac:dyDescent="0.25"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</row>
    <row r="1076" spans="2:27" x14ac:dyDescent="0.25"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</row>
    <row r="1077" spans="2:27" x14ac:dyDescent="0.25"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</row>
    <row r="1078" spans="2:27" x14ac:dyDescent="0.25"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</row>
    <row r="1079" spans="2:27" x14ac:dyDescent="0.25"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</row>
    <row r="1080" spans="2:27" x14ac:dyDescent="0.25"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</row>
    <row r="1081" spans="2:27" x14ac:dyDescent="0.25"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</row>
    <row r="1082" spans="2:27" x14ac:dyDescent="0.25"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</row>
    <row r="1083" spans="2:27" x14ac:dyDescent="0.25"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</row>
    <row r="1084" spans="2:27" x14ac:dyDescent="0.25"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</row>
    <row r="1085" spans="2:27" x14ac:dyDescent="0.25"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</row>
    <row r="1086" spans="2:27" x14ac:dyDescent="0.25"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</row>
    <row r="1087" spans="2:27" x14ac:dyDescent="0.25"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</row>
    <row r="1088" spans="2:27" x14ac:dyDescent="0.25"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</row>
    <row r="1089" spans="2:27" x14ac:dyDescent="0.25"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</row>
    <row r="1090" spans="2:27" x14ac:dyDescent="0.25"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</row>
    <row r="1091" spans="2:27" x14ac:dyDescent="0.25"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</row>
    <row r="1092" spans="2:27" x14ac:dyDescent="0.25"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</row>
    <row r="1093" spans="2:27" x14ac:dyDescent="0.25"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</row>
    <row r="1094" spans="2:27" x14ac:dyDescent="0.25"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</row>
    <row r="1095" spans="2:27" x14ac:dyDescent="0.25"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</row>
    <row r="1096" spans="2:27" x14ac:dyDescent="0.25"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</row>
    <row r="1097" spans="2:27" x14ac:dyDescent="0.25"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</row>
    <row r="1098" spans="2:27" x14ac:dyDescent="0.25"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</row>
    <row r="1099" spans="2:27" x14ac:dyDescent="0.25"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</row>
    <row r="1100" spans="2:27" x14ac:dyDescent="0.25"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</row>
    <row r="1101" spans="2:27" x14ac:dyDescent="0.25"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</row>
    <row r="1102" spans="2:27" x14ac:dyDescent="0.25"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</row>
    <row r="1103" spans="2:27" x14ac:dyDescent="0.25"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</row>
    <row r="1104" spans="2:27" x14ac:dyDescent="0.25"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</row>
    <row r="1105" spans="2:27" x14ac:dyDescent="0.25"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</row>
    <row r="1106" spans="2:27" x14ac:dyDescent="0.25"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</row>
    <row r="1107" spans="2:27" x14ac:dyDescent="0.25"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</row>
    <row r="1108" spans="2:27" x14ac:dyDescent="0.25"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</row>
    <row r="1109" spans="2:27" x14ac:dyDescent="0.25"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</row>
    <row r="1110" spans="2:27" x14ac:dyDescent="0.25"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</row>
    <row r="1111" spans="2:27" x14ac:dyDescent="0.25"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</row>
    <row r="1112" spans="2:27" x14ac:dyDescent="0.25"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</row>
    <row r="1113" spans="2:27" x14ac:dyDescent="0.25"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</row>
    <row r="1114" spans="2:27" x14ac:dyDescent="0.25"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</row>
    <row r="1115" spans="2:27" x14ac:dyDescent="0.25"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</row>
    <row r="1116" spans="2:27" x14ac:dyDescent="0.25"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</row>
    <row r="1117" spans="2:27" x14ac:dyDescent="0.25"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</row>
    <row r="1118" spans="2:27" x14ac:dyDescent="0.25"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</row>
    <row r="1119" spans="2:27" x14ac:dyDescent="0.25"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</row>
    <row r="1120" spans="2:27" x14ac:dyDescent="0.25"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</row>
    <row r="1121" spans="2:27" x14ac:dyDescent="0.25"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</row>
    <row r="1122" spans="2:27" x14ac:dyDescent="0.25"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</row>
    <row r="1123" spans="2:27" x14ac:dyDescent="0.25"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</row>
    <row r="1124" spans="2:27" x14ac:dyDescent="0.25"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</row>
    <row r="1125" spans="2:27" x14ac:dyDescent="0.25"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</row>
    <row r="1126" spans="2:27" x14ac:dyDescent="0.25"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</row>
    <row r="1127" spans="2:27" x14ac:dyDescent="0.25"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</row>
    <row r="1128" spans="2:27" x14ac:dyDescent="0.25"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</row>
    <row r="1129" spans="2:27" x14ac:dyDescent="0.25"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</row>
    <row r="1130" spans="2:27" x14ac:dyDescent="0.25"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</row>
    <row r="1131" spans="2:27" x14ac:dyDescent="0.25"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</row>
    <row r="1132" spans="2:27" x14ac:dyDescent="0.25"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</row>
    <row r="1133" spans="2:27" x14ac:dyDescent="0.25"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</row>
    <row r="1134" spans="2:27" x14ac:dyDescent="0.25"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</row>
    <row r="1135" spans="2:27" x14ac:dyDescent="0.25"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</row>
    <row r="1136" spans="2:27" x14ac:dyDescent="0.25"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</row>
    <row r="1137" spans="2:27" x14ac:dyDescent="0.25"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</row>
    <row r="1138" spans="2:27" x14ac:dyDescent="0.25"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</row>
    <row r="1139" spans="2:27" x14ac:dyDescent="0.25"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</row>
    <row r="1140" spans="2:27" x14ac:dyDescent="0.25"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</row>
    <row r="1141" spans="2:27" x14ac:dyDescent="0.25"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</row>
    <row r="1142" spans="2:27" x14ac:dyDescent="0.25"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</row>
    <row r="1143" spans="2:27" x14ac:dyDescent="0.25"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</row>
    <row r="1144" spans="2:27" x14ac:dyDescent="0.25"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</row>
    <row r="1145" spans="2:27" x14ac:dyDescent="0.25"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</row>
    <row r="1146" spans="2:27" x14ac:dyDescent="0.25"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</row>
    <row r="1147" spans="2:27" x14ac:dyDescent="0.25"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</row>
    <row r="1148" spans="2:27" x14ac:dyDescent="0.25"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</row>
    <row r="1149" spans="2:27" x14ac:dyDescent="0.25"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</row>
  </sheetData>
  <mergeCells count="82">
    <mergeCell ref="B103:C103"/>
    <mergeCell ref="B91:C92"/>
    <mergeCell ref="D91:I91"/>
    <mergeCell ref="B93:C93"/>
    <mergeCell ref="B94:C94"/>
    <mergeCell ref="B95:C95"/>
    <mergeCell ref="B96:C96"/>
    <mergeCell ref="B98:C99"/>
    <mergeCell ref="D98:I98"/>
    <mergeCell ref="B100:C100"/>
    <mergeCell ref="B101:C101"/>
    <mergeCell ref="B102:C102"/>
    <mergeCell ref="B89:C89"/>
    <mergeCell ref="B77:C78"/>
    <mergeCell ref="D77:I77"/>
    <mergeCell ref="B79:C79"/>
    <mergeCell ref="B80:C80"/>
    <mergeCell ref="B81:C81"/>
    <mergeCell ref="B82:C82"/>
    <mergeCell ref="B84:C85"/>
    <mergeCell ref="D84:I84"/>
    <mergeCell ref="B86:C86"/>
    <mergeCell ref="B87:C87"/>
    <mergeCell ref="B88:C88"/>
    <mergeCell ref="B72:C72"/>
    <mergeCell ref="B73:C73"/>
    <mergeCell ref="B74:C74"/>
    <mergeCell ref="B75:C75"/>
    <mergeCell ref="B63:C64"/>
    <mergeCell ref="D63:I63"/>
    <mergeCell ref="B65:C65"/>
    <mergeCell ref="B66:C66"/>
    <mergeCell ref="B67:C67"/>
    <mergeCell ref="B68:C68"/>
    <mergeCell ref="B40:C40"/>
    <mergeCell ref="B38:C38"/>
    <mergeCell ref="B42:C43"/>
    <mergeCell ref="D42:I42"/>
    <mergeCell ref="D70:I70"/>
    <mergeCell ref="B51:C51"/>
    <mergeCell ref="B52:C52"/>
    <mergeCell ref="B53:C53"/>
    <mergeCell ref="B54:C54"/>
    <mergeCell ref="B56:C57"/>
    <mergeCell ref="D56:I56"/>
    <mergeCell ref="B58:C58"/>
    <mergeCell ref="B59:C59"/>
    <mergeCell ref="B60:C60"/>
    <mergeCell ref="B61:C61"/>
    <mergeCell ref="B70:C71"/>
    <mergeCell ref="C283:D283"/>
    <mergeCell ref="D201:J201"/>
    <mergeCell ref="K201:Q201"/>
    <mergeCell ref="D10:F10"/>
    <mergeCell ref="G10:H10"/>
    <mergeCell ref="B10:C11"/>
    <mergeCell ref="B23:H23"/>
    <mergeCell ref="B138:G138"/>
    <mergeCell ref="B144:G144"/>
    <mergeCell ref="B150:H150"/>
    <mergeCell ref="C30:C31"/>
    <mergeCell ref="B118:H118"/>
    <mergeCell ref="B120:G120"/>
    <mergeCell ref="B126:G126"/>
    <mergeCell ref="B132:G132"/>
    <mergeCell ref="B44:C44"/>
    <mergeCell ref="B25:J26"/>
    <mergeCell ref="B1:H1"/>
    <mergeCell ref="K207:N207"/>
    <mergeCell ref="C265:D265"/>
    <mergeCell ref="C272:D272"/>
    <mergeCell ref="B8:H8"/>
    <mergeCell ref="B45:C45"/>
    <mergeCell ref="B46:C46"/>
    <mergeCell ref="B47:C47"/>
    <mergeCell ref="B35:C36"/>
    <mergeCell ref="B49:C50"/>
    <mergeCell ref="D49:I49"/>
    <mergeCell ref="D35:I35"/>
    <mergeCell ref="D30:I30"/>
    <mergeCell ref="B37:C37"/>
    <mergeCell ref="B39:C39"/>
  </mergeCells>
  <phoneticPr fontId="10" type="noConversion"/>
  <dataValidations count="3">
    <dataValidation type="list" allowBlank="1" showErrorMessage="1" sqref="C322" xr:uid="{E210C633-B6A5-450F-AB4B-94E375A9706B}">
      <formula1>$B$343:$B$350</formula1>
    </dataValidation>
    <dataValidation type="list" allowBlank="1" showErrorMessage="1" sqref="I163" xr:uid="{FC496F91-14E1-4D13-A9AD-C7B059C655E6}">
      <formula1>$S$174:$S$175</formula1>
    </dataValidation>
    <dataValidation allowBlank="1" showErrorMessage="1" sqref="B4:C4 B3 B5:B7" xr:uid="{CE4B5248-DAD1-4B0C-80E4-2BCFF23A4629}"/>
  </dataValidations>
  <pageMargins left="1.5748031496062993" right="0.78740157480314965" top="0.98425196850393704" bottom="0.98425196850393704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9F2F6-F7C4-4EB9-B3EF-C2FD085CBE00}">
  <dimension ref="B2:D12"/>
  <sheetViews>
    <sheetView tabSelected="1" workbookViewId="0">
      <selection activeCell="D6" sqref="D6"/>
    </sheetView>
  </sheetViews>
  <sheetFormatPr baseColWidth="10" defaultColWidth="11.140625" defaultRowHeight="15" x14ac:dyDescent="0.25"/>
  <cols>
    <col min="1" max="1" width="2.7109375" style="201" customWidth="1"/>
    <col min="2" max="2" width="21.42578125" style="200" customWidth="1"/>
    <col min="3" max="3" width="44.85546875" style="202" bestFit="1" customWidth="1"/>
    <col min="4" max="4" width="14" style="199" bestFit="1" customWidth="1"/>
    <col min="5" max="16384" width="11.140625" style="201"/>
  </cols>
  <sheetData>
    <row r="2" spans="2:4" ht="15.75" thickBot="1" x14ac:dyDescent="0.3">
      <c r="B2" s="205"/>
      <c r="C2" s="206"/>
      <c r="D2" s="207" t="s">
        <v>12</v>
      </c>
    </row>
    <row r="3" spans="2:4" x14ac:dyDescent="0.25">
      <c r="B3" s="437" t="s">
        <v>13</v>
      </c>
      <c r="C3" s="203" t="s">
        <v>14</v>
      </c>
      <c r="D3" s="333" t="s">
        <v>15</v>
      </c>
    </row>
    <row r="4" spans="2:4" x14ac:dyDescent="0.25">
      <c r="B4" s="437"/>
      <c r="C4" s="203" t="s">
        <v>16</v>
      </c>
      <c r="D4" s="333" t="s">
        <v>17</v>
      </c>
    </row>
    <row r="5" spans="2:4" ht="15.75" thickBot="1" x14ac:dyDescent="0.3">
      <c r="B5" s="438"/>
      <c r="C5" s="204" t="s">
        <v>18</v>
      </c>
      <c r="D5" s="334" t="s">
        <v>19</v>
      </c>
    </row>
    <row r="6" spans="2:4" x14ac:dyDescent="0.25">
      <c r="B6" s="437" t="s">
        <v>20</v>
      </c>
      <c r="C6" s="203" t="s">
        <v>21</v>
      </c>
      <c r="D6" s="333" t="s">
        <v>22</v>
      </c>
    </row>
    <row r="7" spans="2:4" x14ac:dyDescent="0.25">
      <c r="B7" s="437"/>
      <c r="C7" s="203" t="s">
        <v>23</v>
      </c>
      <c r="D7" s="333" t="s">
        <v>24</v>
      </c>
    </row>
    <row r="8" spans="2:4" ht="15.75" thickBot="1" x14ac:dyDescent="0.3">
      <c r="B8" s="438"/>
      <c r="C8" s="204" t="s">
        <v>25</v>
      </c>
      <c r="D8" s="334" t="s">
        <v>26</v>
      </c>
    </row>
    <row r="9" spans="2:4" x14ac:dyDescent="0.25">
      <c r="B9" s="437" t="s">
        <v>27</v>
      </c>
      <c r="C9" s="203" t="s">
        <v>28</v>
      </c>
      <c r="D9" s="333" t="s">
        <v>29</v>
      </c>
    </row>
    <row r="10" spans="2:4" ht="15.75" thickBot="1" x14ac:dyDescent="0.3">
      <c r="B10" s="438"/>
      <c r="C10" s="204" t="s">
        <v>30</v>
      </c>
      <c r="D10" s="334" t="s">
        <v>31</v>
      </c>
    </row>
    <row r="11" spans="2:4" ht="15.75" thickBot="1" x14ac:dyDescent="0.3">
      <c r="B11" s="281" t="s">
        <v>32</v>
      </c>
      <c r="C11" s="282" t="s">
        <v>33</v>
      </c>
      <c r="D11" s="335" t="s">
        <v>34</v>
      </c>
    </row>
    <row r="12" spans="2:4" ht="15.75" thickBot="1" x14ac:dyDescent="0.3">
      <c r="B12" s="283" t="s">
        <v>35</v>
      </c>
      <c r="C12" s="282" t="s">
        <v>36</v>
      </c>
      <c r="D12" s="335" t="s">
        <v>37</v>
      </c>
    </row>
  </sheetData>
  <sheetProtection algorithmName="SHA-512" hashValue="7P46wCcNnBLjwqP1RXfnqKN2f822QcE+vU4hq0hmepeLy9RqhwBRvuNesAdIHhREDr6qdt/C+FVoKW0v5w1TXA==" saltValue="Dm35SLLi9b0nIxkvIgdcmw==" spinCount="100000" sheet="1" formatCells="0" formatColumns="0" formatRows="0" insertColumns="0" insertRows="0" insertHyperlinks="0" deleteColumns="0" deleteRows="0"/>
  <mergeCells count="3">
    <mergeCell ref="B9:B10"/>
    <mergeCell ref="B6:B8"/>
    <mergeCell ref="B3:B5"/>
  </mergeCells>
  <hyperlinks>
    <hyperlink ref="D3" location="'C. Prod.'!A1" display="C. Prod." xr:uid="{58072909-1BEF-4816-B98E-010C116EAEF5}"/>
    <hyperlink ref="D4" location="'G. AyV'!A1" display="G. AyV" xr:uid="{92DAF373-6491-4574-839E-0AA4E19002E8}"/>
    <hyperlink ref="D5" location="Inver.!A1" display="Inver." xr:uid="{62D09AB4-3381-4B7A-8055-5FB267EC17E7}"/>
    <hyperlink ref="D6" location="'$ Producto'!A1" display="$ Producto" xr:uid="{5DB73ED5-FF09-43E8-8F4D-3978BA12FFC2}"/>
    <hyperlink ref="D7" location="Presu.!A1" display="Presu." xr:uid="{9C136ECC-3CC7-4055-9930-572FEF9D79BB}"/>
    <hyperlink ref="D8" location="Flujo!A1" display="Flujo" xr:uid="{6527E1B7-DF37-457E-8E0A-2D4C07693DDC}"/>
    <hyperlink ref="D9" location="'Estados finan.'!A1" display="Estados finan" xr:uid="{0E9BD4EF-85BA-41AF-A466-0D903F5AB020}"/>
    <hyperlink ref="D10" location="Indicadores!A1" display="Indicadores" xr:uid="{2C59CD93-8658-4433-9569-CB7CDAB15B40}"/>
    <hyperlink ref="D11" location="Razones!A1" display="Razones" xr:uid="{560881C8-C723-4F3C-BA10-AEDD6B193AD1}"/>
    <hyperlink ref="D12" location="'Pto. Equi.'!A1" display="Pto. Equi." xr:uid="{E00AB7E2-BC5A-4DA6-83CB-7353BE581074}"/>
  </hyperlink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DC68D-3B7B-46B0-9FF8-594247EE53C2}">
  <dimension ref="B2:R89"/>
  <sheetViews>
    <sheetView showGridLines="0" zoomScale="69" zoomScaleNormal="70" workbookViewId="0">
      <pane xSplit="4" ySplit="8" topLeftCell="E9" activePane="bottomRight" state="frozen"/>
      <selection pane="topRight" activeCell="E1" sqref="E1"/>
      <selection pane="bottomLeft" activeCell="A7" sqref="A7"/>
      <selection pane="bottomRight" activeCell="D22" sqref="D22"/>
    </sheetView>
  </sheetViews>
  <sheetFormatPr baseColWidth="10" defaultColWidth="11.85546875" defaultRowHeight="15" x14ac:dyDescent="0.25"/>
  <cols>
    <col min="1" max="1" width="2.85546875" style="162" customWidth="1"/>
    <col min="2" max="3" width="18.7109375" style="162" bestFit="1" customWidth="1"/>
    <col min="4" max="4" width="45.140625" style="162" bestFit="1" customWidth="1"/>
    <col min="5" max="5" width="45.140625" style="162" customWidth="1"/>
    <col min="6" max="6" width="16" style="162" bestFit="1" customWidth="1"/>
    <col min="7" max="7" width="11.42578125" style="162" bestFit="1" customWidth="1"/>
    <col min="8" max="8" width="22.85546875" style="163" customWidth="1"/>
    <col min="9" max="9" width="21.85546875" style="163" customWidth="1"/>
    <col min="10" max="10" width="22.140625" style="162" customWidth="1"/>
    <col min="11" max="11" width="13.42578125" style="162" bestFit="1" customWidth="1"/>
    <col min="12" max="16" width="12.140625" style="162" bestFit="1" customWidth="1"/>
    <col min="17" max="16384" width="11.85546875" style="162"/>
  </cols>
  <sheetData>
    <row r="2" spans="2:18" x14ac:dyDescent="0.25">
      <c r="B2" s="439" t="s">
        <v>38</v>
      </c>
      <c r="C2" s="439"/>
      <c r="D2" s="439"/>
      <c r="E2" s="161"/>
      <c r="I2" s="162"/>
      <c r="J2" s="164">
        <v>0.55000000000000004</v>
      </c>
      <c r="K2" s="164">
        <v>0.43</v>
      </c>
      <c r="L2" s="164">
        <f>1-(J2+K2)</f>
        <v>2.0000000000000018E-2</v>
      </c>
      <c r="M2" s="165">
        <f>SUM(J2:L2)</f>
        <v>1</v>
      </c>
      <c r="N2" s="166" t="s">
        <v>39</v>
      </c>
      <c r="O2" s="167"/>
      <c r="P2" s="167"/>
    </row>
    <row r="3" spans="2:18" x14ac:dyDescent="0.25">
      <c r="B3" s="439"/>
      <c r="C3" s="439"/>
      <c r="D3" s="439"/>
      <c r="E3" s="161"/>
      <c r="I3" s="162"/>
      <c r="J3" s="164"/>
      <c r="K3" s="164"/>
      <c r="L3" s="164"/>
      <c r="M3" s="164">
        <v>0.04</v>
      </c>
      <c r="N3" s="164">
        <v>0.57999999999999996</v>
      </c>
      <c r="O3" s="164">
        <v>0.38</v>
      </c>
      <c r="P3" s="168">
        <f>SUM(J3:O3)</f>
        <v>1</v>
      </c>
      <c r="Q3" s="166" t="s">
        <v>40</v>
      </c>
    </row>
    <row r="4" spans="2:18" x14ac:dyDescent="0.25">
      <c r="B4" s="439"/>
      <c r="C4" s="439"/>
      <c r="D4" s="439"/>
      <c r="E4" s="161"/>
      <c r="I4" s="162"/>
      <c r="J4" s="164"/>
      <c r="K4" s="164"/>
      <c r="L4" s="164"/>
      <c r="M4" s="169"/>
      <c r="N4" s="164">
        <v>0.6</v>
      </c>
      <c r="O4" s="164">
        <v>0.4</v>
      </c>
      <c r="P4" s="168">
        <f>SUM(J4:O4)</f>
        <v>1</v>
      </c>
      <c r="Q4" s="166" t="s">
        <v>41</v>
      </c>
    </row>
    <row r="5" spans="2:18" x14ac:dyDescent="0.25">
      <c r="B5" s="439"/>
      <c r="C5" s="439"/>
      <c r="D5" s="439"/>
      <c r="E5" s="161"/>
      <c r="I5" s="162"/>
      <c r="J5" s="164"/>
      <c r="K5" s="164"/>
      <c r="L5" s="164"/>
      <c r="M5" s="169">
        <v>0.2</v>
      </c>
      <c r="N5" s="164">
        <v>0.8</v>
      </c>
      <c r="O5" s="164">
        <f>SUM(J5:N5)</f>
        <v>1</v>
      </c>
      <c r="P5" s="170" t="s">
        <v>42</v>
      </c>
      <c r="Q5" s="166"/>
    </row>
    <row r="6" spans="2:18" x14ac:dyDescent="0.25">
      <c r="J6" s="164">
        <v>0.51</v>
      </c>
      <c r="K6" s="164">
        <v>0.4</v>
      </c>
      <c r="L6" s="164">
        <v>0.02</v>
      </c>
      <c r="M6" s="164">
        <v>0.02</v>
      </c>
      <c r="N6" s="164">
        <v>0.02</v>
      </c>
      <c r="O6" s="164">
        <v>0.02</v>
      </c>
      <c r="P6" s="164">
        <v>0.01</v>
      </c>
      <c r="Q6" s="168">
        <f>SUM(J6:P6)</f>
        <v>1</v>
      </c>
      <c r="R6" s="166" t="s">
        <v>43</v>
      </c>
    </row>
    <row r="7" spans="2:18" ht="15.75" x14ac:dyDescent="0.25">
      <c r="J7" s="440" t="s">
        <v>44</v>
      </c>
      <c r="K7" s="440"/>
      <c r="L7" s="440"/>
      <c r="M7" s="440"/>
      <c r="N7" s="440"/>
      <c r="O7" s="440"/>
      <c r="P7" s="440"/>
    </row>
    <row r="8" spans="2:18" ht="47.25" x14ac:dyDescent="0.25">
      <c r="B8" s="171" t="s">
        <v>45</v>
      </c>
      <c r="C8" s="172" t="s">
        <v>46</v>
      </c>
      <c r="D8" s="172" t="s">
        <v>47</v>
      </c>
      <c r="E8" s="173" t="s">
        <v>48</v>
      </c>
      <c r="F8" s="172" t="s">
        <v>49</v>
      </c>
      <c r="G8" s="172" t="s">
        <v>50</v>
      </c>
      <c r="H8" s="174" t="s">
        <v>51</v>
      </c>
      <c r="I8" s="175" t="s">
        <v>52</v>
      </c>
      <c r="J8" s="171" t="s">
        <v>53</v>
      </c>
      <c r="K8" s="172" t="s">
        <v>54</v>
      </c>
      <c r="L8" s="172" t="s">
        <v>55</v>
      </c>
      <c r="M8" s="172" t="s">
        <v>56</v>
      </c>
      <c r="N8" s="172" t="s">
        <v>57</v>
      </c>
      <c r="O8" s="172" t="s">
        <v>58</v>
      </c>
      <c r="P8" s="176" t="s">
        <v>59</v>
      </c>
    </row>
    <row r="9" spans="2:18" ht="15.75" x14ac:dyDescent="0.25">
      <c r="B9" s="177" t="s">
        <v>60</v>
      </c>
      <c r="C9" s="177" t="s">
        <v>61</v>
      </c>
      <c r="D9" s="177" t="s">
        <v>62</v>
      </c>
      <c r="E9" s="177"/>
      <c r="F9" s="177" t="s">
        <v>63</v>
      </c>
      <c r="G9" s="177">
        <v>20000</v>
      </c>
      <c r="H9" s="178">
        <f>137000/20000</f>
        <v>6.85</v>
      </c>
      <c r="I9" s="178">
        <f t="shared" ref="I9:I18" si="0">+G9*H9</f>
        <v>137000</v>
      </c>
      <c r="J9" s="179">
        <f t="shared" ref="J9:J16" si="1">+I9*$J$2</f>
        <v>75350</v>
      </c>
      <c r="K9" s="178">
        <f t="shared" ref="K9:K16" si="2">+I9*$K$2</f>
        <v>58910</v>
      </c>
      <c r="L9" s="178">
        <f t="shared" ref="L9:L16" si="3">+I9*$L$2</f>
        <v>2740.0000000000023</v>
      </c>
      <c r="M9" s="178"/>
      <c r="N9" s="178"/>
      <c r="O9" s="178"/>
      <c r="P9" s="180"/>
    </row>
    <row r="10" spans="2:18" ht="15.75" x14ac:dyDescent="0.25">
      <c r="B10" s="177" t="s">
        <v>60</v>
      </c>
      <c r="C10" s="177" t="s">
        <v>61</v>
      </c>
      <c r="D10" s="177" t="s">
        <v>64</v>
      </c>
      <c r="E10" s="177">
        <v>750</v>
      </c>
      <c r="F10" s="177" t="s">
        <v>65</v>
      </c>
      <c r="G10" s="177">
        <v>25000</v>
      </c>
      <c r="H10" s="178">
        <f>365000/25000</f>
        <v>14.6</v>
      </c>
      <c r="I10" s="178">
        <f t="shared" si="0"/>
        <v>365000</v>
      </c>
      <c r="J10" s="179">
        <f t="shared" si="1"/>
        <v>200750.00000000003</v>
      </c>
      <c r="K10" s="178">
        <f t="shared" si="2"/>
        <v>156950</v>
      </c>
      <c r="L10" s="178">
        <f t="shared" si="3"/>
        <v>7300.0000000000064</v>
      </c>
      <c r="M10" s="178"/>
      <c r="N10" s="178"/>
      <c r="O10" s="178"/>
      <c r="P10" s="180"/>
    </row>
    <row r="11" spans="2:18" ht="15.75" x14ac:dyDescent="0.25">
      <c r="B11" s="177" t="s">
        <v>60</v>
      </c>
      <c r="C11" s="177" t="s">
        <v>61</v>
      </c>
      <c r="D11" s="177" t="s">
        <v>66</v>
      </c>
      <c r="E11" s="177">
        <v>700</v>
      </c>
      <c r="F11" s="177" t="s">
        <v>65</v>
      </c>
      <c r="G11" s="177">
        <v>500</v>
      </c>
      <c r="H11" s="178">
        <v>15.2</v>
      </c>
      <c r="I11" s="178">
        <f t="shared" si="0"/>
        <v>7600</v>
      </c>
      <c r="J11" s="179">
        <f t="shared" si="1"/>
        <v>4180</v>
      </c>
      <c r="K11" s="178">
        <f t="shared" si="2"/>
        <v>3268</v>
      </c>
      <c r="L11" s="178">
        <f t="shared" si="3"/>
        <v>152.00000000000014</v>
      </c>
      <c r="M11" s="178"/>
      <c r="N11" s="178"/>
      <c r="O11" s="178"/>
      <c r="P11" s="180"/>
    </row>
    <row r="12" spans="2:18" ht="15.75" x14ac:dyDescent="0.25">
      <c r="B12" s="177" t="s">
        <v>60</v>
      </c>
      <c r="C12" s="177" t="s">
        <v>61</v>
      </c>
      <c r="D12" s="177" t="s">
        <v>67</v>
      </c>
      <c r="E12" s="177">
        <v>50</v>
      </c>
      <c r="F12" s="177" t="s">
        <v>65</v>
      </c>
      <c r="G12" s="177">
        <v>500</v>
      </c>
      <c r="H12" s="178">
        <v>15.8</v>
      </c>
      <c r="I12" s="178">
        <f t="shared" si="0"/>
        <v>7900</v>
      </c>
      <c r="J12" s="179">
        <f t="shared" si="1"/>
        <v>4345</v>
      </c>
      <c r="K12" s="178">
        <f t="shared" si="2"/>
        <v>3397</v>
      </c>
      <c r="L12" s="178">
        <f t="shared" si="3"/>
        <v>158.00000000000014</v>
      </c>
      <c r="M12" s="178"/>
      <c r="N12" s="178"/>
      <c r="O12" s="178"/>
      <c r="P12" s="180"/>
    </row>
    <row r="13" spans="2:18" ht="15.75" x14ac:dyDescent="0.25">
      <c r="B13" s="177" t="s">
        <v>60</v>
      </c>
      <c r="C13" s="177" t="s">
        <v>61</v>
      </c>
      <c r="D13" s="177" t="s">
        <v>68</v>
      </c>
      <c r="E13" s="177">
        <v>166</v>
      </c>
      <c r="F13" s="177" t="s">
        <v>65</v>
      </c>
      <c r="G13" s="177">
        <v>2500</v>
      </c>
      <c r="H13" s="178">
        <f>38813/2500</f>
        <v>15.5252</v>
      </c>
      <c r="I13" s="178">
        <f t="shared" si="0"/>
        <v>38813</v>
      </c>
      <c r="J13" s="179">
        <f t="shared" si="1"/>
        <v>21347.15</v>
      </c>
      <c r="K13" s="178">
        <f t="shared" si="2"/>
        <v>16689.59</v>
      </c>
      <c r="L13" s="178">
        <f t="shared" si="3"/>
        <v>776.26000000000067</v>
      </c>
      <c r="M13" s="178"/>
      <c r="N13" s="178"/>
      <c r="O13" s="178"/>
      <c r="P13" s="180"/>
    </row>
    <row r="14" spans="2:18" ht="15.75" x14ac:dyDescent="0.25">
      <c r="B14" s="177" t="s">
        <v>60</v>
      </c>
      <c r="C14" s="177" t="s">
        <v>61</v>
      </c>
      <c r="D14" s="177" t="s">
        <v>69</v>
      </c>
      <c r="E14" s="177">
        <v>166</v>
      </c>
      <c r="F14" s="177" t="s">
        <v>65</v>
      </c>
      <c r="G14" s="177">
        <v>2500</v>
      </c>
      <c r="H14" s="178">
        <f>38813/2500</f>
        <v>15.5252</v>
      </c>
      <c r="I14" s="178">
        <f t="shared" si="0"/>
        <v>38813</v>
      </c>
      <c r="J14" s="179">
        <f t="shared" si="1"/>
        <v>21347.15</v>
      </c>
      <c r="K14" s="178">
        <f t="shared" si="2"/>
        <v>16689.59</v>
      </c>
      <c r="L14" s="178">
        <f t="shared" si="3"/>
        <v>776.26000000000067</v>
      </c>
      <c r="M14" s="178"/>
      <c r="N14" s="178"/>
      <c r="O14" s="178"/>
      <c r="P14" s="180"/>
    </row>
    <row r="15" spans="2:18" ht="15.75" x14ac:dyDescent="0.25">
      <c r="B15" s="177" t="s">
        <v>60</v>
      </c>
      <c r="C15" s="177" t="s">
        <v>61</v>
      </c>
      <c r="D15" s="177" t="s">
        <v>70</v>
      </c>
      <c r="E15" s="177">
        <v>330</v>
      </c>
      <c r="F15" s="177" t="s">
        <v>65</v>
      </c>
      <c r="G15" s="177">
        <v>2000</v>
      </c>
      <c r="H15" s="178">
        <f>65000/20000</f>
        <v>3.25</v>
      </c>
      <c r="I15" s="178">
        <f t="shared" si="0"/>
        <v>6500</v>
      </c>
      <c r="J15" s="179">
        <f t="shared" si="1"/>
        <v>3575.0000000000005</v>
      </c>
      <c r="K15" s="178">
        <f t="shared" si="2"/>
        <v>2795</v>
      </c>
      <c r="L15" s="178">
        <f t="shared" si="3"/>
        <v>130.00000000000011</v>
      </c>
      <c r="M15" s="178"/>
      <c r="N15" s="178"/>
      <c r="O15" s="178"/>
      <c r="P15" s="180"/>
    </row>
    <row r="16" spans="2:18" ht="15.75" x14ac:dyDescent="0.25">
      <c r="B16" s="177" t="s">
        <v>60</v>
      </c>
      <c r="C16" s="177" t="s">
        <v>61</v>
      </c>
      <c r="D16" s="177" t="s">
        <v>71</v>
      </c>
      <c r="E16" s="177">
        <v>16</v>
      </c>
      <c r="F16" s="177" t="s">
        <v>65</v>
      </c>
      <c r="G16" s="177">
        <v>350</v>
      </c>
      <c r="H16" s="178">
        <v>28.571428571428573</v>
      </c>
      <c r="I16" s="178">
        <f t="shared" si="0"/>
        <v>10000</v>
      </c>
      <c r="J16" s="179">
        <f t="shared" si="1"/>
        <v>5500</v>
      </c>
      <c r="K16" s="178">
        <f t="shared" si="2"/>
        <v>4300</v>
      </c>
      <c r="L16" s="178">
        <f t="shared" si="3"/>
        <v>200.00000000000017</v>
      </c>
      <c r="M16" s="178"/>
      <c r="N16" s="178"/>
      <c r="O16" s="178"/>
      <c r="P16" s="180"/>
    </row>
    <row r="17" spans="2:16" ht="15.75" x14ac:dyDescent="0.25">
      <c r="B17" s="177" t="s">
        <v>60</v>
      </c>
      <c r="C17" s="177" t="s">
        <v>61</v>
      </c>
      <c r="D17" s="177" t="s">
        <v>72</v>
      </c>
      <c r="E17" s="177">
        <v>250</v>
      </c>
      <c r="F17" s="177" t="s">
        <v>65</v>
      </c>
      <c r="G17" s="177">
        <v>5000</v>
      </c>
      <c r="H17" s="178">
        <f>44000/5000</f>
        <v>8.8000000000000007</v>
      </c>
      <c r="I17" s="178">
        <f t="shared" si="0"/>
        <v>44000</v>
      </c>
      <c r="J17" s="179">
        <f>+I17*$J$2</f>
        <v>24200.000000000004</v>
      </c>
      <c r="K17" s="178">
        <f>+I17*$K$2</f>
        <v>18920</v>
      </c>
      <c r="L17" s="178">
        <f>+I17*$L$2</f>
        <v>880.0000000000008</v>
      </c>
      <c r="M17" s="178"/>
      <c r="N17" s="178"/>
      <c r="O17" s="178"/>
      <c r="P17" s="180"/>
    </row>
    <row r="18" spans="2:16" ht="15.75" x14ac:dyDescent="0.25">
      <c r="B18" s="177" t="s">
        <v>60</v>
      </c>
      <c r="C18" s="177" t="s">
        <v>61</v>
      </c>
      <c r="D18" s="177" t="s">
        <v>73</v>
      </c>
      <c r="E18" s="177">
        <v>1</v>
      </c>
      <c r="F18" s="177" t="s">
        <v>74</v>
      </c>
      <c r="G18" s="177">
        <v>36</v>
      </c>
      <c r="H18" s="178">
        <v>213.88888888888889</v>
      </c>
      <c r="I18" s="178">
        <f t="shared" si="0"/>
        <v>7700</v>
      </c>
      <c r="J18" s="179">
        <f>+I18*$J$2</f>
        <v>4235</v>
      </c>
      <c r="K18" s="178">
        <f>+I18*$K$2</f>
        <v>3311</v>
      </c>
      <c r="L18" s="178">
        <f>+I18*$L$2</f>
        <v>154.00000000000014</v>
      </c>
      <c r="M18" s="178"/>
      <c r="N18" s="178"/>
      <c r="O18" s="178"/>
      <c r="P18" s="180"/>
    </row>
    <row r="19" spans="2:16" ht="15.75" x14ac:dyDescent="0.25">
      <c r="B19" s="177" t="s">
        <v>60</v>
      </c>
      <c r="C19" s="177" t="s">
        <v>61</v>
      </c>
      <c r="D19" s="177" t="s">
        <v>75</v>
      </c>
      <c r="E19" s="177"/>
      <c r="F19" s="177" t="s">
        <v>74</v>
      </c>
      <c r="G19" s="177">
        <f>+I19/50</f>
        <v>560</v>
      </c>
      <c r="H19" s="178">
        <v>50</v>
      </c>
      <c r="I19" s="178">
        <v>28000</v>
      </c>
      <c r="J19" s="179">
        <f>+I19*$J$2</f>
        <v>15400.000000000002</v>
      </c>
      <c r="K19" s="178">
        <f>+I19*$K$2</f>
        <v>12040</v>
      </c>
      <c r="L19" s="178">
        <f>+I19*$L$2</f>
        <v>560.00000000000045</v>
      </c>
      <c r="M19" s="178"/>
      <c r="N19" s="178"/>
      <c r="O19" s="178"/>
      <c r="P19" s="180"/>
    </row>
    <row r="20" spans="2:16" ht="15.75" x14ac:dyDescent="0.25">
      <c r="B20" s="177" t="s">
        <v>60</v>
      </c>
      <c r="C20" s="177" t="s">
        <v>61</v>
      </c>
      <c r="D20" s="177" t="s">
        <v>76</v>
      </c>
      <c r="E20" s="177">
        <v>100</v>
      </c>
      <c r="F20" s="177" t="s">
        <v>74</v>
      </c>
      <c r="G20" s="177">
        <v>100</v>
      </c>
      <c r="H20" s="178">
        <v>57</v>
      </c>
      <c r="I20" s="178">
        <f>+G20*H20</f>
        <v>5700</v>
      </c>
      <c r="J20" s="179">
        <f>+I20*$J$2</f>
        <v>3135.0000000000005</v>
      </c>
      <c r="K20" s="178">
        <f>+I20*$K$2</f>
        <v>2451</v>
      </c>
      <c r="L20" s="178">
        <f>+I20*$L$2</f>
        <v>114.0000000000001</v>
      </c>
      <c r="M20" s="178"/>
      <c r="N20" s="178"/>
      <c r="O20" s="178"/>
      <c r="P20" s="180"/>
    </row>
    <row r="21" spans="2:16" ht="15.75" x14ac:dyDescent="0.25">
      <c r="B21" s="177" t="s">
        <v>60</v>
      </c>
      <c r="C21" s="177" t="s">
        <v>61</v>
      </c>
      <c r="D21" s="177" t="s">
        <v>77</v>
      </c>
      <c r="E21" s="177">
        <v>100</v>
      </c>
      <c r="F21" s="177" t="s">
        <v>65</v>
      </c>
      <c r="G21" s="177">
        <v>500</v>
      </c>
      <c r="H21" s="178">
        <v>33.6</v>
      </c>
      <c r="I21" s="178">
        <f>+G21*H21</f>
        <v>16800</v>
      </c>
      <c r="J21" s="179">
        <f t="shared" ref="J21:J22" si="4">+I21*$J$2</f>
        <v>9240</v>
      </c>
      <c r="K21" s="178">
        <f t="shared" ref="K21:K22" si="5">+I21*$K$2</f>
        <v>7224</v>
      </c>
      <c r="L21" s="178">
        <f t="shared" ref="L21:L22" si="6">+I21*$L$2</f>
        <v>336.00000000000028</v>
      </c>
      <c r="M21" s="178"/>
      <c r="N21" s="178"/>
      <c r="O21" s="178"/>
      <c r="P21" s="180"/>
    </row>
    <row r="22" spans="2:16" ht="15.75" x14ac:dyDescent="0.25">
      <c r="B22" s="177" t="s">
        <v>60</v>
      </c>
      <c r="C22" s="177" t="s">
        <v>61</v>
      </c>
      <c r="D22" s="177" t="s">
        <v>78</v>
      </c>
      <c r="E22" s="177">
        <v>250</v>
      </c>
      <c r="F22" s="177" t="s">
        <v>65</v>
      </c>
      <c r="G22" s="177">
        <v>500</v>
      </c>
      <c r="H22" s="178">
        <v>17.8</v>
      </c>
      <c r="I22" s="178">
        <f>+G22*H22</f>
        <v>8900</v>
      </c>
      <c r="J22" s="179">
        <f t="shared" si="4"/>
        <v>4895</v>
      </c>
      <c r="K22" s="178">
        <f t="shared" si="5"/>
        <v>3827</v>
      </c>
      <c r="L22" s="178">
        <f t="shared" si="6"/>
        <v>178.00000000000017</v>
      </c>
      <c r="M22" s="178"/>
      <c r="N22" s="178"/>
      <c r="O22" s="178"/>
      <c r="P22" s="180"/>
    </row>
    <row r="23" spans="2:16" ht="15.75" x14ac:dyDescent="0.25">
      <c r="B23" s="177" t="s">
        <v>60</v>
      </c>
      <c r="C23" s="177" t="s">
        <v>61</v>
      </c>
      <c r="D23" s="177" t="s">
        <v>79</v>
      </c>
      <c r="E23" s="177">
        <v>50</v>
      </c>
      <c r="F23" s="177" t="s">
        <v>65</v>
      </c>
      <c r="G23" s="177">
        <v>1000</v>
      </c>
      <c r="H23" s="178">
        <v>14</v>
      </c>
      <c r="I23" s="178">
        <f t="shared" ref="I23:I25" si="7">+G23*H23</f>
        <v>14000</v>
      </c>
      <c r="J23" s="179"/>
      <c r="K23" s="178">
        <f>+I23</f>
        <v>14000</v>
      </c>
      <c r="L23" s="178"/>
      <c r="M23" s="178"/>
      <c r="N23" s="178"/>
      <c r="O23" s="178"/>
      <c r="P23" s="180"/>
    </row>
    <row r="24" spans="2:16" ht="15.75" x14ac:dyDescent="0.25">
      <c r="B24" s="177" t="s">
        <v>60</v>
      </c>
      <c r="C24" s="177" t="s">
        <v>61</v>
      </c>
      <c r="D24" s="177" t="s">
        <v>80</v>
      </c>
      <c r="E24" s="177">
        <v>50</v>
      </c>
      <c r="F24" s="177" t="s">
        <v>65</v>
      </c>
      <c r="G24" s="177">
        <v>1000</v>
      </c>
      <c r="H24" s="178">
        <v>13.4</v>
      </c>
      <c r="I24" s="178">
        <f t="shared" si="7"/>
        <v>13400</v>
      </c>
      <c r="J24" s="179"/>
      <c r="K24" s="178">
        <f t="shared" ref="K24:K25" si="8">+I24</f>
        <v>13400</v>
      </c>
      <c r="L24" s="178"/>
      <c r="M24" s="178"/>
      <c r="N24" s="178"/>
      <c r="O24" s="178"/>
      <c r="P24" s="180"/>
    </row>
    <row r="25" spans="2:16" ht="15.75" x14ac:dyDescent="0.25">
      <c r="B25" s="177" t="s">
        <v>60</v>
      </c>
      <c r="C25" s="177" t="s">
        <v>61</v>
      </c>
      <c r="D25" s="177" t="s">
        <v>81</v>
      </c>
      <c r="E25" s="177">
        <v>50</v>
      </c>
      <c r="F25" s="177" t="s">
        <v>65</v>
      </c>
      <c r="G25" s="177">
        <v>1000</v>
      </c>
      <c r="H25" s="178">
        <v>16</v>
      </c>
      <c r="I25" s="178">
        <f t="shared" si="7"/>
        <v>16000</v>
      </c>
      <c r="J25" s="179"/>
      <c r="K25" s="178">
        <f t="shared" si="8"/>
        <v>16000</v>
      </c>
      <c r="L25" s="178"/>
      <c r="M25" s="178"/>
      <c r="N25" s="178"/>
      <c r="O25" s="178"/>
      <c r="P25" s="180"/>
    </row>
    <row r="26" spans="2:16" ht="15.75" x14ac:dyDescent="0.25">
      <c r="B26" s="177" t="s">
        <v>60</v>
      </c>
      <c r="C26" s="177" t="s">
        <v>61</v>
      </c>
      <c r="D26" s="177" t="s">
        <v>82</v>
      </c>
      <c r="E26" s="177">
        <v>1</v>
      </c>
      <c r="F26" s="177" t="s">
        <v>74</v>
      </c>
      <c r="G26" s="177">
        <v>10</v>
      </c>
      <c r="H26" s="178">
        <v>1320</v>
      </c>
      <c r="I26" s="178">
        <f>+G26*H26</f>
        <v>13200</v>
      </c>
      <c r="J26" s="179"/>
      <c r="K26" s="178"/>
      <c r="L26" s="178"/>
      <c r="M26" s="178"/>
      <c r="N26" s="178">
        <f>+I26*$N$4</f>
        <v>7920</v>
      </c>
      <c r="O26" s="178">
        <f>+I26*$O$4</f>
        <v>5280</v>
      </c>
      <c r="P26" s="180"/>
    </row>
    <row r="27" spans="2:16" ht="15.75" x14ac:dyDescent="0.25">
      <c r="B27" s="177" t="s">
        <v>60</v>
      </c>
      <c r="C27" s="177" t="s">
        <v>61</v>
      </c>
      <c r="D27" s="177" t="s">
        <v>83</v>
      </c>
      <c r="E27" s="177">
        <v>1</v>
      </c>
      <c r="F27" s="177" t="s">
        <v>74</v>
      </c>
      <c r="G27" s="177">
        <v>10</v>
      </c>
      <c r="H27" s="178">
        <v>1440</v>
      </c>
      <c r="I27" s="178">
        <f>+G27*H27</f>
        <v>14400</v>
      </c>
      <c r="J27" s="179"/>
      <c r="K27" s="178"/>
      <c r="L27" s="178"/>
      <c r="M27" s="178"/>
      <c r="N27" s="178">
        <f>+I27*$N$4</f>
        <v>8640</v>
      </c>
      <c r="O27" s="178">
        <f>+I27*$O$4</f>
        <v>5760</v>
      </c>
      <c r="P27" s="180"/>
    </row>
    <row r="28" spans="2:16" ht="15.75" x14ac:dyDescent="0.25">
      <c r="B28" s="177" t="s">
        <v>60</v>
      </c>
      <c r="C28" s="177" t="s">
        <v>61</v>
      </c>
      <c r="D28" s="177" t="s">
        <v>56</v>
      </c>
      <c r="E28" s="177">
        <v>100</v>
      </c>
      <c r="F28" s="177" t="s">
        <v>65</v>
      </c>
      <c r="G28" s="177">
        <v>1000</v>
      </c>
      <c r="H28" s="178">
        <f>60000/1000</f>
        <v>60</v>
      </c>
      <c r="I28" s="178">
        <f>+G28*H28</f>
        <v>60000</v>
      </c>
      <c r="J28" s="179"/>
      <c r="K28" s="178"/>
      <c r="L28" s="178"/>
      <c r="M28" s="178">
        <f>+I28</f>
        <v>60000</v>
      </c>
      <c r="N28" s="178"/>
      <c r="O28" s="178"/>
      <c r="P28" s="180"/>
    </row>
    <row r="29" spans="2:16" ht="15.75" x14ac:dyDescent="0.25">
      <c r="B29" s="181" t="s">
        <v>60</v>
      </c>
      <c r="C29" s="181" t="s">
        <v>61</v>
      </c>
      <c r="D29" s="181" t="s">
        <v>84</v>
      </c>
      <c r="E29" s="181">
        <v>6</v>
      </c>
      <c r="F29" s="181" t="s">
        <v>74</v>
      </c>
      <c r="G29" s="181">
        <v>5</v>
      </c>
      <c r="H29" s="182">
        <v>5000</v>
      </c>
      <c r="I29" s="182">
        <f>+G29*H29</f>
        <v>25000</v>
      </c>
      <c r="J29" s="179"/>
      <c r="K29" s="178"/>
      <c r="L29" s="178"/>
      <c r="M29" s="178">
        <f>+I29*$M$5</f>
        <v>5000</v>
      </c>
      <c r="N29" s="178">
        <f>+I29*$N$5</f>
        <v>20000</v>
      </c>
      <c r="O29" s="178"/>
      <c r="P29" s="180"/>
    </row>
    <row r="30" spans="2:16" ht="15.75" x14ac:dyDescent="0.25">
      <c r="B30" s="177" t="s">
        <v>60</v>
      </c>
      <c r="C30" s="177" t="s">
        <v>61</v>
      </c>
      <c r="D30" s="177" t="s">
        <v>85</v>
      </c>
      <c r="E30" s="177"/>
      <c r="F30" s="177" t="s">
        <v>74</v>
      </c>
      <c r="G30" s="177">
        <v>12</v>
      </c>
      <c r="H30" s="178">
        <v>2850</v>
      </c>
      <c r="I30" s="178">
        <f t="shared" ref="I30:I89" si="9">+G30*H30</f>
        <v>34200</v>
      </c>
      <c r="J30" s="179"/>
      <c r="K30" s="178"/>
      <c r="L30" s="178"/>
      <c r="M30" s="178"/>
      <c r="N30" s="178"/>
      <c r="O30" s="178"/>
      <c r="P30" s="180">
        <f>+I30</f>
        <v>34200</v>
      </c>
    </row>
    <row r="31" spans="2:16" ht="15.75" x14ac:dyDescent="0.25">
      <c r="B31" s="177" t="s">
        <v>60</v>
      </c>
      <c r="C31" s="177" t="s">
        <v>61</v>
      </c>
      <c r="D31" s="177" t="s">
        <v>86</v>
      </c>
      <c r="E31" s="177"/>
      <c r="F31" s="177" t="s">
        <v>74</v>
      </c>
      <c r="G31" s="177">
        <v>8</v>
      </c>
      <c r="H31" s="178">
        <v>2500</v>
      </c>
      <c r="I31" s="178">
        <f t="shared" si="9"/>
        <v>20000</v>
      </c>
      <c r="J31" s="179"/>
      <c r="K31" s="178"/>
      <c r="L31" s="178"/>
      <c r="M31" s="178"/>
      <c r="N31" s="178"/>
      <c r="O31" s="178"/>
      <c r="P31" s="180">
        <f t="shared" ref="P31:P33" si="10">+I31</f>
        <v>20000</v>
      </c>
    </row>
    <row r="32" spans="2:16" ht="15.75" x14ac:dyDescent="0.25">
      <c r="B32" s="177" t="s">
        <v>60</v>
      </c>
      <c r="C32" s="177" t="s">
        <v>61</v>
      </c>
      <c r="D32" s="177" t="s">
        <v>87</v>
      </c>
      <c r="E32" s="177"/>
      <c r="F32" s="177" t="s">
        <v>74</v>
      </c>
      <c r="G32" s="177">
        <v>6</v>
      </c>
      <c r="H32" s="178">
        <v>2200</v>
      </c>
      <c r="I32" s="178">
        <f t="shared" si="9"/>
        <v>13200</v>
      </c>
      <c r="J32" s="179"/>
      <c r="K32" s="178"/>
      <c r="L32" s="178"/>
      <c r="M32" s="178"/>
      <c r="N32" s="178"/>
      <c r="O32" s="178"/>
      <c r="P32" s="180">
        <f t="shared" si="10"/>
        <v>13200</v>
      </c>
    </row>
    <row r="33" spans="2:16" ht="31.5" x14ac:dyDescent="0.25">
      <c r="B33" s="177" t="s">
        <v>60</v>
      </c>
      <c r="C33" s="177" t="s">
        <v>61</v>
      </c>
      <c r="D33" s="177" t="s">
        <v>88</v>
      </c>
      <c r="E33" s="177"/>
      <c r="F33" s="177" t="s">
        <v>74</v>
      </c>
      <c r="G33" s="177">
        <v>20</v>
      </c>
      <c r="H33" s="178">
        <v>700</v>
      </c>
      <c r="I33" s="178">
        <f t="shared" si="9"/>
        <v>14000</v>
      </c>
      <c r="J33" s="179"/>
      <c r="K33" s="178"/>
      <c r="L33" s="178"/>
      <c r="M33" s="178"/>
      <c r="N33" s="178"/>
      <c r="O33" s="178"/>
      <c r="P33" s="180">
        <f t="shared" si="10"/>
        <v>14000</v>
      </c>
    </row>
    <row r="34" spans="2:16" ht="15.75" x14ac:dyDescent="0.25">
      <c r="B34" s="177" t="s">
        <v>60</v>
      </c>
      <c r="C34" s="177" t="s">
        <v>89</v>
      </c>
      <c r="D34" s="177" t="s">
        <v>90</v>
      </c>
      <c r="E34" s="177"/>
      <c r="F34" s="177" t="s">
        <v>91</v>
      </c>
      <c r="G34" s="177">
        <v>10000</v>
      </c>
      <c r="H34" s="178">
        <v>1.8</v>
      </c>
      <c r="I34" s="178">
        <f>+G34*H34</f>
        <v>18000</v>
      </c>
      <c r="J34" s="179">
        <f>+I34*$J$2</f>
        <v>9900</v>
      </c>
      <c r="K34" s="178">
        <f>+I34*$K$2</f>
        <v>7740</v>
      </c>
      <c r="L34" s="178">
        <f>+I34*$L$2</f>
        <v>360.00000000000034</v>
      </c>
      <c r="M34" s="178"/>
      <c r="N34" s="178"/>
      <c r="O34" s="178"/>
      <c r="P34" s="180"/>
    </row>
    <row r="35" spans="2:16" ht="15.75" x14ac:dyDescent="0.25">
      <c r="B35" s="177" t="s">
        <v>60</v>
      </c>
      <c r="C35" s="177" t="s">
        <v>89</v>
      </c>
      <c r="D35" s="177" t="s">
        <v>92</v>
      </c>
      <c r="E35" s="177"/>
      <c r="F35" s="177" t="s">
        <v>74</v>
      </c>
      <c r="G35" s="177">
        <f>300*25</f>
        <v>7500</v>
      </c>
      <c r="H35" s="178">
        <f>51000/7500</f>
        <v>6.8</v>
      </c>
      <c r="I35" s="178">
        <v>51100</v>
      </c>
      <c r="J35" s="179">
        <f>+I35*$J$6</f>
        <v>26061</v>
      </c>
      <c r="K35" s="178">
        <f>+I35*$K$6</f>
        <v>20440</v>
      </c>
      <c r="L35" s="178">
        <f>+I35*$L$6</f>
        <v>1022</v>
      </c>
      <c r="M35" s="178">
        <f>+I35*$M$6</f>
        <v>1022</v>
      </c>
      <c r="N35" s="178">
        <f>+I35*$N$6</f>
        <v>1022</v>
      </c>
      <c r="O35" s="178">
        <f>+I35*$O$6</f>
        <v>1022</v>
      </c>
      <c r="P35" s="180">
        <f>+I35*$P$6</f>
        <v>511</v>
      </c>
    </row>
    <row r="36" spans="2:16" ht="15.75" x14ac:dyDescent="0.25">
      <c r="B36" s="177" t="s">
        <v>60</v>
      </c>
      <c r="C36" s="177" t="s">
        <v>89</v>
      </c>
      <c r="D36" s="177" t="s">
        <v>93</v>
      </c>
      <c r="E36" s="177"/>
      <c r="F36" s="177" t="s">
        <v>74</v>
      </c>
      <c r="G36" s="177">
        <v>330</v>
      </c>
      <c r="H36" s="178">
        <v>90.909090909090907</v>
      </c>
      <c r="I36" s="178">
        <f t="shared" ref="I36:I44" si="11">+G36*H36</f>
        <v>30000</v>
      </c>
      <c r="J36" s="179">
        <f>+I36*$J$2</f>
        <v>16500</v>
      </c>
      <c r="K36" s="178">
        <f t="shared" ref="K36" si="12">+I36*$K$2</f>
        <v>12900</v>
      </c>
      <c r="L36" s="178">
        <f t="shared" ref="L36" si="13">+I36*$L$2</f>
        <v>600.00000000000057</v>
      </c>
      <c r="M36" s="178"/>
      <c r="N36" s="178"/>
      <c r="O36" s="178"/>
      <c r="P36" s="180"/>
    </row>
    <row r="37" spans="2:16" ht="15.75" x14ac:dyDescent="0.25">
      <c r="B37" s="177" t="s">
        <v>60</v>
      </c>
      <c r="C37" s="177" t="s">
        <v>89</v>
      </c>
      <c r="D37" s="177" t="s">
        <v>94</v>
      </c>
      <c r="E37" s="177"/>
      <c r="F37" s="177" t="s">
        <v>74</v>
      </c>
      <c r="G37" s="177">
        <v>1000</v>
      </c>
      <c r="H37" s="178">
        <f>90000/1000</f>
        <v>90</v>
      </c>
      <c r="I37" s="178">
        <f t="shared" si="11"/>
        <v>90000</v>
      </c>
      <c r="J37" s="179">
        <f>+I37*$J$6</f>
        <v>45900</v>
      </c>
      <c r="K37" s="178">
        <f>+I37*$K$6</f>
        <v>36000</v>
      </c>
      <c r="L37" s="178">
        <f>+I37*$L$6</f>
        <v>1800</v>
      </c>
      <c r="M37" s="178">
        <f>+I37*$M$6</f>
        <v>1800</v>
      </c>
      <c r="N37" s="178">
        <f>+I37*$N$6</f>
        <v>1800</v>
      </c>
      <c r="O37" s="178">
        <f>+I37*$O$6</f>
        <v>1800</v>
      </c>
      <c r="P37" s="180">
        <f>+I37*$P$6</f>
        <v>900</v>
      </c>
    </row>
    <row r="38" spans="2:16" ht="15.75" x14ac:dyDescent="0.25">
      <c r="B38" s="177" t="s">
        <v>60</v>
      </c>
      <c r="C38" s="177" t="s">
        <v>89</v>
      </c>
      <c r="D38" s="177" t="s">
        <v>95</v>
      </c>
      <c r="E38" s="177"/>
      <c r="F38" s="177" t="s">
        <v>74</v>
      </c>
      <c r="G38" s="177">
        <v>2</v>
      </c>
      <c r="H38" s="178">
        <v>5000</v>
      </c>
      <c r="I38" s="178">
        <f t="shared" si="11"/>
        <v>10000</v>
      </c>
      <c r="J38" s="179"/>
      <c r="K38" s="178"/>
      <c r="L38" s="178"/>
      <c r="M38" s="178">
        <f>+I38*$M$3</f>
        <v>400</v>
      </c>
      <c r="N38" s="178">
        <f>+I38*$N$3</f>
        <v>5800</v>
      </c>
      <c r="O38" s="178">
        <f>+I38*$O$3</f>
        <v>3800</v>
      </c>
      <c r="P38" s="180"/>
    </row>
    <row r="39" spans="2:16" ht="15.75" x14ac:dyDescent="0.25">
      <c r="B39" s="177" t="s">
        <v>60</v>
      </c>
      <c r="C39" s="177" t="s">
        <v>89</v>
      </c>
      <c r="D39" s="177" t="s">
        <v>96</v>
      </c>
      <c r="E39" s="177"/>
      <c r="F39" s="177" t="s">
        <v>74</v>
      </c>
      <c r="G39" s="177">
        <v>50</v>
      </c>
      <c r="H39" s="178">
        <f>44000/50</f>
        <v>880</v>
      </c>
      <c r="I39" s="178">
        <f t="shared" si="11"/>
        <v>44000</v>
      </c>
      <c r="J39" s="179">
        <f t="shared" ref="J39:J42" si="14">+I39*$J$2</f>
        <v>24200.000000000004</v>
      </c>
      <c r="K39" s="178">
        <f t="shared" ref="K39:K42" si="15">+I39*$K$2</f>
        <v>18920</v>
      </c>
      <c r="L39" s="178">
        <f t="shared" ref="L39:L42" si="16">+I39*$L$2</f>
        <v>880.0000000000008</v>
      </c>
      <c r="M39" s="178"/>
      <c r="N39" s="178"/>
      <c r="O39" s="178"/>
      <c r="P39" s="180"/>
    </row>
    <row r="40" spans="2:16" ht="15.75" x14ac:dyDescent="0.25">
      <c r="B40" s="177" t="s">
        <v>60</v>
      </c>
      <c r="C40" s="177" t="s">
        <v>89</v>
      </c>
      <c r="D40" s="177" t="s">
        <v>97</v>
      </c>
      <c r="E40" s="177"/>
      <c r="F40" s="177" t="s">
        <v>74</v>
      </c>
      <c r="G40" s="177">
        <v>50</v>
      </c>
      <c r="H40" s="178">
        <f>44000/50</f>
        <v>880</v>
      </c>
      <c r="I40" s="178">
        <f t="shared" si="11"/>
        <v>44000</v>
      </c>
      <c r="J40" s="179">
        <f t="shared" si="14"/>
        <v>24200.000000000004</v>
      </c>
      <c r="K40" s="178">
        <f t="shared" si="15"/>
        <v>18920</v>
      </c>
      <c r="L40" s="178">
        <f t="shared" si="16"/>
        <v>880.0000000000008</v>
      </c>
      <c r="M40" s="178"/>
      <c r="N40" s="178"/>
      <c r="O40" s="178"/>
      <c r="P40" s="180"/>
    </row>
    <row r="41" spans="2:16" ht="15.75" x14ac:dyDescent="0.25">
      <c r="B41" s="177" t="s">
        <v>60</v>
      </c>
      <c r="C41" s="177" t="s">
        <v>89</v>
      </c>
      <c r="D41" s="177" t="s">
        <v>98</v>
      </c>
      <c r="E41" s="177"/>
      <c r="F41" s="177" t="s">
        <v>74</v>
      </c>
      <c r="G41" s="177">
        <v>1000</v>
      </c>
      <c r="H41" s="178">
        <f>2300000/1000</f>
        <v>2300</v>
      </c>
      <c r="I41" s="178">
        <f t="shared" si="11"/>
        <v>2300000</v>
      </c>
      <c r="J41" s="179">
        <f t="shared" si="14"/>
        <v>1265000</v>
      </c>
      <c r="K41" s="178">
        <f t="shared" si="15"/>
        <v>989000</v>
      </c>
      <c r="L41" s="178">
        <f t="shared" si="16"/>
        <v>46000.000000000044</v>
      </c>
      <c r="M41" s="178"/>
      <c r="N41" s="178"/>
      <c r="O41" s="178"/>
      <c r="P41" s="180"/>
    </row>
    <row r="42" spans="2:16" ht="15.75" x14ac:dyDescent="0.25">
      <c r="B42" s="177" t="s">
        <v>60</v>
      </c>
      <c r="C42" s="177" t="s">
        <v>89</v>
      </c>
      <c r="D42" s="177" t="s">
        <v>99</v>
      </c>
      <c r="E42" s="177"/>
      <c r="F42" s="177" t="s">
        <v>74</v>
      </c>
      <c r="G42" s="177">
        <v>1000</v>
      </c>
      <c r="H42" s="178">
        <f>2300000/1000</f>
        <v>2300</v>
      </c>
      <c r="I42" s="178">
        <f t="shared" si="11"/>
        <v>2300000</v>
      </c>
      <c r="J42" s="179">
        <f t="shared" si="14"/>
        <v>1265000</v>
      </c>
      <c r="K42" s="178">
        <f t="shared" si="15"/>
        <v>989000</v>
      </c>
      <c r="L42" s="178">
        <f t="shared" si="16"/>
        <v>46000.000000000044</v>
      </c>
      <c r="M42" s="178"/>
      <c r="N42" s="178"/>
      <c r="O42" s="178"/>
      <c r="P42" s="180"/>
    </row>
    <row r="43" spans="2:16" ht="15.75" x14ac:dyDescent="0.25">
      <c r="B43" s="177" t="s">
        <v>60</v>
      </c>
      <c r="C43" s="177" t="s">
        <v>89</v>
      </c>
      <c r="D43" s="177" t="s">
        <v>100</v>
      </c>
      <c r="E43" s="177"/>
      <c r="F43" s="177" t="s">
        <v>101</v>
      </c>
      <c r="G43" s="177">
        <v>1</v>
      </c>
      <c r="H43" s="178">
        <v>20000</v>
      </c>
      <c r="I43" s="178">
        <f t="shared" si="11"/>
        <v>20000</v>
      </c>
      <c r="J43" s="179">
        <f>+I43*$J$2</f>
        <v>11000</v>
      </c>
      <c r="K43" s="178">
        <f>+I43*$K$2</f>
        <v>8600</v>
      </c>
      <c r="L43" s="178">
        <f>+I43*$L$2</f>
        <v>400.00000000000034</v>
      </c>
      <c r="M43" s="178"/>
      <c r="N43" s="178"/>
      <c r="O43" s="178"/>
      <c r="P43" s="180"/>
    </row>
    <row r="44" spans="2:16" ht="15.75" x14ac:dyDescent="0.25">
      <c r="B44" s="177" t="s">
        <v>60</v>
      </c>
      <c r="C44" s="177" t="s">
        <v>89</v>
      </c>
      <c r="D44" s="177" t="s">
        <v>102</v>
      </c>
      <c r="E44" s="177"/>
      <c r="F44" s="177" t="s">
        <v>101</v>
      </c>
      <c r="G44" s="177">
        <v>1</v>
      </c>
      <c r="H44" s="178">
        <f>18505500/12</f>
        <v>1542125</v>
      </c>
      <c r="I44" s="178">
        <f t="shared" si="11"/>
        <v>1542125</v>
      </c>
      <c r="J44" s="179">
        <f>+I44*$J$6</f>
        <v>786483.75</v>
      </c>
      <c r="K44" s="178">
        <f>+I44*$K$6</f>
        <v>616850</v>
      </c>
      <c r="L44" s="178">
        <f>+I44*$L$6</f>
        <v>30842.5</v>
      </c>
      <c r="M44" s="178">
        <f>+I44*$M$6</f>
        <v>30842.5</v>
      </c>
      <c r="N44" s="178">
        <f>+I44*$N$6</f>
        <v>30842.5</v>
      </c>
      <c r="O44" s="178">
        <f>+I44*$O$6</f>
        <v>30842.5</v>
      </c>
      <c r="P44" s="180">
        <f>+I44*$P$6</f>
        <v>15421.25</v>
      </c>
    </row>
    <row r="45" spans="2:16" ht="15.75" x14ac:dyDescent="0.25">
      <c r="B45" s="177" t="s">
        <v>103</v>
      </c>
      <c r="C45" s="177" t="s">
        <v>104</v>
      </c>
      <c r="D45" s="177" t="s">
        <v>105</v>
      </c>
      <c r="E45" s="177"/>
      <c r="F45" s="177" t="s">
        <v>101</v>
      </c>
      <c r="G45" s="177">
        <v>1</v>
      </c>
      <c r="H45" s="178">
        <v>800000</v>
      </c>
      <c r="I45" s="178">
        <f t="shared" si="9"/>
        <v>800000</v>
      </c>
      <c r="J45" s="179"/>
      <c r="K45" s="178"/>
      <c r="L45" s="178"/>
      <c r="M45" s="178"/>
      <c r="N45" s="178"/>
      <c r="O45" s="178"/>
      <c r="P45" s="180"/>
    </row>
    <row r="46" spans="2:16" ht="15.75" x14ac:dyDescent="0.25">
      <c r="B46" s="177" t="s">
        <v>103</v>
      </c>
      <c r="C46" s="177" t="s">
        <v>104</v>
      </c>
      <c r="D46" s="177" t="s">
        <v>106</v>
      </c>
      <c r="E46" s="177"/>
      <c r="F46" s="177" t="s">
        <v>101</v>
      </c>
      <c r="G46" s="177">
        <v>1</v>
      </c>
      <c r="H46" s="178">
        <v>170000</v>
      </c>
      <c r="I46" s="178">
        <f t="shared" si="9"/>
        <v>170000</v>
      </c>
      <c r="J46" s="179"/>
      <c r="K46" s="178"/>
      <c r="L46" s="178"/>
      <c r="M46" s="178"/>
      <c r="N46" s="178"/>
      <c r="O46" s="178"/>
      <c r="P46" s="180"/>
    </row>
    <row r="47" spans="2:16" ht="15.75" x14ac:dyDescent="0.25">
      <c r="B47" s="177" t="s">
        <v>103</v>
      </c>
      <c r="C47" s="177" t="s">
        <v>104</v>
      </c>
      <c r="D47" s="177" t="s">
        <v>107</v>
      </c>
      <c r="E47" s="177"/>
      <c r="F47" s="177" t="s">
        <v>101</v>
      </c>
      <c r="G47" s="177">
        <v>1</v>
      </c>
      <c r="H47" s="178">
        <v>2200000</v>
      </c>
      <c r="I47" s="178">
        <f t="shared" si="9"/>
        <v>2200000</v>
      </c>
      <c r="J47" s="179"/>
      <c r="K47" s="178"/>
      <c r="L47" s="178"/>
      <c r="M47" s="178"/>
      <c r="N47" s="178"/>
      <c r="O47" s="178"/>
      <c r="P47" s="180"/>
    </row>
    <row r="48" spans="2:16" ht="15.75" x14ac:dyDescent="0.25">
      <c r="B48" s="177" t="s">
        <v>103</v>
      </c>
      <c r="C48" s="177" t="s">
        <v>104</v>
      </c>
      <c r="D48" s="177" t="s">
        <v>108</v>
      </c>
      <c r="E48" s="177"/>
      <c r="F48" s="177" t="s">
        <v>101</v>
      </c>
      <c r="G48" s="177">
        <v>1</v>
      </c>
      <c r="H48" s="178">
        <v>100000</v>
      </c>
      <c r="I48" s="178">
        <f t="shared" si="9"/>
        <v>100000</v>
      </c>
      <c r="J48" s="179"/>
      <c r="K48" s="178"/>
      <c r="L48" s="178"/>
      <c r="M48" s="178"/>
      <c r="N48" s="178"/>
      <c r="O48" s="178"/>
      <c r="P48" s="180"/>
    </row>
    <row r="49" spans="2:16" ht="15.75" x14ac:dyDescent="0.25">
      <c r="B49" s="177" t="s">
        <v>103</v>
      </c>
      <c r="C49" s="177" t="s">
        <v>109</v>
      </c>
      <c r="D49" s="177" t="s">
        <v>110</v>
      </c>
      <c r="E49" s="177"/>
      <c r="F49" s="177" t="s">
        <v>74</v>
      </c>
      <c r="G49" s="177">
        <v>100</v>
      </c>
      <c r="H49" s="178">
        <v>44</v>
      </c>
      <c r="I49" s="178">
        <f t="shared" si="9"/>
        <v>4400</v>
      </c>
      <c r="J49" s="179"/>
      <c r="K49" s="178"/>
      <c r="L49" s="178"/>
      <c r="M49" s="178"/>
      <c r="N49" s="178"/>
      <c r="O49" s="178"/>
      <c r="P49" s="180"/>
    </row>
    <row r="50" spans="2:16" ht="15.75" x14ac:dyDescent="0.25">
      <c r="B50" s="177" t="s">
        <v>103</v>
      </c>
      <c r="C50" s="177" t="s">
        <v>109</v>
      </c>
      <c r="D50" s="177" t="s">
        <v>111</v>
      </c>
      <c r="E50" s="177"/>
      <c r="F50" s="177" t="s">
        <v>65</v>
      </c>
      <c r="G50" s="177">
        <v>1000</v>
      </c>
      <c r="H50" s="178">
        <v>5.5</v>
      </c>
      <c r="I50" s="178">
        <f t="shared" si="9"/>
        <v>5500</v>
      </c>
      <c r="J50" s="179"/>
      <c r="K50" s="178"/>
      <c r="L50" s="178"/>
      <c r="M50" s="178"/>
      <c r="N50" s="178"/>
      <c r="O50" s="178"/>
      <c r="P50" s="180"/>
    </row>
    <row r="51" spans="2:16" ht="15.75" x14ac:dyDescent="0.25">
      <c r="B51" s="177" t="s">
        <v>103</v>
      </c>
      <c r="C51" s="177" t="s">
        <v>109</v>
      </c>
      <c r="D51" s="177" t="s">
        <v>112</v>
      </c>
      <c r="E51" s="177"/>
      <c r="F51" s="177" t="s">
        <v>74</v>
      </c>
      <c r="G51" s="177">
        <v>200</v>
      </c>
      <c r="H51" s="178">
        <v>31</v>
      </c>
      <c r="I51" s="178">
        <f t="shared" si="9"/>
        <v>6200</v>
      </c>
      <c r="J51" s="179"/>
      <c r="K51" s="178"/>
      <c r="L51" s="178"/>
      <c r="M51" s="178"/>
      <c r="N51" s="178"/>
      <c r="O51" s="178"/>
      <c r="P51" s="180"/>
    </row>
    <row r="52" spans="2:16" ht="15.75" x14ac:dyDescent="0.25">
      <c r="B52" s="177" t="s">
        <v>103</v>
      </c>
      <c r="C52" s="177" t="s">
        <v>109</v>
      </c>
      <c r="D52" s="177" t="s">
        <v>113</v>
      </c>
      <c r="E52" s="177"/>
      <c r="F52" s="177" t="s">
        <v>65</v>
      </c>
      <c r="G52" s="177">
        <v>2000</v>
      </c>
      <c r="H52" s="178">
        <f>65000/2000</f>
        <v>32.5</v>
      </c>
      <c r="I52" s="178">
        <f t="shared" si="9"/>
        <v>65000</v>
      </c>
      <c r="J52" s="179"/>
      <c r="K52" s="178"/>
      <c r="L52" s="178"/>
      <c r="M52" s="178"/>
      <c r="N52" s="178"/>
      <c r="O52" s="178"/>
      <c r="P52" s="180"/>
    </row>
    <row r="53" spans="2:16" ht="15.75" x14ac:dyDescent="0.25">
      <c r="B53" s="177" t="s">
        <v>103</v>
      </c>
      <c r="C53" s="177" t="s">
        <v>109</v>
      </c>
      <c r="D53" s="177" t="s">
        <v>114</v>
      </c>
      <c r="E53" s="177"/>
      <c r="F53" s="177" t="s">
        <v>101</v>
      </c>
      <c r="G53" s="177">
        <v>1</v>
      </c>
      <c r="H53" s="178">
        <f>18505500/12</f>
        <v>1542125</v>
      </c>
      <c r="I53" s="178">
        <f t="shared" si="9"/>
        <v>1542125</v>
      </c>
      <c r="J53" s="179"/>
      <c r="K53" s="178"/>
      <c r="L53" s="178"/>
      <c r="M53" s="178"/>
      <c r="N53" s="178"/>
      <c r="O53" s="178"/>
      <c r="P53" s="180"/>
    </row>
    <row r="54" spans="2:16" ht="15.75" x14ac:dyDescent="0.25">
      <c r="B54" s="177" t="s">
        <v>115</v>
      </c>
      <c r="C54" s="177" t="s">
        <v>116</v>
      </c>
      <c r="D54" s="177" t="s">
        <v>117</v>
      </c>
      <c r="E54" s="177"/>
      <c r="F54" s="177" t="s">
        <v>2</v>
      </c>
      <c r="G54" s="177">
        <v>1</v>
      </c>
      <c r="H54" s="178">
        <v>12000000</v>
      </c>
      <c r="I54" s="178">
        <f t="shared" si="9"/>
        <v>12000000</v>
      </c>
      <c r="J54" s="179"/>
      <c r="K54" s="178"/>
      <c r="L54" s="178"/>
      <c r="M54" s="178"/>
      <c r="N54" s="178"/>
      <c r="O54" s="178"/>
      <c r="P54" s="180"/>
    </row>
    <row r="55" spans="2:16" ht="15.75" x14ac:dyDescent="0.25">
      <c r="B55" s="177" t="s">
        <v>115</v>
      </c>
      <c r="C55" s="177" t="s">
        <v>118</v>
      </c>
      <c r="D55" s="177" t="s">
        <v>119</v>
      </c>
      <c r="E55" s="177"/>
      <c r="F55" s="177" t="s">
        <v>2</v>
      </c>
      <c r="G55" s="177">
        <v>1</v>
      </c>
      <c r="H55" s="178">
        <v>6000000</v>
      </c>
      <c r="I55" s="178">
        <f t="shared" si="9"/>
        <v>6000000</v>
      </c>
      <c r="J55" s="179"/>
      <c r="K55" s="178"/>
      <c r="L55" s="178"/>
      <c r="M55" s="178"/>
      <c r="N55" s="178"/>
      <c r="O55" s="178"/>
      <c r="P55" s="180"/>
    </row>
    <row r="56" spans="2:16" ht="15.75" x14ac:dyDescent="0.25">
      <c r="B56" s="177" t="s">
        <v>115</v>
      </c>
      <c r="C56" s="177" t="s">
        <v>120</v>
      </c>
      <c r="D56" s="177" t="s">
        <v>121</v>
      </c>
      <c r="E56" s="177"/>
      <c r="F56" s="177" t="s">
        <v>2</v>
      </c>
      <c r="G56" s="177">
        <v>1</v>
      </c>
      <c r="H56" s="178">
        <v>2000000</v>
      </c>
      <c r="I56" s="178">
        <f t="shared" si="9"/>
        <v>2000000</v>
      </c>
      <c r="J56" s="179"/>
      <c r="K56" s="178"/>
      <c r="L56" s="178"/>
      <c r="M56" s="178"/>
      <c r="N56" s="178"/>
      <c r="O56" s="178"/>
      <c r="P56" s="180"/>
    </row>
    <row r="57" spans="2:16" ht="15.75" x14ac:dyDescent="0.25">
      <c r="B57" s="177" t="s">
        <v>115</v>
      </c>
      <c r="C57" s="177" t="s">
        <v>122</v>
      </c>
      <c r="D57" s="177" t="s">
        <v>123</v>
      </c>
      <c r="E57" s="177"/>
      <c r="F57" s="177" t="s">
        <v>2</v>
      </c>
      <c r="G57" s="177">
        <v>1</v>
      </c>
      <c r="H57" s="178">
        <v>5000000</v>
      </c>
      <c r="I57" s="178">
        <f t="shared" si="9"/>
        <v>5000000</v>
      </c>
      <c r="J57" s="179"/>
      <c r="K57" s="178"/>
      <c r="L57" s="178"/>
      <c r="M57" s="178"/>
      <c r="N57" s="178"/>
      <c r="O57" s="178"/>
      <c r="P57" s="180"/>
    </row>
    <row r="58" spans="2:16" ht="15.75" x14ac:dyDescent="0.25">
      <c r="B58" s="177" t="s">
        <v>115</v>
      </c>
      <c r="C58" s="177" t="s">
        <v>124</v>
      </c>
      <c r="D58" s="177" t="s">
        <v>125</v>
      </c>
      <c r="E58" s="177"/>
      <c r="F58" s="177" t="s">
        <v>2</v>
      </c>
      <c r="G58" s="177">
        <v>1</v>
      </c>
      <c r="H58" s="178">
        <v>3000000</v>
      </c>
      <c r="I58" s="178">
        <f t="shared" si="9"/>
        <v>3000000</v>
      </c>
      <c r="J58" s="179"/>
      <c r="K58" s="178"/>
      <c r="L58" s="178"/>
      <c r="M58" s="178"/>
      <c r="N58" s="178"/>
      <c r="O58" s="178"/>
      <c r="P58" s="180"/>
    </row>
    <row r="59" spans="2:16" ht="15.75" x14ac:dyDescent="0.25">
      <c r="B59" s="177" t="s">
        <v>115</v>
      </c>
      <c r="C59" s="177" t="s">
        <v>126</v>
      </c>
      <c r="D59" s="177" t="s">
        <v>127</v>
      </c>
      <c r="E59" s="177"/>
      <c r="F59" s="177" t="s">
        <v>2</v>
      </c>
      <c r="G59" s="177">
        <v>1</v>
      </c>
      <c r="H59" s="178">
        <v>26000000</v>
      </c>
      <c r="I59" s="178">
        <f t="shared" si="9"/>
        <v>26000000</v>
      </c>
      <c r="J59" s="179"/>
      <c r="K59" s="178"/>
      <c r="L59" s="178"/>
      <c r="M59" s="178"/>
      <c r="N59" s="178"/>
      <c r="O59" s="178"/>
      <c r="P59" s="180"/>
    </row>
    <row r="60" spans="2:16" ht="15.75" x14ac:dyDescent="0.25">
      <c r="B60" s="177" t="s">
        <v>115</v>
      </c>
      <c r="C60" s="177" t="s">
        <v>116</v>
      </c>
      <c r="D60" s="177" t="s">
        <v>117</v>
      </c>
      <c r="E60" s="177"/>
      <c r="F60" s="177" t="s">
        <v>2</v>
      </c>
      <c r="G60" s="177">
        <v>1</v>
      </c>
      <c r="H60" s="178">
        <v>12000000</v>
      </c>
      <c r="I60" s="178">
        <f t="shared" si="9"/>
        <v>12000000</v>
      </c>
      <c r="J60" s="179"/>
      <c r="K60" s="178"/>
      <c r="L60" s="178"/>
      <c r="M60" s="178"/>
      <c r="N60" s="178"/>
      <c r="O60" s="178"/>
      <c r="P60" s="180"/>
    </row>
    <row r="61" spans="2:16" ht="15.75" x14ac:dyDescent="0.25">
      <c r="B61" s="177" t="s">
        <v>115</v>
      </c>
      <c r="C61" s="177" t="s">
        <v>118</v>
      </c>
      <c r="D61" s="177" t="s">
        <v>119</v>
      </c>
      <c r="E61" s="177"/>
      <c r="F61" s="177" t="s">
        <v>2</v>
      </c>
      <c r="G61" s="177">
        <v>9</v>
      </c>
      <c r="H61" s="178">
        <v>6000000</v>
      </c>
      <c r="I61" s="178">
        <f t="shared" si="9"/>
        <v>54000000</v>
      </c>
      <c r="J61" s="179"/>
      <c r="K61" s="178"/>
      <c r="L61" s="178"/>
      <c r="M61" s="178"/>
      <c r="N61" s="178"/>
      <c r="O61" s="178"/>
      <c r="P61" s="180"/>
    </row>
    <row r="62" spans="2:16" ht="15.75" x14ac:dyDescent="0.25">
      <c r="B62" s="177" t="s">
        <v>115</v>
      </c>
      <c r="C62" s="177" t="s">
        <v>118</v>
      </c>
      <c r="D62" s="177" t="s">
        <v>128</v>
      </c>
      <c r="E62" s="177"/>
      <c r="F62" s="177"/>
      <c r="G62" s="177">
        <v>2</v>
      </c>
      <c r="H62" s="178"/>
      <c r="I62" s="178">
        <f t="shared" si="9"/>
        <v>0</v>
      </c>
      <c r="J62" s="179"/>
      <c r="K62" s="178"/>
      <c r="L62" s="178"/>
      <c r="M62" s="178"/>
      <c r="N62" s="178"/>
      <c r="O62" s="178"/>
      <c r="P62" s="180"/>
    </row>
    <row r="63" spans="2:16" ht="15.75" x14ac:dyDescent="0.25">
      <c r="B63" s="177" t="s">
        <v>115</v>
      </c>
      <c r="C63" s="177" t="s">
        <v>118</v>
      </c>
      <c r="D63" s="177" t="s">
        <v>129</v>
      </c>
      <c r="E63" s="177"/>
      <c r="F63" s="177"/>
      <c r="G63" s="177">
        <v>1</v>
      </c>
      <c r="H63" s="178">
        <v>2950000</v>
      </c>
      <c r="I63" s="178">
        <f t="shared" si="9"/>
        <v>2950000</v>
      </c>
      <c r="J63" s="179"/>
      <c r="K63" s="178"/>
      <c r="L63" s="178"/>
      <c r="M63" s="178"/>
      <c r="N63" s="178"/>
      <c r="O63" s="178"/>
      <c r="P63" s="180"/>
    </row>
    <row r="64" spans="2:16" ht="15.75" x14ac:dyDescent="0.25">
      <c r="B64" s="177" t="s">
        <v>115</v>
      </c>
      <c r="C64" s="177" t="s">
        <v>118</v>
      </c>
      <c r="D64" s="177" t="s">
        <v>130</v>
      </c>
      <c r="E64" s="177"/>
      <c r="F64" s="177"/>
      <c r="G64" s="177">
        <v>1</v>
      </c>
      <c r="H64" s="178">
        <v>1000000</v>
      </c>
      <c r="I64" s="178">
        <f t="shared" si="9"/>
        <v>1000000</v>
      </c>
      <c r="J64" s="179"/>
      <c r="K64" s="178"/>
      <c r="L64" s="178"/>
      <c r="M64" s="178"/>
      <c r="N64" s="178"/>
      <c r="O64" s="178"/>
      <c r="P64" s="180"/>
    </row>
    <row r="65" spans="2:9" ht="15.75" x14ac:dyDescent="0.25">
      <c r="B65" s="177" t="s">
        <v>115</v>
      </c>
      <c r="C65" s="177" t="s">
        <v>118</v>
      </c>
      <c r="D65" s="177" t="s">
        <v>131</v>
      </c>
      <c r="E65" s="177"/>
      <c r="F65" s="177"/>
      <c r="G65" s="177">
        <v>15</v>
      </c>
      <c r="H65" s="178"/>
      <c r="I65" s="178">
        <f t="shared" si="9"/>
        <v>0</v>
      </c>
    </row>
    <row r="66" spans="2:9" ht="15.75" x14ac:dyDescent="0.25">
      <c r="B66" s="177" t="s">
        <v>115</v>
      </c>
      <c r="C66" s="177" t="s">
        <v>118</v>
      </c>
      <c r="D66" s="177" t="s">
        <v>132</v>
      </c>
      <c r="E66" s="177"/>
      <c r="F66" s="177"/>
      <c r="G66" s="177">
        <v>20</v>
      </c>
      <c r="H66" s="178"/>
      <c r="I66" s="178">
        <f t="shared" si="9"/>
        <v>0</v>
      </c>
    </row>
    <row r="67" spans="2:9" ht="15.75" x14ac:dyDescent="0.25">
      <c r="B67" s="177" t="s">
        <v>115</v>
      </c>
      <c r="C67" s="177" t="s">
        <v>118</v>
      </c>
      <c r="D67" s="177" t="s">
        <v>133</v>
      </c>
      <c r="E67" s="177"/>
      <c r="F67" s="177"/>
      <c r="G67" s="177">
        <v>11</v>
      </c>
      <c r="H67" s="178"/>
      <c r="I67" s="178">
        <f t="shared" si="9"/>
        <v>0</v>
      </c>
    </row>
    <row r="68" spans="2:9" ht="15.75" x14ac:dyDescent="0.25">
      <c r="B68" s="177" t="s">
        <v>115</v>
      </c>
      <c r="C68" s="177" t="s">
        <v>118</v>
      </c>
      <c r="D68" s="177" t="s">
        <v>134</v>
      </c>
      <c r="E68" s="177"/>
      <c r="F68" s="177"/>
      <c r="G68" s="177">
        <v>30</v>
      </c>
      <c r="H68" s="178"/>
      <c r="I68" s="178">
        <f t="shared" si="9"/>
        <v>0</v>
      </c>
    </row>
    <row r="69" spans="2:9" ht="15.75" x14ac:dyDescent="0.25">
      <c r="B69" s="177" t="s">
        <v>115</v>
      </c>
      <c r="C69" s="177" t="s">
        <v>118</v>
      </c>
      <c r="D69" s="177" t="s">
        <v>135</v>
      </c>
      <c r="E69" s="177"/>
      <c r="F69" s="177"/>
      <c r="G69" s="177">
        <v>4</v>
      </c>
      <c r="H69" s="178"/>
      <c r="I69" s="178">
        <f t="shared" si="9"/>
        <v>0</v>
      </c>
    </row>
    <row r="70" spans="2:9" ht="15.75" x14ac:dyDescent="0.25">
      <c r="B70" s="177" t="s">
        <v>115</v>
      </c>
      <c r="C70" s="177" t="s">
        <v>118</v>
      </c>
      <c r="D70" s="177" t="s">
        <v>136</v>
      </c>
      <c r="E70" s="177"/>
      <c r="F70" s="177"/>
      <c r="G70" s="177">
        <v>1</v>
      </c>
      <c r="H70" s="178">
        <v>100000</v>
      </c>
      <c r="I70" s="178">
        <f t="shared" si="9"/>
        <v>100000</v>
      </c>
    </row>
    <row r="71" spans="2:9" ht="31.5" x14ac:dyDescent="0.25">
      <c r="B71" s="177" t="s">
        <v>115</v>
      </c>
      <c r="C71" s="177" t="s">
        <v>137</v>
      </c>
      <c r="D71" s="177" t="s">
        <v>138</v>
      </c>
      <c r="E71" s="177"/>
      <c r="F71" s="177" t="s">
        <v>2</v>
      </c>
      <c r="G71" s="177">
        <v>1</v>
      </c>
      <c r="H71" s="178">
        <v>2000000</v>
      </c>
      <c r="I71" s="178">
        <f t="shared" si="9"/>
        <v>2000000</v>
      </c>
    </row>
    <row r="72" spans="2:9" ht="31.5" x14ac:dyDescent="0.25">
      <c r="B72" s="177" t="s">
        <v>115</v>
      </c>
      <c r="C72" s="177" t="s">
        <v>137</v>
      </c>
      <c r="D72" s="177" t="s">
        <v>139</v>
      </c>
      <c r="E72" s="177"/>
      <c r="F72" s="177"/>
      <c r="G72" s="177">
        <v>1</v>
      </c>
      <c r="H72" s="178">
        <v>400000</v>
      </c>
      <c r="I72" s="178">
        <f t="shared" si="9"/>
        <v>400000</v>
      </c>
    </row>
    <row r="73" spans="2:9" ht="31.5" x14ac:dyDescent="0.25">
      <c r="B73" s="177" t="s">
        <v>115</v>
      </c>
      <c r="C73" s="177" t="s">
        <v>137</v>
      </c>
      <c r="D73" s="177" t="s">
        <v>140</v>
      </c>
      <c r="E73" s="177"/>
      <c r="F73" s="177"/>
      <c r="G73" s="177">
        <v>1</v>
      </c>
      <c r="H73" s="178">
        <v>800000</v>
      </c>
      <c r="I73" s="178">
        <f t="shared" si="9"/>
        <v>800000</v>
      </c>
    </row>
    <row r="74" spans="2:9" ht="31.5" x14ac:dyDescent="0.25">
      <c r="B74" s="177" t="s">
        <v>115</v>
      </c>
      <c r="C74" s="177" t="s">
        <v>137</v>
      </c>
      <c r="D74" s="177" t="s">
        <v>141</v>
      </c>
      <c r="E74" s="177"/>
      <c r="F74" s="177"/>
      <c r="G74" s="177">
        <v>1</v>
      </c>
      <c r="H74" s="178">
        <v>400000</v>
      </c>
      <c r="I74" s="178">
        <f t="shared" si="9"/>
        <v>400000</v>
      </c>
    </row>
    <row r="75" spans="2:9" ht="31.5" x14ac:dyDescent="0.25">
      <c r="B75" s="177" t="s">
        <v>115</v>
      </c>
      <c r="C75" s="177" t="s">
        <v>137</v>
      </c>
      <c r="D75" s="177" t="s">
        <v>142</v>
      </c>
      <c r="E75" s="177"/>
      <c r="F75" s="177"/>
      <c r="G75" s="177">
        <v>1</v>
      </c>
      <c r="H75" s="178">
        <v>165000</v>
      </c>
      <c r="I75" s="178">
        <f t="shared" si="9"/>
        <v>165000</v>
      </c>
    </row>
    <row r="76" spans="2:9" ht="31.5" x14ac:dyDescent="0.25">
      <c r="B76" s="177" t="s">
        <v>115</v>
      </c>
      <c r="C76" s="177" t="s">
        <v>137</v>
      </c>
      <c r="D76" s="177" t="s">
        <v>143</v>
      </c>
      <c r="E76" s="177"/>
      <c r="F76" s="177"/>
      <c r="G76" s="177">
        <v>3</v>
      </c>
      <c r="H76" s="178"/>
      <c r="I76" s="178">
        <f t="shared" si="9"/>
        <v>0</v>
      </c>
    </row>
    <row r="77" spans="2:9" ht="15.75" x14ac:dyDescent="0.25">
      <c r="B77" s="177" t="s">
        <v>115</v>
      </c>
      <c r="C77" s="177" t="s">
        <v>144</v>
      </c>
      <c r="D77" s="177" t="s">
        <v>123</v>
      </c>
      <c r="E77" s="177"/>
      <c r="F77" s="177" t="s">
        <v>2</v>
      </c>
      <c r="G77" s="177">
        <v>1</v>
      </c>
      <c r="H77" s="178">
        <v>5000000</v>
      </c>
      <c r="I77" s="178">
        <f t="shared" si="9"/>
        <v>5000000</v>
      </c>
    </row>
    <row r="78" spans="2:9" ht="15.75" x14ac:dyDescent="0.25">
      <c r="B78" s="177" t="s">
        <v>115</v>
      </c>
      <c r="C78" s="177" t="s">
        <v>144</v>
      </c>
      <c r="D78" s="177" t="s">
        <v>145</v>
      </c>
      <c r="E78" s="177"/>
      <c r="F78" s="177"/>
      <c r="G78" s="177">
        <v>1</v>
      </c>
      <c r="H78" s="178">
        <v>1200000</v>
      </c>
      <c r="I78" s="178">
        <f t="shared" si="9"/>
        <v>1200000</v>
      </c>
    </row>
    <row r="79" spans="2:9" ht="15.75" x14ac:dyDescent="0.25">
      <c r="B79" s="177" t="s">
        <v>115</v>
      </c>
      <c r="C79" s="177" t="s">
        <v>144</v>
      </c>
      <c r="D79" s="177" t="s">
        <v>146</v>
      </c>
      <c r="E79" s="177"/>
      <c r="F79" s="177"/>
      <c r="G79" s="177">
        <v>1</v>
      </c>
      <c r="H79" s="178">
        <v>500000</v>
      </c>
      <c r="I79" s="178">
        <f t="shared" si="9"/>
        <v>500000</v>
      </c>
    </row>
    <row r="80" spans="2:9" ht="15.75" x14ac:dyDescent="0.25">
      <c r="B80" s="177" t="s">
        <v>115</v>
      </c>
      <c r="C80" s="177" t="s">
        <v>144</v>
      </c>
      <c r="D80" s="177" t="s">
        <v>147</v>
      </c>
      <c r="E80" s="177"/>
      <c r="F80" s="177"/>
      <c r="G80" s="177">
        <v>1</v>
      </c>
      <c r="H80" s="178">
        <v>150000</v>
      </c>
      <c r="I80" s="178">
        <f t="shared" si="9"/>
        <v>150000</v>
      </c>
    </row>
    <row r="81" spans="2:9" ht="15.75" x14ac:dyDescent="0.25">
      <c r="B81" s="177" t="s">
        <v>115</v>
      </c>
      <c r="C81" s="177" t="s">
        <v>144</v>
      </c>
      <c r="D81" s="177" t="s">
        <v>148</v>
      </c>
      <c r="E81" s="177"/>
      <c r="F81" s="177"/>
      <c r="G81" s="177">
        <v>1</v>
      </c>
      <c r="H81" s="178">
        <v>340000</v>
      </c>
      <c r="I81" s="178">
        <f t="shared" si="9"/>
        <v>340000</v>
      </c>
    </row>
    <row r="82" spans="2:9" ht="15.75" x14ac:dyDescent="0.25">
      <c r="B82" s="177" t="s">
        <v>115</v>
      </c>
      <c r="C82" s="177" t="s">
        <v>144</v>
      </c>
      <c r="D82" s="177" t="s">
        <v>149</v>
      </c>
      <c r="E82" s="177"/>
      <c r="F82" s="177"/>
      <c r="G82" s="177">
        <v>1</v>
      </c>
      <c r="H82" s="178"/>
      <c r="I82" s="178">
        <f t="shared" si="9"/>
        <v>0</v>
      </c>
    </row>
    <row r="83" spans="2:9" ht="15.75" x14ac:dyDescent="0.25">
      <c r="B83" s="177" t="s">
        <v>115</v>
      </c>
      <c r="C83" s="177" t="s">
        <v>144</v>
      </c>
      <c r="D83" s="177" t="s">
        <v>150</v>
      </c>
      <c r="E83" s="177"/>
      <c r="F83" s="177"/>
      <c r="G83" s="177">
        <v>1</v>
      </c>
      <c r="H83" s="178"/>
      <c r="I83" s="178">
        <f t="shared" si="9"/>
        <v>0</v>
      </c>
    </row>
    <row r="84" spans="2:9" ht="15.75" x14ac:dyDescent="0.25">
      <c r="B84" s="177" t="s">
        <v>115</v>
      </c>
      <c r="C84" s="177" t="s">
        <v>144</v>
      </c>
      <c r="D84" s="177" t="s">
        <v>151</v>
      </c>
      <c r="E84" s="177"/>
      <c r="F84" s="177"/>
      <c r="G84" s="177">
        <v>2</v>
      </c>
      <c r="H84" s="178"/>
      <c r="I84" s="178">
        <f t="shared" si="9"/>
        <v>0</v>
      </c>
    </row>
    <row r="85" spans="2:9" ht="15.75" x14ac:dyDescent="0.25">
      <c r="B85" s="177" t="s">
        <v>115</v>
      </c>
      <c r="C85" s="177" t="s">
        <v>144</v>
      </c>
      <c r="D85" s="177" t="s">
        <v>152</v>
      </c>
      <c r="E85" s="177"/>
      <c r="F85" s="177"/>
      <c r="G85" s="177">
        <v>2</v>
      </c>
      <c r="H85" s="178"/>
      <c r="I85" s="178">
        <f t="shared" si="9"/>
        <v>0</v>
      </c>
    </row>
    <row r="86" spans="2:9" ht="31.5" x14ac:dyDescent="0.25">
      <c r="B86" s="177" t="s">
        <v>115</v>
      </c>
      <c r="C86" s="177" t="s">
        <v>153</v>
      </c>
      <c r="D86" s="177" t="s">
        <v>154</v>
      </c>
      <c r="E86" s="177"/>
      <c r="F86" s="177" t="s">
        <v>2</v>
      </c>
      <c r="G86" s="177">
        <v>1</v>
      </c>
      <c r="H86" s="178"/>
      <c r="I86" s="178">
        <f t="shared" si="9"/>
        <v>0</v>
      </c>
    </row>
    <row r="87" spans="2:9" ht="31.5" x14ac:dyDescent="0.25">
      <c r="B87" s="177" t="s">
        <v>115</v>
      </c>
      <c r="C87" s="177" t="s">
        <v>153</v>
      </c>
      <c r="D87" s="177" t="s">
        <v>155</v>
      </c>
      <c r="E87" s="177"/>
      <c r="F87" s="177"/>
      <c r="G87" s="177">
        <v>1</v>
      </c>
      <c r="H87" s="178"/>
      <c r="I87" s="178">
        <f t="shared" si="9"/>
        <v>0</v>
      </c>
    </row>
    <row r="88" spans="2:9" ht="31.5" x14ac:dyDescent="0.25">
      <c r="B88" s="177" t="s">
        <v>115</v>
      </c>
      <c r="C88" s="177" t="s">
        <v>153</v>
      </c>
      <c r="D88" s="177" t="s">
        <v>156</v>
      </c>
      <c r="E88" s="177"/>
      <c r="F88" s="177"/>
      <c r="G88" s="177">
        <v>1</v>
      </c>
      <c r="H88" s="178"/>
      <c r="I88" s="178">
        <f t="shared" si="9"/>
        <v>0</v>
      </c>
    </row>
    <row r="89" spans="2:9" ht="31.5" x14ac:dyDescent="0.25">
      <c r="B89" s="177" t="s">
        <v>115</v>
      </c>
      <c r="C89" s="177" t="s">
        <v>157</v>
      </c>
      <c r="D89" s="177" t="s">
        <v>127</v>
      </c>
      <c r="E89" s="177"/>
      <c r="F89" s="177" t="s">
        <v>2</v>
      </c>
      <c r="G89" s="177">
        <v>1</v>
      </c>
      <c r="H89" s="178">
        <v>26000000</v>
      </c>
      <c r="I89" s="178">
        <f t="shared" si="9"/>
        <v>26000000</v>
      </c>
    </row>
  </sheetData>
  <autoFilter ref="B8:P59" xr:uid="{43F43B00-0F10-4C5C-A3B4-69861EA7D45C}"/>
  <mergeCells count="2">
    <mergeCell ref="B2:D5"/>
    <mergeCell ref="J7:P7"/>
  </mergeCells>
  <dataValidations count="1">
    <dataValidation type="list" allowBlank="1" showInputMessage="1" showErrorMessage="1" sqref="C9:C89" xr:uid="{A59234FF-3CB7-4249-9E5F-14321415EEE4}">
      <formula1>INDIRECT(B9)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413F8-5CEA-468D-A3BB-35EF249B7323}">
  <dimension ref="B1:N47"/>
  <sheetViews>
    <sheetView showGridLines="0" zoomScale="90" zoomScaleNormal="90" workbookViewId="0">
      <pane ySplit="3" topLeftCell="A22" activePane="bottomLeft" state="frozen"/>
      <selection pane="bottomLeft" activeCell="H35" sqref="H35"/>
    </sheetView>
  </sheetViews>
  <sheetFormatPr baseColWidth="10" defaultColWidth="11.140625" defaultRowHeight="13.5" x14ac:dyDescent="0.25"/>
  <cols>
    <col min="1" max="1" width="2.7109375" style="210" customWidth="1"/>
    <col min="2" max="2" width="17.42578125" style="210" hidden="1" customWidth="1"/>
    <col min="3" max="3" width="6.28515625" style="210" bestFit="1" customWidth="1"/>
    <col min="4" max="4" width="45.140625" style="210" bestFit="1" customWidth="1"/>
    <col min="5" max="5" width="10.85546875" style="284" bestFit="1" customWidth="1"/>
    <col min="6" max="6" width="14.7109375" style="210" bestFit="1" customWidth="1"/>
    <col min="7" max="7" width="16" style="210" bestFit="1" customWidth="1"/>
    <col min="8" max="8" width="10.140625" style="210" bestFit="1" customWidth="1"/>
    <col min="9" max="9" width="2.7109375" style="210" customWidth="1"/>
    <col min="10" max="10" width="20" style="210" bestFit="1" customWidth="1"/>
    <col min="11" max="11" width="3.85546875" style="210" customWidth="1"/>
    <col min="12" max="12" width="27.85546875" style="210" customWidth="1"/>
    <col min="13" max="14" width="16" style="210" bestFit="1" customWidth="1"/>
    <col min="15" max="16384" width="11.140625" style="210"/>
  </cols>
  <sheetData>
    <row r="1" spans="2:14" ht="3.95" customHeight="1" x14ac:dyDescent="0.25"/>
    <row r="2" spans="2:14" x14ac:dyDescent="0.25">
      <c r="C2" s="443" t="s">
        <v>14</v>
      </c>
      <c r="D2" s="443"/>
      <c r="E2" s="443"/>
      <c r="F2" s="443"/>
      <c r="G2" s="443"/>
      <c r="H2" s="443"/>
      <c r="I2" s="443"/>
    </row>
    <row r="3" spans="2:14" ht="3.95" customHeight="1" x14ac:dyDescent="0.25"/>
    <row r="4" spans="2:14" ht="14.25" thickBot="1" x14ac:dyDescent="0.3">
      <c r="E4" s="441" t="s">
        <v>158</v>
      </c>
      <c r="F4" s="441"/>
      <c r="G4" s="441"/>
    </row>
    <row r="5" spans="2:14" ht="14.25" thickBot="1" x14ac:dyDescent="0.3">
      <c r="B5" s="188" t="s">
        <v>159</v>
      </c>
      <c r="C5" s="189" t="s">
        <v>46</v>
      </c>
      <c r="D5" s="189" t="s">
        <v>47</v>
      </c>
      <c r="E5" s="442" t="s">
        <v>160</v>
      </c>
      <c r="F5" s="442"/>
      <c r="G5" s="189" t="s">
        <v>161</v>
      </c>
      <c r="H5" s="189" t="s">
        <v>162</v>
      </c>
      <c r="J5" s="189" t="s">
        <v>163</v>
      </c>
    </row>
    <row r="6" spans="2:14" x14ac:dyDescent="0.25">
      <c r="B6" s="285" t="s">
        <v>164</v>
      </c>
      <c r="C6" s="285" t="s">
        <v>61</v>
      </c>
      <c r="D6" s="285" t="s">
        <v>62</v>
      </c>
      <c r="E6" s="286">
        <v>20</v>
      </c>
      <c r="F6" s="285" t="s">
        <v>7</v>
      </c>
      <c r="G6" s="287">
        <v>137000</v>
      </c>
      <c r="H6" s="288">
        <v>1000</v>
      </c>
      <c r="J6" s="208">
        <f>IF(C6="Cv",ROUND(G6/H6,2),"")</f>
        <v>137</v>
      </c>
      <c r="L6" s="285"/>
      <c r="M6" s="287"/>
      <c r="N6" s="287"/>
    </row>
    <row r="7" spans="2:14" x14ac:dyDescent="0.25">
      <c r="B7" s="285" t="s">
        <v>164</v>
      </c>
      <c r="C7" s="285" t="s">
        <v>61</v>
      </c>
      <c r="D7" s="285" t="s">
        <v>64</v>
      </c>
      <c r="E7" s="286">
        <v>25</v>
      </c>
      <c r="F7" s="285" t="s">
        <v>6</v>
      </c>
      <c r="G7" s="287">
        <v>365000</v>
      </c>
      <c r="H7" s="288">
        <v>750</v>
      </c>
      <c r="J7" s="208">
        <f t="shared" ref="J7:J31" si="0">IF(C7="Cv",ROUND(G7/H7,2),"")</f>
        <v>486.67</v>
      </c>
    </row>
    <row r="8" spans="2:14" x14ac:dyDescent="0.25">
      <c r="B8" s="285" t="s">
        <v>164</v>
      </c>
      <c r="C8" s="285" t="s">
        <v>61</v>
      </c>
      <c r="D8" s="285" t="s">
        <v>66</v>
      </c>
      <c r="E8" s="286">
        <v>0.5</v>
      </c>
      <c r="F8" s="285" t="s">
        <v>6</v>
      </c>
      <c r="G8" s="287">
        <v>7600</v>
      </c>
      <c r="H8" s="288">
        <v>700</v>
      </c>
      <c r="J8" s="208">
        <f t="shared" si="0"/>
        <v>10.86</v>
      </c>
      <c r="L8" s="285"/>
      <c r="M8" s="287"/>
      <c r="N8" s="287"/>
    </row>
    <row r="9" spans="2:14" x14ac:dyDescent="0.25">
      <c r="B9" s="285" t="s">
        <v>164</v>
      </c>
      <c r="C9" s="285" t="s">
        <v>61</v>
      </c>
      <c r="D9" s="285" t="s">
        <v>67</v>
      </c>
      <c r="E9" s="286">
        <v>0.5</v>
      </c>
      <c r="F9" s="285" t="s">
        <v>6</v>
      </c>
      <c r="G9" s="287">
        <v>7900</v>
      </c>
      <c r="H9" s="288">
        <v>50</v>
      </c>
      <c r="J9" s="208">
        <f t="shared" si="0"/>
        <v>158</v>
      </c>
      <c r="L9" s="285"/>
      <c r="M9" s="287"/>
      <c r="N9" s="287"/>
    </row>
    <row r="10" spans="2:14" x14ac:dyDescent="0.25">
      <c r="B10" s="285" t="s">
        <v>164</v>
      </c>
      <c r="C10" s="285" t="s">
        <v>61</v>
      </c>
      <c r="D10" s="285" t="s">
        <v>68</v>
      </c>
      <c r="E10" s="286">
        <v>2.5</v>
      </c>
      <c r="F10" s="285" t="s">
        <v>6</v>
      </c>
      <c r="G10" s="287">
        <v>38813</v>
      </c>
      <c r="H10" s="288">
        <v>166</v>
      </c>
      <c r="J10" s="208">
        <f t="shared" si="0"/>
        <v>233.81</v>
      </c>
      <c r="L10" s="285"/>
      <c r="M10" s="287"/>
      <c r="N10" s="287"/>
    </row>
    <row r="11" spans="2:14" x14ac:dyDescent="0.25">
      <c r="B11" s="285" t="s">
        <v>164</v>
      </c>
      <c r="C11" s="285" t="s">
        <v>61</v>
      </c>
      <c r="D11" s="285" t="s">
        <v>69</v>
      </c>
      <c r="E11" s="286">
        <v>2.5</v>
      </c>
      <c r="F11" s="285" t="s">
        <v>6</v>
      </c>
      <c r="G11" s="287">
        <v>38813</v>
      </c>
      <c r="H11" s="288">
        <v>166</v>
      </c>
      <c r="J11" s="208">
        <f t="shared" si="0"/>
        <v>233.81</v>
      </c>
      <c r="L11" s="285"/>
      <c r="M11" s="287"/>
      <c r="N11" s="287"/>
    </row>
    <row r="12" spans="2:14" x14ac:dyDescent="0.25">
      <c r="B12" s="285" t="s">
        <v>164</v>
      </c>
      <c r="C12" s="285" t="s">
        <v>61</v>
      </c>
      <c r="D12" s="285" t="s">
        <v>70</v>
      </c>
      <c r="E12" s="286">
        <v>2</v>
      </c>
      <c r="F12" s="285" t="s">
        <v>6</v>
      </c>
      <c r="G12" s="287">
        <v>6500</v>
      </c>
      <c r="H12" s="288">
        <v>330</v>
      </c>
      <c r="J12" s="208">
        <f t="shared" si="0"/>
        <v>19.7</v>
      </c>
      <c r="L12" s="285"/>
      <c r="M12" s="287"/>
      <c r="N12" s="287"/>
    </row>
    <row r="13" spans="2:14" x14ac:dyDescent="0.25">
      <c r="B13" s="285" t="s">
        <v>164</v>
      </c>
      <c r="C13" s="285" t="s">
        <v>61</v>
      </c>
      <c r="D13" s="285" t="s">
        <v>71</v>
      </c>
      <c r="E13" s="286">
        <v>350</v>
      </c>
      <c r="F13" s="285" t="s">
        <v>5</v>
      </c>
      <c r="G13" s="287">
        <v>10000</v>
      </c>
      <c r="H13" s="288">
        <v>16</v>
      </c>
      <c r="J13" s="208">
        <f t="shared" si="0"/>
        <v>625</v>
      </c>
      <c r="L13" s="285"/>
      <c r="M13" s="287"/>
      <c r="N13" s="287"/>
    </row>
    <row r="14" spans="2:14" x14ac:dyDescent="0.25">
      <c r="B14" s="285" t="s">
        <v>164</v>
      </c>
      <c r="C14" s="285" t="s">
        <v>61</v>
      </c>
      <c r="D14" s="285" t="s">
        <v>72</v>
      </c>
      <c r="E14" s="286">
        <v>5</v>
      </c>
      <c r="F14" s="285" t="s">
        <v>6</v>
      </c>
      <c r="G14" s="287">
        <v>44000</v>
      </c>
      <c r="H14" s="288">
        <v>250</v>
      </c>
      <c r="J14" s="208">
        <f t="shared" si="0"/>
        <v>176</v>
      </c>
      <c r="L14" s="285"/>
      <c r="M14" s="287"/>
      <c r="N14" s="287"/>
    </row>
    <row r="15" spans="2:14" x14ac:dyDescent="0.25">
      <c r="B15" s="285" t="s">
        <v>164</v>
      </c>
      <c r="C15" s="285" t="s">
        <v>61</v>
      </c>
      <c r="D15" s="285" t="s">
        <v>73</v>
      </c>
      <c r="E15" s="286">
        <v>36</v>
      </c>
      <c r="F15" s="285" t="s">
        <v>3</v>
      </c>
      <c r="G15" s="287">
        <v>7700</v>
      </c>
      <c r="H15" s="288">
        <v>36</v>
      </c>
      <c r="J15" s="208">
        <f t="shared" si="0"/>
        <v>213.89</v>
      </c>
      <c r="L15" s="285"/>
      <c r="M15" s="287"/>
      <c r="N15" s="287"/>
    </row>
    <row r="16" spans="2:14" x14ac:dyDescent="0.25">
      <c r="B16" s="285" t="s">
        <v>164</v>
      </c>
      <c r="C16" s="285" t="s">
        <v>61</v>
      </c>
      <c r="D16" s="285" t="s">
        <v>75</v>
      </c>
      <c r="E16" s="286">
        <v>560</v>
      </c>
      <c r="F16" s="285" t="s">
        <v>3</v>
      </c>
      <c r="G16" s="287">
        <v>28000</v>
      </c>
      <c r="H16" s="288">
        <v>440</v>
      </c>
      <c r="J16" s="208">
        <f t="shared" si="0"/>
        <v>63.64</v>
      </c>
      <c r="L16" s="285"/>
      <c r="M16" s="287"/>
      <c r="N16" s="287"/>
    </row>
    <row r="17" spans="2:14" x14ac:dyDescent="0.25">
      <c r="B17" s="285" t="s">
        <v>164</v>
      </c>
      <c r="C17" s="285" t="s">
        <v>61</v>
      </c>
      <c r="D17" s="285" t="s">
        <v>76</v>
      </c>
      <c r="E17" s="286">
        <v>100</v>
      </c>
      <c r="F17" s="285" t="s">
        <v>3</v>
      </c>
      <c r="G17" s="287">
        <v>5700</v>
      </c>
      <c r="H17" s="288">
        <v>100</v>
      </c>
      <c r="J17" s="208">
        <f t="shared" si="0"/>
        <v>57</v>
      </c>
      <c r="M17" s="287"/>
      <c r="N17" s="287"/>
    </row>
    <row r="18" spans="2:14" x14ac:dyDescent="0.25">
      <c r="B18" s="285" t="s">
        <v>164</v>
      </c>
      <c r="C18" s="285" t="s">
        <v>61</v>
      </c>
      <c r="D18" s="285" t="s">
        <v>77</v>
      </c>
      <c r="E18" s="286">
        <v>0.5</v>
      </c>
      <c r="F18" s="285" t="s">
        <v>6</v>
      </c>
      <c r="G18" s="287">
        <v>16800</v>
      </c>
      <c r="H18" s="288">
        <v>100</v>
      </c>
      <c r="J18" s="208">
        <f t="shared" si="0"/>
        <v>168</v>
      </c>
      <c r="L18" s="285"/>
      <c r="M18" s="287"/>
      <c r="N18" s="287"/>
    </row>
    <row r="19" spans="2:14" x14ac:dyDescent="0.25">
      <c r="B19" s="285" t="s">
        <v>164</v>
      </c>
      <c r="C19" s="285" t="s">
        <v>61</v>
      </c>
      <c r="D19" s="285" t="s">
        <v>78</v>
      </c>
      <c r="E19" s="286">
        <v>0.5</v>
      </c>
      <c r="F19" s="285" t="s">
        <v>6</v>
      </c>
      <c r="G19" s="287">
        <v>8900</v>
      </c>
      <c r="H19" s="288">
        <v>250</v>
      </c>
      <c r="J19" s="208">
        <f t="shared" si="0"/>
        <v>35.6</v>
      </c>
      <c r="L19" s="285"/>
      <c r="M19" s="287"/>
      <c r="N19" s="287"/>
    </row>
    <row r="20" spans="2:14" x14ac:dyDescent="0.25">
      <c r="B20" s="285" t="s">
        <v>164</v>
      </c>
      <c r="C20" s="285" t="s">
        <v>61</v>
      </c>
      <c r="D20" s="285" t="s">
        <v>79</v>
      </c>
      <c r="E20" s="286">
        <v>1</v>
      </c>
      <c r="F20" s="285" t="s">
        <v>6</v>
      </c>
      <c r="G20" s="287">
        <v>14000</v>
      </c>
      <c r="H20" s="288">
        <v>50</v>
      </c>
      <c r="J20" s="208">
        <f t="shared" si="0"/>
        <v>280</v>
      </c>
      <c r="L20" s="285"/>
      <c r="M20" s="287"/>
      <c r="N20" s="287"/>
    </row>
    <row r="21" spans="2:14" x14ac:dyDescent="0.25">
      <c r="B21" s="285" t="s">
        <v>164</v>
      </c>
      <c r="C21" s="285" t="s">
        <v>61</v>
      </c>
      <c r="D21" s="285" t="s">
        <v>80</v>
      </c>
      <c r="E21" s="286">
        <v>1</v>
      </c>
      <c r="F21" s="285" t="s">
        <v>6</v>
      </c>
      <c r="G21" s="287">
        <v>13400</v>
      </c>
      <c r="H21" s="288">
        <v>50</v>
      </c>
      <c r="J21" s="208">
        <f t="shared" si="0"/>
        <v>268</v>
      </c>
      <c r="L21" s="285"/>
      <c r="M21" s="287"/>
      <c r="N21" s="287"/>
    </row>
    <row r="22" spans="2:14" x14ac:dyDescent="0.25">
      <c r="B22" s="285" t="s">
        <v>164</v>
      </c>
      <c r="C22" s="285" t="s">
        <v>61</v>
      </c>
      <c r="D22" s="285" t="s">
        <v>81</v>
      </c>
      <c r="E22" s="286">
        <v>1</v>
      </c>
      <c r="F22" s="285" t="s">
        <v>6</v>
      </c>
      <c r="G22" s="287">
        <v>16000</v>
      </c>
      <c r="H22" s="288">
        <v>50</v>
      </c>
      <c r="J22" s="208">
        <f t="shared" si="0"/>
        <v>320</v>
      </c>
      <c r="L22" s="285"/>
      <c r="M22" s="287"/>
      <c r="N22" s="287"/>
    </row>
    <row r="23" spans="2:14" x14ac:dyDescent="0.25">
      <c r="B23" s="285" t="s">
        <v>165</v>
      </c>
      <c r="C23" s="285" t="s">
        <v>61</v>
      </c>
      <c r="D23" s="285" t="s">
        <v>166</v>
      </c>
      <c r="E23" s="286">
        <v>1</v>
      </c>
      <c r="F23" s="285" t="s">
        <v>7</v>
      </c>
      <c r="G23" s="287">
        <v>5000</v>
      </c>
      <c r="H23" s="288">
        <v>4</v>
      </c>
      <c r="J23" s="208">
        <f t="shared" si="0"/>
        <v>1250</v>
      </c>
      <c r="L23" s="285"/>
      <c r="M23" s="287"/>
      <c r="N23" s="287"/>
    </row>
    <row r="24" spans="2:14" x14ac:dyDescent="0.25">
      <c r="B24" s="285" t="s">
        <v>165</v>
      </c>
      <c r="C24" s="285" t="s">
        <v>61</v>
      </c>
      <c r="D24" s="285" t="s">
        <v>82</v>
      </c>
      <c r="E24" s="286">
        <v>1</v>
      </c>
      <c r="F24" s="285" t="s">
        <v>3</v>
      </c>
      <c r="G24" s="287">
        <v>1320</v>
      </c>
      <c r="H24" s="288">
        <v>1</v>
      </c>
      <c r="J24" s="208">
        <f t="shared" si="0"/>
        <v>1320</v>
      </c>
      <c r="L24" s="285"/>
      <c r="M24" s="287"/>
      <c r="N24" s="287"/>
    </row>
    <row r="25" spans="2:14" x14ac:dyDescent="0.25">
      <c r="B25" s="285" t="s">
        <v>165</v>
      </c>
      <c r="C25" s="285" t="s">
        <v>61</v>
      </c>
      <c r="D25" s="285" t="s">
        <v>83</v>
      </c>
      <c r="E25" s="286">
        <v>1</v>
      </c>
      <c r="F25" s="285" t="s">
        <v>3</v>
      </c>
      <c r="G25" s="287">
        <v>1440</v>
      </c>
      <c r="H25" s="288">
        <v>1</v>
      </c>
      <c r="J25" s="208">
        <f t="shared" si="0"/>
        <v>1440</v>
      </c>
      <c r="L25" s="285"/>
      <c r="M25" s="287"/>
      <c r="N25" s="287"/>
    </row>
    <row r="26" spans="2:14" x14ac:dyDescent="0.25">
      <c r="B26" s="285" t="s">
        <v>167</v>
      </c>
      <c r="C26" s="285" t="s">
        <v>61</v>
      </c>
      <c r="D26" s="285" t="s">
        <v>56</v>
      </c>
      <c r="E26" s="286">
        <v>1</v>
      </c>
      <c r="F26" s="285" t="s">
        <v>6</v>
      </c>
      <c r="G26" s="287">
        <v>60000</v>
      </c>
      <c r="H26" s="288">
        <v>100</v>
      </c>
      <c r="J26" s="208">
        <f t="shared" si="0"/>
        <v>600</v>
      </c>
      <c r="L26" s="285"/>
      <c r="M26" s="287"/>
      <c r="N26" s="287"/>
    </row>
    <row r="27" spans="2:14" x14ac:dyDescent="0.25">
      <c r="B27" s="285" t="s">
        <v>168</v>
      </c>
      <c r="C27" s="285" t="s">
        <v>61</v>
      </c>
      <c r="D27" s="285" t="s">
        <v>95</v>
      </c>
      <c r="E27" s="286">
        <v>1</v>
      </c>
      <c r="F27" s="285" t="s">
        <v>3</v>
      </c>
      <c r="G27" s="287">
        <v>5000</v>
      </c>
      <c r="H27" s="285">
        <v>500</v>
      </c>
      <c r="J27" s="208">
        <f t="shared" si="0"/>
        <v>10</v>
      </c>
      <c r="L27" s="285"/>
      <c r="M27" s="287"/>
      <c r="N27" s="287"/>
    </row>
    <row r="28" spans="2:14" x14ac:dyDescent="0.25">
      <c r="B28" s="285" t="s">
        <v>169</v>
      </c>
      <c r="C28" s="285" t="s">
        <v>61</v>
      </c>
      <c r="D28" s="285" t="s">
        <v>170</v>
      </c>
      <c r="E28" s="286">
        <v>1</v>
      </c>
      <c r="F28" s="285" t="s">
        <v>3</v>
      </c>
      <c r="G28" s="287">
        <v>2850</v>
      </c>
      <c r="H28" s="285">
        <v>1</v>
      </c>
      <c r="J28" s="208">
        <f t="shared" si="0"/>
        <v>2850</v>
      </c>
      <c r="L28" s="285"/>
      <c r="M28" s="287"/>
      <c r="N28" s="287"/>
    </row>
    <row r="29" spans="2:14" x14ac:dyDescent="0.25">
      <c r="B29" s="285" t="s">
        <v>169</v>
      </c>
      <c r="C29" s="285" t="s">
        <v>61</v>
      </c>
      <c r="D29" s="285" t="s">
        <v>171</v>
      </c>
      <c r="E29" s="286">
        <v>1</v>
      </c>
      <c r="F29" s="285" t="s">
        <v>3</v>
      </c>
      <c r="G29" s="287">
        <v>2500</v>
      </c>
      <c r="H29" s="285">
        <v>1</v>
      </c>
      <c r="J29" s="208">
        <f t="shared" si="0"/>
        <v>2500</v>
      </c>
      <c r="L29" s="285"/>
      <c r="M29" s="287"/>
      <c r="N29" s="287"/>
    </row>
    <row r="30" spans="2:14" x14ac:dyDescent="0.25">
      <c r="B30" s="285" t="s">
        <v>169</v>
      </c>
      <c r="C30" s="285" t="s">
        <v>61</v>
      </c>
      <c r="D30" s="285" t="s">
        <v>172</v>
      </c>
      <c r="E30" s="286">
        <v>1</v>
      </c>
      <c r="F30" s="285" t="s">
        <v>3</v>
      </c>
      <c r="G30" s="287">
        <v>2200</v>
      </c>
      <c r="H30" s="285">
        <v>1</v>
      </c>
      <c r="J30" s="208">
        <f t="shared" si="0"/>
        <v>2200</v>
      </c>
      <c r="L30" s="285"/>
      <c r="M30" s="287"/>
      <c r="N30" s="287"/>
    </row>
    <row r="31" spans="2:14" ht="14.25" thickBot="1" x14ac:dyDescent="0.3">
      <c r="B31" s="289" t="s">
        <v>169</v>
      </c>
      <c r="C31" s="289" t="s">
        <v>61</v>
      </c>
      <c r="D31" s="289" t="s">
        <v>173</v>
      </c>
      <c r="E31" s="290">
        <v>1</v>
      </c>
      <c r="F31" s="289" t="s">
        <v>3</v>
      </c>
      <c r="G31" s="291">
        <v>700</v>
      </c>
      <c r="H31" s="289">
        <v>1</v>
      </c>
      <c r="J31" s="215">
        <f t="shared" si="0"/>
        <v>700</v>
      </c>
      <c r="L31" s="285"/>
      <c r="M31" s="287"/>
      <c r="N31" s="287"/>
    </row>
    <row r="32" spans="2:14" x14ac:dyDescent="0.25">
      <c r="B32" s="285"/>
      <c r="C32" s="285"/>
      <c r="D32" s="285"/>
      <c r="E32" s="286"/>
      <c r="F32" s="285"/>
      <c r="G32" s="287"/>
      <c r="H32" s="285"/>
      <c r="J32" s="208"/>
      <c r="L32" s="285"/>
      <c r="M32" s="287"/>
      <c r="N32" s="287"/>
    </row>
    <row r="33" spans="2:14" ht="14.25" thickBot="1" x14ac:dyDescent="0.3">
      <c r="E33" s="441" t="s">
        <v>174</v>
      </c>
      <c r="F33" s="441"/>
      <c r="G33" s="441"/>
      <c r="L33" s="285"/>
      <c r="M33" s="287"/>
      <c r="N33" s="287"/>
    </row>
    <row r="34" spans="2:14" ht="14.25" thickBot="1" x14ac:dyDescent="0.3">
      <c r="B34" s="188" t="s">
        <v>159</v>
      </c>
      <c r="C34" s="189" t="s">
        <v>46</v>
      </c>
      <c r="D34" s="189" t="s">
        <v>47</v>
      </c>
      <c r="E34" s="442" t="s">
        <v>160</v>
      </c>
      <c r="F34" s="442"/>
      <c r="G34" s="189" t="s">
        <v>161</v>
      </c>
      <c r="J34" s="189" t="s">
        <v>89</v>
      </c>
      <c r="L34" s="285"/>
      <c r="M34" s="287"/>
      <c r="N34" s="287"/>
    </row>
    <row r="35" spans="2:14" x14ac:dyDescent="0.25">
      <c r="B35" s="285" t="s">
        <v>164</v>
      </c>
      <c r="C35" s="285" t="s">
        <v>89</v>
      </c>
      <c r="D35" s="285" t="s">
        <v>100</v>
      </c>
      <c r="E35" s="286">
        <v>1</v>
      </c>
      <c r="F35" s="285" t="s">
        <v>101</v>
      </c>
      <c r="G35" s="287">
        <v>20000</v>
      </c>
      <c r="J35" s="208">
        <f>+G35</f>
        <v>20000</v>
      </c>
      <c r="L35" s="285"/>
      <c r="M35" s="287"/>
      <c r="N35" s="287"/>
    </row>
    <row r="36" spans="2:14" x14ac:dyDescent="0.25">
      <c r="B36" s="285" t="s">
        <v>175</v>
      </c>
      <c r="C36" s="285" t="s">
        <v>89</v>
      </c>
      <c r="D36" s="285" t="s">
        <v>92</v>
      </c>
      <c r="E36" s="286">
        <v>1</v>
      </c>
      <c r="F36" s="285" t="s">
        <v>2</v>
      </c>
      <c r="G36" s="287">
        <v>51100</v>
      </c>
      <c r="J36" s="208">
        <f t="shared" ref="J36:J37" si="1">+G36</f>
        <v>51100</v>
      </c>
      <c r="L36" s="285"/>
      <c r="M36" s="287"/>
      <c r="N36" s="287"/>
    </row>
    <row r="37" spans="2:14" ht="14.25" thickBot="1" x14ac:dyDescent="0.3">
      <c r="B37" s="285" t="s">
        <v>175</v>
      </c>
      <c r="C37" s="289" t="s">
        <v>89</v>
      </c>
      <c r="D37" s="289" t="s">
        <v>176</v>
      </c>
      <c r="E37" s="290">
        <v>1</v>
      </c>
      <c r="F37" s="289" t="s">
        <v>101</v>
      </c>
      <c r="G37" s="291">
        <f>+G39+G40+G41+G42+G43+G44</f>
        <v>1979689</v>
      </c>
      <c r="J37" s="215">
        <f t="shared" si="1"/>
        <v>1979689</v>
      </c>
      <c r="L37" s="285"/>
      <c r="M37" s="287"/>
      <c r="N37" s="287"/>
    </row>
    <row r="38" spans="2:14" x14ac:dyDescent="0.25">
      <c r="J38" s="208"/>
      <c r="L38" s="285"/>
      <c r="M38" s="287"/>
      <c r="N38" s="287"/>
    </row>
    <row r="39" spans="2:14" x14ac:dyDescent="0.25">
      <c r="D39" s="210" t="s">
        <v>177</v>
      </c>
      <c r="G39" s="292">
        <v>1423500</v>
      </c>
      <c r="L39" s="285"/>
    </row>
    <row r="40" spans="2:14" x14ac:dyDescent="0.25">
      <c r="D40" s="210" t="s">
        <v>178</v>
      </c>
      <c r="G40" s="292">
        <v>200000</v>
      </c>
      <c r="L40" s="285"/>
    </row>
    <row r="41" spans="2:14" x14ac:dyDescent="0.25">
      <c r="B41" s="298"/>
      <c r="C41" s="299" t="s">
        <v>179</v>
      </c>
      <c r="D41" s="298" t="s">
        <v>180</v>
      </c>
      <c r="E41" s="300"/>
      <c r="F41" s="298"/>
      <c r="G41" s="301">
        <v>170820</v>
      </c>
      <c r="H41" s="302">
        <f>G41/($G$39)</f>
        <v>0.12</v>
      </c>
      <c r="L41" s="285"/>
    </row>
    <row r="42" spans="2:14" x14ac:dyDescent="0.25">
      <c r="C42" s="293" t="s">
        <v>179</v>
      </c>
      <c r="D42" s="210" t="s">
        <v>181</v>
      </c>
      <c r="G42" s="292">
        <v>120998</v>
      </c>
      <c r="H42" s="302">
        <f t="shared" ref="H42:H44" si="2">G42/($G$39)</f>
        <v>8.5000351246926592E-2</v>
      </c>
    </row>
    <row r="43" spans="2:14" x14ac:dyDescent="0.25">
      <c r="B43" s="294"/>
      <c r="C43" s="295" t="s">
        <v>179</v>
      </c>
      <c r="D43" s="294" t="s">
        <v>182</v>
      </c>
      <c r="E43" s="296"/>
      <c r="F43" s="294"/>
      <c r="G43" s="297">
        <v>7431</v>
      </c>
      <c r="H43" s="302">
        <f t="shared" si="2"/>
        <v>5.2202318229715491E-3</v>
      </c>
    </row>
    <row r="44" spans="2:14" x14ac:dyDescent="0.25">
      <c r="B44" s="298"/>
      <c r="C44" s="299" t="s">
        <v>183</v>
      </c>
      <c r="D44" s="298" t="s">
        <v>184</v>
      </c>
      <c r="E44" s="300"/>
      <c r="F44" s="298"/>
      <c r="G44" s="301">
        <v>56940</v>
      </c>
      <c r="H44" s="302">
        <f t="shared" si="2"/>
        <v>0.04</v>
      </c>
    </row>
    <row r="47" spans="2:14" ht="121.5" x14ac:dyDescent="0.25">
      <c r="L47" s="285" t="s">
        <v>185</v>
      </c>
    </row>
  </sheetData>
  <sheetProtection algorithmName="SHA-512" hashValue="Bs94SsfSAjU6xHdrxG4hkJPHYeN54stxjgmc+fLxaJNUcieNO6aIx/mQksZqN7SEbDtccFhidFYRYnUZT8MWhg==" saltValue="mxmsMa+eBYL/oob6My6mSg==" spinCount="100000" sheet="1" formatCells="0" formatColumns="0" formatRows="0" insertColumns="0" insertRows="0" insertHyperlinks="0" deleteColumns="0" deleteRows="0" autoFilter="0" pivotTables="0"/>
  <mergeCells count="5">
    <mergeCell ref="E4:G4"/>
    <mergeCell ref="E5:F5"/>
    <mergeCell ref="E33:G33"/>
    <mergeCell ref="E34:F34"/>
    <mergeCell ref="C2:I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BFC36103-9D14-433D-B2B8-32F2A1B94AFF}">
          <x14:formula1>
            <xm:f>Datos!$B$3:$B$12</xm:f>
          </x14:formula1>
          <xm:sqref>F35:F37 F6:F32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5AC28-8801-4456-9676-3193B78C00F2}">
  <dimension ref="B1:N25"/>
  <sheetViews>
    <sheetView showGridLines="0" zoomScale="90" zoomScaleNormal="90" workbookViewId="0">
      <selection activeCell="I13" sqref="I13"/>
    </sheetView>
  </sheetViews>
  <sheetFormatPr baseColWidth="10" defaultColWidth="36.42578125" defaultRowHeight="13.5" x14ac:dyDescent="0.25"/>
  <cols>
    <col min="1" max="1" width="2.7109375" style="186" customWidth="1"/>
    <col min="2" max="2" width="8.140625" style="186" bestFit="1" customWidth="1"/>
    <col min="3" max="3" width="35.85546875" style="186" bestFit="1" customWidth="1"/>
    <col min="4" max="5" width="11.42578125" style="186" bestFit="1" customWidth="1"/>
    <col min="6" max="6" width="19.42578125" style="186" bestFit="1" customWidth="1"/>
    <col min="7" max="7" width="19.42578125" style="186" customWidth="1"/>
    <col min="8" max="8" width="7.85546875" style="186" bestFit="1" customWidth="1"/>
    <col min="9" max="9" width="16" style="186" bestFit="1" customWidth="1"/>
    <col min="10" max="16384" width="36.42578125" style="186"/>
  </cols>
  <sheetData>
    <row r="1" spans="2:14" ht="3.95" customHeight="1" x14ac:dyDescent="0.25">
      <c r="B1" s="444" t="s">
        <v>186</v>
      </c>
      <c r="C1" s="444"/>
      <c r="D1" s="444"/>
      <c r="E1" s="444"/>
      <c r="F1" s="444"/>
      <c r="G1" s="444"/>
    </row>
    <row r="2" spans="2:14" x14ac:dyDescent="0.25">
      <c r="B2" s="444"/>
      <c r="C2" s="444"/>
      <c r="D2" s="444"/>
      <c r="E2" s="444"/>
      <c r="F2" s="444"/>
      <c r="G2" s="444"/>
      <c r="H2" s="433"/>
      <c r="I2" s="433"/>
    </row>
    <row r="3" spans="2:14" ht="3.95" customHeight="1" thickBot="1" x14ac:dyDescent="0.3">
      <c r="D3" s="187"/>
    </row>
    <row r="4" spans="2:14" ht="14.25" thickBot="1" x14ac:dyDescent="0.3">
      <c r="B4" s="189" t="s">
        <v>46</v>
      </c>
      <c r="C4" s="189" t="s">
        <v>47</v>
      </c>
      <c r="D4" s="442" t="s">
        <v>160</v>
      </c>
      <c r="E4" s="442"/>
      <c r="F4" s="189" t="s">
        <v>187</v>
      </c>
      <c r="G4" s="189" t="s">
        <v>188</v>
      </c>
    </row>
    <row r="5" spans="2:14" x14ac:dyDescent="0.25">
      <c r="B5" s="190" t="s">
        <v>104</v>
      </c>
      <c r="C5" s="190" t="s">
        <v>105</v>
      </c>
      <c r="D5" s="191">
        <v>1</v>
      </c>
      <c r="E5" s="190" t="s">
        <v>11</v>
      </c>
      <c r="F5" s="192">
        <v>800000</v>
      </c>
      <c r="G5" s="192">
        <f>+F5</f>
        <v>800000</v>
      </c>
      <c r="H5" s="193"/>
      <c r="J5" s="194"/>
      <c r="L5" s="190"/>
      <c r="M5" s="192"/>
      <c r="N5" s="192"/>
    </row>
    <row r="6" spans="2:14" x14ac:dyDescent="0.25">
      <c r="B6" s="190" t="s">
        <v>104</v>
      </c>
      <c r="C6" s="190" t="s">
        <v>106</v>
      </c>
      <c r="D6" s="191">
        <v>1</v>
      </c>
      <c r="E6" s="190" t="s">
        <v>11</v>
      </c>
      <c r="F6" s="192">
        <v>170000</v>
      </c>
      <c r="G6" s="192">
        <f t="shared" ref="G6:G8" si="0">+F6</f>
        <v>170000</v>
      </c>
      <c r="H6" s="193"/>
      <c r="J6" s="194"/>
      <c r="L6" s="190"/>
      <c r="M6" s="192"/>
      <c r="N6" s="192"/>
    </row>
    <row r="7" spans="2:14" x14ac:dyDescent="0.25">
      <c r="B7" s="190" t="s">
        <v>104</v>
      </c>
      <c r="C7" s="190" t="s">
        <v>107</v>
      </c>
      <c r="D7" s="191">
        <v>1</v>
      </c>
      <c r="E7" s="190" t="s">
        <v>11</v>
      </c>
      <c r="F7" s="192">
        <v>2000000</v>
      </c>
      <c r="G7" s="192">
        <f t="shared" si="0"/>
        <v>2000000</v>
      </c>
      <c r="H7" s="193"/>
      <c r="J7" s="194"/>
      <c r="L7" s="190"/>
      <c r="M7" s="192"/>
      <c r="N7" s="192"/>
    </row>
    <row r="8" spans="2:14" x14ac:dyDescent="0.25">
      <c r="B8" s="190" t="s">
        <v>104</v>
      </c>
      <c r="C8" s="190" t="s">
        <v>108</v>
      </c>
      <c r="D8" s="191">
        <v>1</v>
      </c>
      <c r="E8" s="190" t="s">
        <v>11</v>
      </c>
      <c r="F8" s="192">
        <v>100000</v>
      </c>
      <c r="G8" s="192">
        <f t="shared" si="0"/>
        <v>100000</v>
      </c>
      <c r="H8" s="193"/>
      <c r="J8" s="194"/>
      <c r="L8" s="190"/>
      <c r="M8" s="192"/>
      <c r="N8" s="192"/>
    </row>
    <row r="9" spans="2:14" x14ac:dyDescent="0.25">
      <c r="B9" s="190" t="s">
        <v>104</v>
      </c>
      <c r="C9" s="191" t="s">
        <v>189</v>
      </c>
      <c r="E9" s="190"/>
      <c r="F9" s="192"/>
      <c r="G9" s="192">
        <v>135292</v>
      </c>
      <c r="H9" s="198">
        <v>9.5041798384264131E-2</v>
      </c>
      <c r="J9" s="194"/>
      <c r="L9" s="190"/>
      <c r="M9" s="192"/>
      <c r="N9" s="192"/>
    </row>
    <row r="10" spans="2:14" x14ac:dyDescent="0.25">
      <c r="B10" s="190" t="s">
        <v>104</v>
      </c>
      <c r="C10" s="186" t="s">
        <v>190</v>
      </c>
      <c r="G10" s="192">
        <v>16235</v>
      </c>
      <c r="H10" s="303">
        <v>1.140498770635757E-2</v>
      </c>
      <c r="I10" s="186" t="s">
        <v>191</v>
      </c>
      <c r="J10" s="194"/>
      <c r="L10" s="190"/>
      <c r="M10" s="192"/>
      <c r="N10" s="192"/>
    </row>
    <row r="11" spans="2:14" x14ac:dyDescent="0.25">
      <c r="B11" s="190" t="s">
        <v>104</v>
      </c>
      <c r="C11" s="186" t="s">
        <v>192</v>
      </c>
      <c r="G11" s="192">
        <v>135292</v>
      </c>
      <c r="H11" s="304">
        <v>9.5041798384264131E-2</v>
      </c>
      <c r="J11" s="194"/>
      <c r="L11" s="190"/>
      <c r="M11" s="192"/>
      <c r="N11" s="192"/>
    </row>
    <row r="12" spans="2:14" x14ac:dyDescent="0.25">
      <c r="B12" s="190" t="s">
        <v>104</v>
      </c>
      <c r="C12" s="186" t="s">
        <v>193</v>
      </c>
      <c r="G12" s="192">
        <v>59313</v>
      </c>
      <c r="H12" s="304">
        <v>4.1667017913593257E-2</v>
      </c>
      <c r="J12" s="194"/>
      <c r="L12" s="190"/>
      <c r="M12" s="192"/>
      <c r="N12" s="192"/>
    </row>
    <row r="13" spans="2:14" x14ac:dyDescent="0.25">
      <c r="B13" s="190" t="s">
        <v>109</v>
      </c>
      <c r="C13" s="190" t="s">
        <v>110</v>
      </c>
      <c r="D13" s="191">
        <v>100</v>
      </c>
      <c r="E13" s="190" t="s">
        <v>3</v>
      </c>
      <c r="F13" s="192">
        <v>8800</v>
      </c>
      <c r="G13" s="192">
        <f>+F13/H13</f>
        <v>352</v>
      </c>
      <c r="H13" s="198">
        <v>25</v>
      </c>
      <c r="I13" s="186" t="s">
        <v>194</v>
      </c>
      <c r="J13" s="194"/>
      <c r="L13" s="190"/>
      <c r="M13" s="192"/>
      <c r="N13" s="192"/>
    </row>
    <row r="14" spans="2:14" x14ac:dyDescent="0.25">
      <c r="B14" s="190" t="s">
        <v>109</v>
      </c>
      <c r="C14" s="190" t="s">
        <v>111</v>
      </c>
      <c r="D14" s="191">
        <v>100</v>
      </c>
      <c r="E14" s="190" t="s">
        <v>3</v>
      </c>
      <c r="F14" s="192">
        <v>11000</v>
      </c>
      <c r="G14" s="192">
        <f>+F14/H14</f>
        <v>440</v>
      </c>
      <c r="H14" s="198">
        <v>25</v>
      </c>
      <c r="I14" s="186" t="s">
        <v>195</v>
      </c>
      <c r="J14" s="194"/>
      <c r="L14" s="190"/>
      <c r="M14" s="192"/>
      <c r="N14" s="192"/>
    </row>
    <row r="15" spans="2:14" x14ac:dyDescent="0.25">
      <c r="B15" s="190" t="s">
        <v>109</v>
      </c>
      <c r="C15" s="190" t="s">
        <v>112</v>
      </c>
      <c r="D15" s="191">
        <v>200</v>
      </c>
      <c r="E15" s="190" t="s">
        <v>3</v>
      </c>
      <c r="F15" s="192">
        <v>6200</v>
      </c>
      <c r="G15" s="192">
        <f>+F15/H15</f>
        <v>124</v>
      </c>
      <c r="H15" s="198">
        <v>50</v>
      </c>
      <c r="J15" s="194"/>
      <c r="L15" s="190"/>
      <c r="M15" s="192"/>
      <c r="N15" s="192"/>
    </row>
    <row r="16" spans="2:14" x14ac:dyDescent="0.25">
      <c r="B16" s="190" t="s">
        <v>109</v>
      </c>
      <c r="C16" s="190" t="s">
        <v>113</v>
      </c>
      <c r="D16" s="191">
        <v>2000</v>
      </c>
      <c r="E16" s="190" t="s">
        <v>2</v>
      </c>
      <c r="F16" s="192">
        <v>65000</v>
      </c>
      <c r="G16" s="192">
        <f>+F16/H16</f>
        <v>325</v>
      </c>
      <c r="H16" s="198">
        <v>200</v>
      </c>
      <c r="J16" s="194"/>
      <c r="L16" s="190"/>
      <c r="M16" s="192"/>
      <c r="N16" s="192"/>
    </row>
    <row r="17" spans="2:14" x14ac:dyDescent="0.25">
      <c r="B17" s="190" t="s">
        <v>109</v>
      </c>
      <c r="C17" s="190" t="s">
        <v>196</v>
      </c>
      <c r="D17" s="191">
        <v>1</v>
      </c>
      <c r="E17" s="190" t="s">
        <v>11</v>
      </c>
      <c r="F17" s="192">
        <v>1542125</v>
      </c>
      <c r="G17" s="192">
        <f t="shared" ref="G17" si="1">+F17</f>
        <v>1542125</v>
      </c>
      <c r="H17" s="198"/>
      <c r="J17" s="194"/>
      <c r="L17" s="190"/>
      <c r="M17" s="192"/>
      <c r="N17" s="192"/>
    </row>
    <row r="18" spans="2:14" x14ac:dyDescent="0.25">
      <c r="B18" s="190" t="s">
        <v>109</v>
      </c>
      <c r="C18" s="190" t="s">
        <v>90</v>
      </c>
      <c r="D18" s="191">
        <v>10000</v>
      </c>
      <c r="E18" s="190" t="s">
        <v>3</v>
      </c>
      <c r="F18" s="192">
        <v>18000</v>
      </c>
      <c r="G18" s="192">
        <f>+F18/H18</f>
        <v>20</v>
      </c>
      <c r="H18" s="198">
        <v>900</v>
      </c>
      <c r="J18" s="194"/>
      <c r="L18" s="190"/>
      <c r="M18" s="192"/>
      <c r="N18" s="192"/>
    </row>
    <row r="19" spans="2:14" x14ac:dyDescent="0.25">
      <c r="B19" s="190" t="s">
        <v>109</v>
      </c>
      <c r="C19" s="190" t="s">
        <v>93</v>
      </c>
      <c r="D19" s="191">
        <v>330</v>
      </c>
      <c r="E19" s="190" t="s">
        <v>3</v>
      </c>
      <c r="F19" s="192">
        <v>30000</v>
      </c>
      <c r="G19" s="192">
        <f>+F19/H19</f>
        <v>272.72727272727275</v>
      </c>
      <c r="H19" s="198">
        <v>110</v>
      </c>
      <c r="J19" s="194"/>
      <c r="L19" s="190"/>
      <c r="M19" s="192"/>
      <c r="N19" s="192"/>
    </row>
    <row r="20" spans="2:14" x14ac:dyDescent="0.25">
      <c r="B20" s="190" t="s">
        <v>109</v>
      </c>
      <c r="C20" s="190" t="s">
        <v>96</v>
      </c>
      <c r="D20" s="191">
        <v>50</v>
      </c>
      <c r="E20" s="190" t="s">
        <v>3</v>
      </c>
      <c r="F20" s="192">
        <v>44000</v>
      </c>
      <c r="G20" s="192">
        <f t="shared" ref="G20:G23" si="2">+F20/H20</f>
        <v>4400</v>
      </c>
      <c r="H20" s="198">
        <v>10</v>
      </c>
      <c r="J20" s="194"/>
      <c r="L20" s="190"/>
      <c r="M20" s="192"/>
      <c r="N20" s="192"/>
    </row>
    <row r="21" spans="2:14" x14ac:dyDescent="0.25">
      <c r="B21" s="190" t="s">
        <v>109</v>
      </c>
      <c r="C21" s="190" t="s">
        <v>97</v>
      </c>
      <c r="D21" s="191">
        <v>50</v>
      </c>
      <c r="E21" s="190" t="s">
        <v>3</v>
      </c>
      <c r="F21" s="192">
        <v>44000</v>
      </c>
      <c r="G21" s="192">
        <f t="shared" si="2"/>
        <v>4400</v>
      </c>
      <c r="H21" s="198">
        <v>10</v>
      </c>
      <c r="J21" s="194"/>
      <c r="L21" s="190"/>
      <c r="M21" s="192"/>
      <c r="N21" s="192"/>
    </row>
    <row r="22" spans="2:14" x14ac:dyDescent="0.25">
      <c r="B22" s="190" t="s">
        <v>109</v>
      </c>
      <c r="C22" s="190" t="s">
        <v>98</v>
      </c>
      <c r="D22" s="191">
        <v>1000</v>
      </c>
      <c r="E22" s="190" t="s">
        <v>3</v>
      </c>
      <c r="F22" s="192">
        <v>2300000</v>
      </c>
      <c r="G22" s="192">
        <f>+F22/H22</f>
        <v>230000</v>
      </c>
      <c r="H22" s="198">
        <v>10</v>
      </c>
      <c r="J22" s="194"/>
      <c r="L22" s="190"/>
      <c r="M22" s="192"/>
      <c r="N22" s="192"/>
    </row>
    <row r="23" spans="2:14" ht="14.25" thickBot="1" x14ac:dyDescent="0.3">
      <c r="B23" s="195" t="s">
        <v>109</v>
      </c>
      <c r="C23" s="195" t="s">
        <v>99</v>
      </c>
      <c r="D23" s="196">
        <v>1000</v>
      </c>
      <c r="E23" s="195" t="s">
        <v>3</v>
      </c>
      <c r="F23" s="197">
        <v>2300000</v>
      </c>
      <c r="G23" s="197">
        <f t="shared" si="2"/>
        <v>230000</v>
      </c>
      <c r="H23" s="198">
        <v>10</v>
      </c>
      <c r="J23" s="194"/>
      <c r="L23" s="190"/>
      <c r="M23" s="192"/>
      <c r="N23" s="192"/>
    </row>
    <row r="24" spans="2:14" x14ac:dyDescent="0.25">
      <c r="B24" s="190"/>
      <c r="C24" s="190"/>
      <c r="D24" s="191"/>
      <c r="E24" s="190"/>
      <c r="F24" s="192"/>
      <c r="G24" s="192"/>
      <c r="H24" s="198"/>
    </row>
    <row r="25" spans="2:14" x14ac:dyDescent="0.25">
      <c r="B25" s="305"/>
      <c r="J25" s="194"/>
      <c r="L25" s="190"/>
      <c r="M25" s="192"/>
      <c r="N25" s="192"/>
    </row>
  </sheetData>
  <sheetProtection algorithmName="SHA-512" hashValue="pbgVb1lgaDJbIEEmGV2b687DUDgPqxQkjDH1YqJLxgZ8Pva93EIfgYKOTsCDUl5KW6OeG2jzOBs/iJq9O0m8ww==" saltValue="Nsi/DH9XcetF8/t4VlT11g==" spinCount="100000" sheet="1" formatCells="0" formatColumns="0" formatRows="0" insertColumns="0" insertRows="0" insertHyperlinks="0" deleteColumns="0" deleteRows="0" autoFilter="0" pivotTables="0"/>
  <mergeCells count="2">
    <mergeCell ref="D4:E4"/>
    <mergeCell ref="B1:G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0A891BE-DFC8-4638-B578-CDD82A236894}">
          <x14:formula1>
            <xm:f>Datos!$B$3:$B$12</xm:f>
          </x14:formula1>
          <xm:sqref>E17:E23 E5:E15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B83F-F8BE-4818-92E4-AEA9B9055C51}">
  <dimension ref="B1:M69"/>
  <sheetViews>
    <sheetView workbookViewId="0">
      <pane ySplit="4" topLeftCell="A6" activePane="bottomLeft" state="frozen"/>
      <selection pane="bottomLeft"/>
    </sheetView>
  </sheetViews>
  <sheetFormatPr baseColWidth="10" defaultColWidth="11.140625" defaultRowHeight="13.5" x14ac:dyDescent="0.25"/>
  <cols>
    <col min="1" max="1" width="2.7109375" style="186" customWidth="1"/>
    <col min="2" max="2" width="17.140625" style="186" bestFit="1" customWidth="1"/>
    <col min="3" max="3" width="30.5703125" style="186" bestFit="1" customWidth="1"/>
    <col min="4" max="4" width="46" style="186" customWidth="1"/>
    <col min="5" max="5" width="9.42578125" style="186" bestFit="1" customWidth="1"/>
    <col min="6" max="6" width="6.85546875" style="186" bestFit="1" customWidth="1"/>
    <col min="7" max="7" width="17.42578125" style="186" bestFit="1" customWidth="1"/>
    <col min="8" max="16384" width="11.140625" style="186"/>
  </cols>
  <sheetData>
    <row r="1" spans="2:13" ht="3.95" customHeight="1" x14ac:dyDescent="0.25">
      <c r="E1" s="187"/>
    </row>
    <row r="2" spans="2:13" x14ac:dyDescent="0.25">
      <c r="B2" s="443" t="s">
        <v>197</v>
      </c>
      <c r="C2" s="443"/>
      <c r="D2" s="443"/>
      <c r="E2" s="443"/>
      <c r="F2" s="443"/>
      <c r="G2" s="443"/>
    </row>
    <row r="3" spans="2:13" ht="3.95" customHeight="1" thickBot="1" x14ac:dyDescent="0.3">
      <c r="E3" s="187"/>
    </row>
    <row r="4" spans="2:13" ht="14.25" thickBot="1" x14ac:dyDescent="0.3">
      <c r="B4" s="188" t="s">
        <v>159</v>
      </c>
      <c r="C4" s="189" t="s">
        <v>46</v>
      </c>
      <c r="D4" s="189" t="s">
        <v>47</v>
      </c>
      <c r="E4" s="442" t="s">
        <v>160</v>
      </c>
      <c r="F4" s="442"/>
      <c r="G4" s="189" t="s">
        <v>161</v>
      </c>
    </row>
    <row r="5" spans="2:13" x14ac:dyDescent="0.25">
      <c r="B5" s="190" t="s">
        <v>175</v>
      </c>
      <c r="C5" s="190" t="s">
        <v>116</v>
      </c>
      <c r="D5" s="190" t="s">
        <v>117</v>
      </c>
      <c r="E5" s="191">
        <v>1</v>
      </c>
      <c r="F5" s="190"/>
      <c r="G5" s="192">
        <v>3680000</v>
      </c>
      <c r="I5" s="194"/>
      <c r="K5" s="190"/>
      <c r="L5" s="192"/>
      <c r="M5" s="192"/>
    </row>
    <row r="6" spans="2:13" x14ac:dyDescent="0.25">
      <c r="B6" s="190" t="s">
        <v>175</v>
      </c>
      <c r="C6" s="190" t="s">
        <v>118</v>
      </c>
      <c r="D6" s="190" t="s">
        <v>119</v>
      </c>
      <c r="E6" s="191">
        <v>9</v>
      </c>
      <c r="F6" s="190"/>
      <c r="G6" s="192">
        <v>350000</v>
      </c>
      <c r="I6" s="194"/>
      <c r="K6" s="190"/>
      <c r="L6" s="192"/>
      <c r="M6" s="192"/>
    </row>
    <row r="7" spans="2:13" x14ac:dyDescent="0.25">
      <c r="B7" s="190" t="s">
        <v>175</v>
      </c>
      <c r="C7" s="190" t="s">
        <v>118</v>
      </c>
      <c r="D7" s="190" t="s">
        <v>128</v>
      </c>
      <c r="E7" s="191">
        <v>2</v>
      </c>
      <c r="F7" s="190"/>
      <c r="G7" s="192">
        <v>325000</v>
      </c>
      <c r="I7" s="194"/>
      <c r="K7" s="190"/>
      <c r="L7" s="192"/>
      <c r="M7" s="192"/>
    </row>
    <row r="8" spans="2:13" x14ac:dyDescent="0.25">
      <c r="B8" s="190" t="s">
        <v>175</v>
      </c>
      <c r="C8" s="190" t="s">
        <v>118</v>
      </c>
      <c r="D8" s="190" t="s">
        <v>129</v>
      </c>
      <c r="E8" s="191">
        <v>1</v>
      </c>
      <c r="F8" s="190"/>
      <c r="G8" s="192">
        <v>2950000</v>
      </c>
      <c r="I8" s="194"/>
      <c r="K8" s="190"/>
      <c r="L8" s="192"/>
      <c r="M8" s="192"/>
    </row>
    <row r="9" spans="2:13" x14ac:dyDescent="0.25">
      <c r="B9" s="190" t="s">
        <v>175</v>
      </c>
      <c r="C9" s="190" t="s">
        <v>118</v>
      </c>
      <c r="D9" s="190" t="s">
        <v>130</v>
      </c>
      <c r="E9" s="191">
        <v>1</v>
      </c>
      <c r="F9" s="190"/>
      <c r="G9" s="192">
        <v>1000000</v>
      </c>
      <c r="I9" s="194"/>
      <c r="K9" s="190"/>
      <c r="L9" s="192"/>
      <c r="M9" s="192"/>
    </row>
    <row r="10" spans="2:13" x14ac:dyDescent="0.25">
      <c r="B10" s="190" t="s">
        <v>175</v>
      </c>
      <c r="C10" s="190" t="s">
        <v>118</v>
      </c>
      <c r="D10" s="190" t="s">
        <v>198</v>
      </c>
      <c r="E10" s="191">
        <v>76</v>
      </c>
      <c r="F10" s="190"/>
      <c r="G10" s="192">
        <v>450000</v>
      </c>
      <c r="I10" s="194"/>
      <c r="K10" s="190"/>
      <c r="L10" s="192"/>
      <c r="M10" s="192"/>
    </row>
    <row r="11" spans="2:13" x14ac:dyDescent="0.25">
      <c r="B11" s="190" t="s">
        <v>175</v>
      </c>
      <c r="C11" s="190" t="s">
        <v>118</v>
      </c>
      <c r="D11" s="190" t="s">
        <v>136</v>
      </c>
      <c r="E11" s="191">
        <v>1</v>
      </c>
      <c r="F11" s="190"/>
      <c r="G11" s="192">
        <v>100000</v>
      </c>
      <c r="I11" s="194"/>
      <c r="K11" s="190"/>
      <c r="L11" s="192"/>
      <c r="M11" s="192"/>
    </row>
    <row r="12" spans="2:13" x14ac:dyDescent="0.25">
      <c r="B12" s="190" t="s">
        <v>175</v>
      </c>
      <c r="C12" s="190" t="s">
        <v>137</v>
      </c>
      <c r="D12" s="190" t="s">
        <v>138</v>
      </c>
      <c r="E12" s="191">
        <v>1</v>
      </c>
      <c r="F12" s="190"/>
      <c r="G12" s="192">
        <v>2000000</v>
      </c>
      <c r="I12" s="194"/>
      <c r="K12" s="190"/>
      <c r="L12" s="192"/>
      <c r="M12" s="192"/>
    </row>
    <row r="13" spans="2:13" x14ac:dyDescent="0.25">
      <c r="B13" s="190" t="s">
        <v>175</v>
      </c>
      <c r="C13" s="190" t="s">
        <v>137</v>
      </c>
      <c r="D13" s="190" t="s">
        <v>139</v>
      </c>
      <c r="E13" s="191">
        <v>1</v>
      </c>
      <c r="F13" s="190"/>
      <c r="G13" s="192">
        <v>400000</v>
      </c>
      <c r="I13" s="194"/>
      <c r="K13" s="190"/>
      <c r="L13" s="192"/>
      <c r="M13" s="192"/>
    </row>
    <row r="14" spans="2:13" x14ac:dyDescent="0.25">
      <c r="B14" s="190" t="s">
        <v>175</v>
      </c>
      <c r="C14" s="190" t="s">
        <v>137</v>
      </c>
      <c r="D14" s="190" t="s">
        <v>140</v>
      </c>
      <c r="E14" s="191">
        <v>1</v>
      </c>
      <c r="F14" s="190"/>
      <c r="G14" s="192">
        <v>800000</v>
      </c>
      <c r="I14" s="194"/>
      <c r="K14" s="190"/>
      <c r="L14" s="192"/>
      <c r="M14" s="192"/>
    </row>
    <row r="15" spans="2:13" x14ac:dyDescent="0.25">
      <c r="B15" s="190" t="s">
        <v>175</v>
      </c>
      <c r="C15" s="190" t="s">
        <v>137</v>
      </c>
      <c r="D15" s="190" t="s">
        <v>141</v>
      </c>
      <c r="E15" s="191">
        <v>1</v>
      </c>
      <c r="F15" s="190"/>
      <c r="G15" s="192">
        <v>400000</v>
      </c>
      <c r="I15" s="194"/>
      <c r="K15" s="190"/>
      <c r="L15" s="192"/>
      <c r="M15" s="192"/>
    </row>
    <row r="16" spans="2:13" x14ac:dyDescent="0.25">
      <c r="B16" s="190" t="s">
        <v>175</v>
      </c>
      <c r="C16" s="190" t="s">
        <v>137</v>
      </c>
      <c r="D16" s="190" t="s">
        <v>142</v>
      </c>
      <c r="E16" s="191">
        <v>1</v>
      </c>
      <c r="F16" s="190"/>
      <c r="G16" s="192">
        <v>165000</v>
      </c>
      <c r="I16" s="194"/>
      <c r="K16" s="190"/>
      <c r="L16" s="192"/>
      <c r="M16" s="192"/>
    </row>
    <row r="17" spans="2:13" x14ac:dyDescent="0.25">
      <c r="B17" s="190" t="s">
        <v>175</v>
      </c>
      <c r="C17" s="190" t="s">
        <v>137</v>
      </c>
      <c r="D17" s="190" t="s">
        <v>143</v>
      </c>
      <c r="E17" s="191">
        <v>3</v>
      </c>
      <c r="F17" s="190"/>
      <c r="G17" s="192">
        <v>150000</v>
      </c>
      <c r="I17" s="194"/>
      <c r="K17" s="190"/>
      <c r="L17" s="192"/>
      <c r="M17" s="192"/>
    </row>
    <row r="18" spans="2:13" x14ac:dyDescent="0.25">
      <c r="B18" s="190" t="s">
        <v>175</v>
      </c>
      <c r="C18" s="190" t="s">
        <v>144</v>
      </c>
      <c r="D18" s="190" t="s">
        <v>123</v>
      </c>
      <c r="E18" s="191">
        <v>1</v>
      </c>
      <c r="F18" s="190"/>
      <c r="G18" s="192">
        <v>5000000</v>
      </c>
      <c r="I18" s="194"/>
      <c r="K18" s="190"/>
      <c r="L18" s="192"/>
      <c r="M18" s="192"/>
    </row>
    <row r="19" spans="2:13" x14ac:dyDescent="0.25">
      <c r="B19" s="190" t="s">
        <v>175</v>
      </c>
      <c r="C19" s="190" t="s">
        <v>144</v>
      </c>
      <c r="D19" s="190" t="s">
        <v>145</v>
      </c>
      <c r="E19" s="191">
        <v>1</v>
      </c>
      <c r="F19" s="190"/>
      <c r="G19" s="192">
        <v>1200000</v>
      </c>
      <c r="I19" s="194"/>
      <c r="K19" s="190"/>
      <c r="L19" s="192"/>
      <c r="M19" s="192"/>
    </row>
    <row r="20" spans="2:13" x14ac:dyDescent="0.25">
      <c r="B20" s="190" t="s">
        <v>175</v>
      </c>
      <c r="C20" s="190" t="s">
        <v>144</v>
      </c>
      <c r="D20" s="190" t="s">
        <v>146</v>
      </c>
      <c r="E20" s="191">
        <v>1</v>
      </c>
      <c r="F20" s="190"/>
      <c r="G20" s="192">
        <v>500000</v>
      </c>
      <c r="I20" s="194"/>
      <c r="K20" s="190"/>
      <c r="L20" s="192"/>
      <c r="M20" s="192"/>
    </row>
    <row r="21" spans="2:13" x14ac:dyDescent="0.25">
      <c r="B21" s="190" t="s">
        <v>175</v>
      </c>
      <c r="C21" s="190" t="s">
        <v>144</v>
      </c>
      <c r="D21" s="190" t="s">
        <v>147</v>
      </c>
      <c r="E21" s="191">
        <v>1</v>
      </c>
      <c r="F21" s="190"/>
      <c r="G21" s="192">
        <v>150000</v>
      </c>
      <c r="I21" s="194"/>
      <c r="K21" s="190"/>
      <c r="L21" s="192"/>
      <c r="M21" s="192"/>
    </row>
    <row r="22" spans="2:13" x14ac:dyDescent="0.25">
      <c r="B22" s="190" t="s">
        <v>175</v>
      </c>
      <c r="C22" s="190" t="s">
        <v>144</v>
      </c>
      <c r="D22" s="190" t="s">
        <v>148</v>
      </c>
      <c r="E22" s="191">
        <v>1</v>
      </c>
      <c r="F22" s="190"/>
      <c r="G22" s="192">
        <v>340000</v>
      </c>
      <c r="I22" s="194"/>
      <c r="K22" s="190"/>
      <c r="L22" s="192"/>
      <c r="M22" s="192"/>
    </row>
    <row r="23" spans="2:13" x14ac:dyDescent="0.25">
      <c r="B23" s="190" t="s">
        <v>175</v>
      </c>
      <c r="C23" s="190" t="s">
        <v>144</v>
      </c>
      <c r="D23" s="190" t="s">
        <v>149</v>
      </c>
      <c r="E23" s="191">
        <v>1</v>
      </c>
      <c r="F23" s="190"/>
      <c r="G23" s="192">
        <v>1800000</v>
      </c>
      <c r="I23" s="194"/>
      <c r="K23" s="190"/>
      <c r="L23" s="192"/>
      <c r="M23" s="192"/>
    </row>
    <row r="24" spans="2:13" x14ac:dyDescent="0.25">
      <c r="B24" s="190" t="s">
        <v>175</v>
      </c>
      <c r="C24" s="190" t="s">
        <v>144</v>
      </c>
      <c r="D24" s="190" t="s">
        <v>150</v>
      </c>
      <c r="E24" s="191">
        <v>1</v>
      </c>
      <c r="F24" s="190"/>
      <c r="G24" s="192">
        <v>1250000</v>
      </c>
      <c r="I24" s="194"/>
      <c r="K24" s="190"/>
      <c r="L24" s="192"/>
      <c r="M24" s="192"/>
    </row>
    <row r="25" spans="2:13" x14ac:dyDescent="0.25">
      <c r="B25" s="190" t="s">
        <v>175</v>
      </c>
      <c r="C25" s="190" t="s">
        <v>144</v>
      </c>
      <c r="D25" s="190" t="s">
        <v>151</v>
      </c>
      <c r="E25" s="191">
        <v>2</v>
      </c>
      <c r="F25" s="190"/>
      <c r="G25" s="192">
        <v>60000</v>
      </c>
      <c r="I25" s="194"/>
      <c r="K25" s="190"/>
      <c r="L25" s="192"/>
      <c r="M25" s="192"/>
    </row>
    <row r="26" spans="2:13" x14ac:dyDescent="0.25">
      <c r="B26" s="190" t="s">
        <v>175</v>
      </c>
      <c r="C26" s="190" t="s">
        <v>144</v>
      </c>
      <c r="D26" s="190" t="s">
        <v>152</v>
      </c>
      <c r="E26" s="191">
        <v>2</v>
      </c>
      <c r="F26" s="190"/>
      <c r="G26" s="192">
        <v>380000</v>
      </c>
      <c r="I26" s="194"/>
      <c r="K26" s="190"/>
      <c r="L26" s="192"/>
      <c r="M26" s="192"/>
    </row>
    <row r="27" spans="2:13" x14ac:dyDescent="0.25">
      <c r="B27" s="190" t="s">
        <v>175</v>
      </c>
      <c r="C27" s="190" t="s">
        <v>153</v>
      </c>
      <c r="D27" s="190" t="s">
        <v>154</v>
      </c>
      <c r="E27" s="191">
        <v>1</v>
      </c>
      <c r="F27" s="190"/>
      <c r="G27" s="192">
        <v>8000</v>
      </c>
      <c r="I27" s="194"/>
      <c r="K27" s="190"/>
      <c r="L27" s="192"/>
      <c r="M27" s="192"/>
    </row>
    <row r="28" spans="2:13" x14ac:dyDescent="0.25">
      <c r="B28" s="190" t="s">
        <v>175</v>
      </c>
      <c r="C28" s="190" t="s">
        <v>153</v>
      </c>
      <c r="D28" s="190" t="s">
        <v>155</v>
      </c>
      <c r="E28" s="191">
        <v>1</v>
      </c>
      <c r="F28" s="190"/>
      <c r="G28" s="192">
        <v>15000</v>
      </c>
      <c r="I28" s="194"/>
      <c r="K28" s="190"/>
      <c r="L28" s="192"/>
      <c r="M28" s="192"/>
    </row>
    <row r="29" spans="2:13" x14ac:dyDescent="0.25">
      <c r="B29" s="190" t="s">
        <v>175</v>
      </c>
      <c r="C29" s="190" t="s">
        <v>153</v>
      </c>
      <c r="D29" s="190" t="s">
        <v>156</v>
      </c>
      <c r="E29" s="191">
        <v>1</v>
      </c>
      <c r="F29" s="190"/>
      <c r="G29" s="192">
        <v>10000</v>
      </c>
      <c r="I29" s="194"/>
      <c r="K29" s="190"/>
      <c r="L29" s="192"/>
      <c r="M29" s="192"/>
    </row>
    <row r="30" spans="2:13" ht="14.25" thickBot="1" x14ac:dyDescent="0.3">
      <c r="B30" s="195" t="s">
        <v>175</v>
      </c>
      <c r="C30" s="195" t="s">
        <v>126</v>
      </c>
      <c r="D30" s="195" t="s">
        <v>127</v>
      </c>
      <c r="E30" s="196">
        <v>1</v>
      </c>
      <c r="F30" s="195"/>
      <c r="G30" s="197">
        <v>26000000</v>
      </c>
      <c r="I30" s="194"/>
      <c r="K30" s="190"/>
      <c r="L30" s="192"/>
      <c r="M30" s="192"/>
    </row>
    <row r="31" spans="2:13" x14ac:dyDescent="0.25">
      <c r="E31" s="187"/>
    </row>
    <row r="32" spans="2:13" x14ac:dyDescent="0.25">
      <c r="E32" s="187"/>
    </row>
    <row r="33" spans="5:7" x14ac:dyDescent="0.25">
      <c r="E33" s="187"/>
    </row>
    <row r="34" spans="5:7" x14ac:dyDescent="0.25">
      <c r="E34" s="187"/>
    </row>
    <row r="35" spans="5:7" x14ac:dyDescent="0.25">
      <c r="E35" s="187"/>
    </row>
    <row r="36" spans="5:7" x14ac:dyDescent="0.25">
      <c r="E36" s="187"/>
    </row>
    <row r="37" spans="5:7" x14ac:dyDescent="0.25">
      <c r="E37" s="187"/>
    </row>
    <row r="38" spans="5:7" x14ac:dyDescent="0.25">
      <c r="E38" s="187"/>
    </row>
    <row r="39" spans="5:7" x14ac:dyDescent="0.25">
      <c r="E39" s="187"/>
    </row>
    <row r="40" spans="5:7" x14ac:dyDescent="0.25">
      <c r="E40" s="187"/>
    </row>
    <row r="41" spans="5:7" x14ac:dyDescent="0.25">
      <c r="E41" s="187"/>
    </row>
    <row r="42" spans="5:7" x14ac:dyDescent="0.25">
      <c r="E42" s="187"/>
    </row>
    <row r="43" spans="5:7" x14ac:dyDescent="0.25">
      <c r="E43" s="187"/>
    </row>
    <row r="44" spans="5:7" x14ac:dyDescent="0.25">
      <c r="E44" s="187"/>
    </row>
    <row r="45" spans="5:7" x14ac:dyDescent="0.25">
      <c r="E45" s="187"/>
    </row>
    <row r="46" spans="5:7" x14ac:dyDescent="0.25">
      <c r="E46" s="187"/>
      <c r="G46" s="186" t="s">
        <v>199</v>
      </c>
    </row>
    <row r="47" spans="5:7" x14ac:dyDescent="0.25">
      <c r="E47" s="187"/>
    </row>
    <row r="48" spans="5:7" x14ac:dyDescent="0.25">
      <c r="E48" s="187"/>
    </row>
    <row r="49" spans="5:5" x14ac:dyDescent="0.25">
      <c r="E49" s="187"/>
    </row>
    <row r="50" spans="5:5" x14ac:dyDescent="0.25">
      <c r="E50" s="187"/>
    </row>
    <row r="51" spans="5:5" x14ac:dyDescent="0.25">
      <c r="E51" s="187"/>
    </row>
    <row r="52" spans="5:5" x14ac:dyDescent="0.25">
      <c r="E52" s="187"/>
    </row>
    <row r="53" spans="5:5" x14ac:dyDescent="0.25">
      <c r="E53" s="187"/>
    </row>
    <row r="54" spans="5:5" x14ac:dyDescent="0.25">
      <c r="E54" s="187"/>
    </row>
    <row r="55" spans="5:5" x14ac:dyDescent="0.25">
      <c r="E55" s="187"/>
    </row>
    <row r="56" spans="5:5" x14ac:dyDescent="0.25">
      <c r="E56" s="187"/>
    </row>
    <row r="57" spans="5:5" x14ac:dyDescent="0.25">
      <c r="E57" s="187"/>
    </row>
    <row r="58" spans="5:5" x14ac:dyDescent="0.25">
      <c r="E58" s="187"/>
    </row>
    <row r="59" spans="5:5" x14ac:dyDescent="0.25">
      <c r="E59" s="187"/>
    </row>
    <row r="60" spans="5:5" x14ac:dyDescent="0.25">
      <c r="E60" s="187"/>
    </row>
    <row r="61" spans="5:5" x14ac:dyDescent="0.25">
      <c r="E61" s="187"/>
    </row>
    <row r="62" spans="5:5" x14ac:dyDescent="0.25">
      <c r="E62" s="187"/>
    </row>
    <row r="63" spans="5:5" x14ac:dyDescent="0.25">
      <c r="E63" s="187"/>
    </row>
    <row r="64" spans="5:5" x14ac:dyDescent="0.25">
      <c r="E64" s="187"/>
    </row>
    <row r="65" spans="5:5" x14ac:dyDescent="0.25">
      <c r="E65" s="187"/>
    </row>
    <row r="66" spans="5:5" x14ac:dyDescent="0.25">
      <c r="E66" s="187"/>
    </row>
    <row r="67" spans="5:5" x14ac:dyDescent="0.25">
      <c r="E67" s="187"/>
    </row>
    <row r="68" spans="5:5" x14ac:dyDescent="0.25">
      <c r="E68" s="187"/>
    </row>
    <row r="69" spans="5:5" x14ac:dyDescent="0.25">
      <c r="E69" s="187"/>
    </row>
  </sheetData>
  <sheetProtection algorithmName="SHA-512" hashValue="4LI6UxI0gGGQ1Tb1dxzPIYFEFGs7KQBuY8tv6ZonZ08FwS/++c0eZdvAOxXJLbAF3+F8eGAGaID1MOqYd/Jdrw==" saltValue="nO39Icf1yDk3gzIyzBRfqw==" spinCount="100000" sheet="1" formatCells="0" formatColumns="0" formatRows="0" insertColumns="0" insertRows="0" insertHyperlinks="0" deleteColumns="0" deleteRows="0" sort="0" pivotTables="0"/>
  <mergeCells count="2">
    <mergeCell ref="B2:G2"/>
    <mergeCell ref="E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D284-7F3C-49C7-BDE5-C305780FDC05}">
  <dimension ref="B1:T246"/>
  <sheetViews>
    <sheetView showGridLines="0" zoomScale="81" zoomScaleNormal="65" workbookViewId="0">
      <pane ySplit="22" topLeftCell="A23" activePane="bottomLeft" state="frozen"/>
      <selection pane="bottomLeft"/>
    </sheetView>
  </sheetViews>
  <sheetFormatPr baseColWidth="10" defaultColWidth="11.140625" defaultRowHeight="13.5" x14ac:dyDescent="0.25"/>
  <cols>
    <col min="1" max="1" width="2.7109375" style="210" customWidth="1"/>
    <col min="2" max="2" width="3.5703125" style="210" bestFit="1" customWidth="1"/>
    <col min="3" max="3" width="23.85546875" style="210" bestFit="1" customWidth="1"/>
    <col min="4" max="4" width="10.5703125" style="210" bestFit="1" customWidth="1"/>
    <col min="5" max="5" width="16.140625" style="210" customWidth="1"/>
    <col min="6" max="6" width="3.7109375" style="210" customWidth="1"/>
    <col min="7" max="7" width="2.7109375" style="210" customWidth="1"/>
    <col min="8" max="8" width="3.5703125" style="211" bestFit="1" customWidth="1"/>
    <col min="9" max="9" width="24.42578125" style="210" bestFit="1" customWidth="1"/>
    <col min="10" max="10" width="10.5703125" style="211" bestFit="1" customWidth="1"/>
    <col min="11" max="11" width="6" style="210" bestFit="1" customWidth="1"/>
    <col min="12" max="12" width="33.7109375" style="210" bestFit="1" customWidth="1"/>
    <col min="13" max="13" width="7" style="210" bestFit="1" customWidth="1"/>
    <col min="14" max="14" width="13.5703125" style="210" bestFit="1" customWidth="1"/>
    <col min="15" max="15" width="3.5703125" style="349" bestFit="1" customWidth="1"/>
    <col min="16" max="16" width="3.5703125" style="350" bestFit="1" customWidth="1"/>
    <col min="17" max="17" width="5.42578125" style="350" bestFit="1" customWidth="1"/>
    <col min="18" max="18" width="11.28515625" style="210" bestFit="1" customWidth="1"/>
    <col min="19" max="19" width="11.140625" style="210" customWidth="1"/>
    <col min="20" max="16384" width="11.140625" style="210"/>
  </cols>
  <sheetData>
    <row r="1" spans="2:18" ht="5.0999999999999996" customHeight="1" x14ac:dyDescent="0.25"/>
    <row r="2" spans="2:18" ht="14.25" thickBot="1" x14ac:dyDescent="0.3">
      <c r="B2" s="445" t="s">
        <v>200</v>
      </c>
      <c r="C2" s="445"/>
      <c r="D2" s="446" t="s">
        <v>11</v>
      </c>
      <c r="E2" s="446"/>
      <c r="F2" s="359"/>
      <c r="I2" s="445" t="s">
        <v>200</v>
      </c>
      <c r="J2" s="445"/>
    </row>
    <row r="3" spans="2:18" ht="14.25" thickBot="1" x14ac:dyDescent="0.3">
      <c r="B3" s="189" t="s">
        <v>201</v>
      </c>
      <c r="C3" s="189" t="s">
        <v>159</v>
      </c>
      <c r="D3" s="189" t="s">
        <v>50</v>
      </c>
      <c r="E3" s="189" t="s">
        <v>202</v>
      </c>
      <c r="F3" s="359"/>
      <c r="I3" s="346" t="s">
        <v>203</v>
      </c>
      <c r="J3" s="189" t="s">
        <v>204</v>
      </c>
    </row>
    <row r="4" spans="2:18" x14ac:dyDescent="0.25">
      <c r="B4" s="210" cm="1">
        <f t="array" ref="B4:B19">_xlfn.SEQUENCE(16)</f>
        <v>1</v>
      </c>
      <c r="C4" s="210" t="s">
        <v>205</v>
      </c>
      <c r="D4" s="211">
        <f>10*24</f>
        <v>240</v>
      </c>
      <c r="E4" s="258">
        <v>3500</v>
      </c>
      <c r="F4" s="359"/>
      <c r="I4" s="210" t="s">
        <v>100</v>
      </c>
      <c r="J4" s="347">
        <f>SUMIF(L$8:L$1048576,I4,M$8:M$1048576)</f>
        <v>1</v>
      </c>
    </row>
    <row r="5" spans="2:18" x14ac:dyDescent="0.25">
      <c r="B5" s="210">
        <v>2</v>
      </c>
      <c r="C5" s="210" t="s">
        <v>206</v>
      </c>
      <c r="D5" s="211">
        <f t="shared" ref="D5:D7" si="0">10*24</f>
        <v>240</v>
      </c>
      <c r="E5" s="258">
        <v>3500</v>
      </c>
      <c r="F5" s="359"/>
      <c r="I5" s="210" t="s">
        <v>92</v>
      </c>
      <c r="J5" s="347">
        <f>SUMIF(L$8:L$1048576,I5,M$8:M$1048576)</f>
        <v>0.99999999999999989</v>
      </c>
    </row>
    <row r="6" spans="2:18" ht="14.25" thickBot="1" x14ac:dyDescent="0.3">
      <c r="B6" s="210">
        <v>3</v>
      </c>
      <c r="C6" s="210" t="s">
        <v>207</v>
      </c>
      <c r="D6" s="211">
        <f t="shared" si="0"/>
        <v>240</v>
      </c>
      <c r="E6" s="258">
        <v>3500</v>
      </c>
      <c r="F6" s="359"/>
      <c r="I6" s="214" t="s">
        <v>176</v>
      </c>
      <c r="J6" s="348">
        <f>SUMIF(L$8:L$1048576,I6,M$8:M$1048576)</f>
        <v>1</v>
      </c>
    </row>
    <row r="7" spans="2:18" ht="14.25" thickBot="1" x14ac:dyDescent="0.3">
      <c r="B7" s="210">
        <v>4</v>
      </c>
      <c r="C7" s="210" t="s">
        <v>208</v>
      </c>
      <c r="D7" s="211">
        <f t="shared" si="0"/>
        <v>240</v>
      </c>
      <c r="E7" s="258">
        <v>3500</v>
      </c>
      <c r="F7" s="359"/>
    </row>
    <row r="8" spans="2:18" ht="14.25" thickBot="1" x14ac:dyDescent="0.3">
      <c r="B8" s="210">
        <v>5</v>
      </c>
      <c r="C8" s="210" t="s">
        <v>209</v>
      </c>
      <c r="D8" s="211">
        <f>12*24</f>
        <v>288</v>
      </c>
      <c r="E8" s="258">
        <v>4500</v>
      </c>
      <c r="F8" s="359"/>
      <c r="H8" s="189" t="s">
        <v>201</v>
      </c>
      <c r="I8" s="189" t="s">
        <v>159</v>
      </c>
      <c r="J8" s="189" t="s">
        <v>50</v>
      </c>
      <c r="K8" s="189" t="s">
        <v>46</v>
      </c>
      <c r="L8" s="189" t="s">
        <v>47</v>
      </c>
      <c r="M8" s="189" t="s">
        <v>210</v>
      </c>
      <c r="N8" s="189" t="s">
        <v>211</v>
      </c>
      <c r="P8" s="350" t="s">
        <v>61</v>
      </c>
      <c r="Q8" s="349">
        <f>SUMIF(K9:K18,P8,N9:N18)</f>
        <v>1026.3400000000001</v>
      </c>
      <c r="R8" s="210">
        <f>+Q8*J9</f>
        <v>246321.60000000003</v>
      </c>
    </row>
    <row r="9" spans="2:18" x14ac:dyDescent="0.25">
      <c r="B9" s="210">
        <v>6</v>
      </c>
      <c r="C9" s="210" t="s">
        <v>212</v>
      </c>
      <c r="D9" s="211">
        <f t="shared" ref="D9:D12" si="1">12*24</f>
        <v>288</v>
      </c>
      <c r="E9" s="258">
        <v>4000</v>
      </c>
      <c r="F9" s="359"/>
      <c r="H9" s="218">
        <v>1</v>
      </c>
      <c r="I9" s="220" t="s">
        <v>205</v>
      </c>
      <c r="J9" s="218">
        <f>_xlfn.XLOOKUP(I9,C:C,D:D)</f>
        <v>240</v>
      </c>
      <c r="K9" s="218" t="str">
        <f>_xlfn.XLOOKUP(L9,'C. Prod.'!D:D,'C. Prod.'!C:C)</f>
        <v>Cv</v>
      </c>
      <c r="L9" s="212" t="s">
        <v>62</v>
      </c>
      <c r="M9" s="213"/>
      <c r="N9" s="209">
        <f>IF(K9="Cf",((VLOOKUP(L9,'C. Prod.'!D:J,7,FALSE)*M9)/J9),IF(K9="Cv",VLOOKUP(L9,'C. Prod.'!D:J,7,FALSE),""))</f>
        <v>137</v>
      </c>
      <c r="O9" s="351"/>
      <c r="P9" s="349"/>
      <c r="Q9" s="349"/>
    </row>
    <row r="10" spans="2:18" x14ac:dyDescent="0.25">
      <c r="B10" s="210">
        <v>7</v>
      </c>
      <c r="C10" s="210" t="s">
        <v>213</v>
      </c>
      <c r="D10" s="211">
        <f t="shared" si="1"/>
        <v>288</v>
      </c>
      <c r="E10" s="258">
        <v>4000</v>
      </c>
      <c r="F10" s="359"/>
      <c r="H10" s="222">
        <f>+H9</f>
        <v>1</v>
      </c>
      <c r="I10" s="221" t="str">
        <f>+I9</f>
        <v>Choco maní</v>
      </c>
      <c r="J10" s="222">
        <f>+J9</f>
        <v>240</v>
      </c>
      <c r="K10" s="218" t="str">
        <f>_xlfn.XLOOKUP(L10,'C. Prod.'!D:D,'C. Prod.'!C:C)</f>
        <v>Cv</v>
      </c>
      <c r="L10" s="212" t="s">
        <v>64</v>
      </c>
      <c r="M10" s="213"/>
      <c r="N10" s="209">
        <f>IF(K10="Cf",((VLOOKUP(L10,'C. Prod.'!D:J,7,FALSE)*M10)/J10),IF(K10="Cv",VLOOKUP(L10,'C. Prod.'!D:J,7,FALSE),""))</f>
        <v>486.67</v>
      </c>
      <c r="O10" s="351"/>
      <c r="P10" s="349"/>
      <c r="Q10" s="349"/>
    </row>
    <row r="11" spans="2:18" x14ac:dyDescent="0.25">
      <c r="B11" s="210">
        <v>8</v>
      </c>
      <c r="C11" s="210" t="s">
        <v>214</v>
      </c>
      <c r="D11" s="211">
        <f t="shared" si="1"/>
        <v>288</v>
      </c>
      <c r="E11" s="258">
        <v>4000</v>
      </c>
      <c r="F11" s="359"/>
      <c r="H11" s="222">
        <f t="shared" ref="H11:H20" si="2">+H10</f>
        <v>1</v>
      </c>
      <c r="I11" s="221" t="str">
        <f t="shared" ref="I11:I21" si="3">+I10</f>
        <v>Choco maní</v>
      </c>
      <c r="J11" s="222">
        <f t="shared" ref="J11:J21" si="4">+J10</f>
        <v>240</v>
      </c>
      <c r="K11" s="218" t="str">
        <f>_xlfn.XLOOKUP(L11,'C. Prod.'!D:D,'C. Prod.'!C:C)</f>
        <v>Cv</v>
      </c>
      <c r="L11" s="212" t="s">
        <v>66</v>
      </c>
      <c r="M11" s="213"/>
      <c r="N11" s="209">
        <f>IF(K11="Cf",((VLOOKUP(L11,'C. Prod.'!D:J,7,FALSE)*M11)/J11),IF(K11="Cv",VLOOKUP(L11,'C. Prod.'!D:J,7,FALSE),""))</f>
        <v>10.86</v>
      </c>
      <c r="O11" s="351"/>
      <c r="P11" s="349"/>
      <c r="Q11" s="349"/>
    </row>
    <row r="12" spans="2:18" x14ac:dyDescent="0.25">
      <c r="B12" s="210">
        <v>9</v>
      </c>
      <c r="C12" s="210" t="s">
        <v>215</v>
      </c>
      <c r="D12" s="211">
        <f t="shared" si="1"/>
        <v>288</v>
      </c>
      <c r="E12" s="258">
        <v>4000</v>
      </c>
      <c r="F12" s="359"/>
      <c r="H12" s="222">
        <f t="shared" si="2"/>
        <v>1</v>
      </c>
      <c r="I12" s="221" t="str">
        <f t="shared" si="3"/>
        <v>Choco maní</v>
      </c>
      <c r="J12" s="222">
        <f t="shared" si="4"/>
        <v>240</v>
      </c>
      <c r="K12" s="218" t="str">
        <f>_xlfn.XLOOKUP(L12,'C. Prod.'!D:D,'C. Prod.'!C:C)</f>
        <v>Cv</v>
      </c>
      <c r="L12" s="212" t="s">
        <v>67</v>
      </c>
      <c r="M12" s="213"/>
      <c r="N12" s="209">
        <f>IF(K12="Cf",((VLOOKUP(L12,'C. Prod.'!D:J,7,FALSE)*M12)/J12),IF(K12="Cv",VLOOKUP(L12,'C. Prod.'!D:J,7,FALSE),""))</f>
        <v>158</v>
      </c>
      <c r="O12" s="351"/>
      <c r="P12" s="349"/>
      <c r="Q12" s="349"/>
    </row>
    <row r="13" spans="2:18" x14ac:dyDescent="0.25">
      <c r="B13" s="210">
        <v>10</v>
      </c>
      <c r="C13" s="210" t="s">
        <v>216</v>
      </c>
      <c r="D13" s="211">
        <f>7*24</f>
        <v>168</v>
      </c>
      <c r="E13" s="258">
        <v>6500</v>
      </c>
      <c r="F13" s="359"/>
      <c r="H13" s="222">
        <f t="shared" si="2"/>
        <v>1</v>
      </c>
      <c r="I13" s="221" t="str">
        <f t="shared" si="3"/>
        <v>Choco maní</v>
      </c>
      <c r="J13" s="222">
        <f t="shared" si="4"/>
        <v>240</v>
      </c>
      <c r="K13" s="218" t="str">
        <f>_xlfn.XLOOKUP(L13,'C. Prod.'!D:D,'C. Prod.'!C:C)</f>
        <v>Cv</v>
      </c>
      <c r="L13" s="212" t="s">
        <v>68</v>
      </c>
      <c r="M13" s="213"/>
      <c r="N13" s="209">
        <f>IF(K13="Cf",((VLOOKUP(L13,'C. Prod.'!D:J,7,FALSE)*M13)/J13),IF(K13="Cv",VLOOKUP(L13,'C. Prod.'!D:J,7,FALSE),""))</f>
        <v>233.81</v>
      </c>
      <c r="O13" s="351"/>
      <c r="P13" s="349"/>
      <c r="Q13" s="349"/>
    </row>
    <row r="14" spans="2:18" x14ac:dyDescent="0.25">
      <c r="B14" s="210">
        <v>11</v>
      </c>
      <c r="C14" s="210" t="s">
        <v>217</v>
      </c>
      <c r="D14" s="211">
        <f>7*24</f>
        <v>168</v>
      </c>
      <c r="E14" s="258">
        <v>6500</v>
      </c>
      <c r="F14" s="359"/>
      <c r="H14" s="222">
        <f t="shared" si="2"/>
        <v>1</v>
      </c>
      <c r="I14" s="221" t="str">
        <f t="shared" si="3"/>
        <v>Choco maní</v>
      </c>
      <c r="J14" s="222">
        <f t="shared" si="4"/>
        <v>240</v>
      </c>
      <c r="K14" s="218" t="str">
        <f>_xlfn.XLOOKUP(L14,'C. Prod.'!D:D,'C. Prod.'!C:C)</f>
        <v>Cf</v>
      </c>
      <c r="L14" s="212" t="s">
        <v>100</v>
      </c>
      <c r="M14" s="213">
        <v>0.1</v>
      </c>
      <c r="N14" s="209">
        <f>IF(K14="Cf",((VLOOKUP(L14,'C. Prod.'!D:J,7,FALSE)*M14)/J14),IF(K14="Cv",VLOOKUP(L14,'C. Prod.'!D:J,7,FALSE),""))</f>
        <v>8.3333333333333339</v>
      </c>
      <c r="O14" s="351"/>
      <c r="P14" s="349"/>
      <c r="Q14" s="349"/>
    </row>
    <row r="15" spans="2:18" x14ac:dyDescent="0.25">
      <c r="B15" s="210">
        <v>12</v>
      </c>
      <c r="C15" s="210" t="s">
        <v>218</v>
      </c>
      <c r="D15" s="211">
        <f>ROUND(4.15*24,0)</f>
        <v>100</v>
      </c>
      <c r="E15" s="258">
        <v>3500</v>
      </c>
      <c r="F15" s="359"/>
      <c r="H15" s="222">
        <f t="shared" si="2"/>
        <v>1</v>
      </c>
      <c r="I15" s="221" t="str">
        <f t="shared" si="3"/>
        <v>Choco maní</v>
      </c>
      <c r="J15" s="222">
        <f t="shared" si="4"/>
        <v>240</v>
      </c>
      <c r="K15" s="218" t="str">
        <f>_xlfn.XLOOKUP(L15,'C. Prod.'!D:D,'C. Prod.'!C:C)</f>
        <v>Cf</v>
      </c>
      <c r="L15" s="212" t="s">
        <v>92</v>
      </c>
      <c r="M15" s="213">
        <v>0.1</v>
      </c>
      <c r="N15" s="209">
        <f>IF(K15="Cf",((VLOOKUP(L15,'C. Prod.'!D:J,7,FALSE)*M15)/J15),IF(K15="Cv",VLOOKUP(L15,'C. Prod.'!D:J,7,FALSE),""))</f>
        <v>21.291666666666668</v>
      </c>
      <c r="O15" s="351"/>
      <c r="P15" s="349"/>
      <c r="Q15" s="349"/>
    </row>
    <row r="16" spans="2:18" x14ac:dyDescent="0.25">
      <c r="B16" s="210">
        <v>13</v>
      </c>
      <c r="C16" s="210" t="s">
        <v>170</v>
      </c>
      <c r="D16" s="211">
        <f>7*24</f>
        <v>168</v>
      </c>
      <c r="E16" s="258">
        <v>4500</v>
      </c>
      <c r="F16" s="359"/>
      <c r="H16" s="222">
        <f t="shared" si="2"/>
        <v>1</v>
      </c>
      <c r="I16" s="221" t="str">
        <f t="shared" si="3"/>
        <v>Choco maní</v>
      </c>
      <c r="J16" s="222">
        <f t="shared" si="4"/>
        <v>240</v>
      </c>
      <c r="K16" s="218" t="str">
        <f>_xlfn.XLOOKUP(L16,'C. Prod.'!D:D,'C. Prod.'!C:C)</f>
        <v>Cf</v>
      </c>
      <c r="L16" s="212" t="s">
        <v>176</v>
      </c>
      <c r="M16" s="307">
        <v>6.25E-2</v>
      </c>
      <c r="N16" s="209">
        <f>IF(K16="Cf",((VLOOKUP(L16,'C. Prod.'!D:J,7,FALSE)*M16)/J16),IF(K16="Cv",VLOOKUP(L16,'C. Prod.'!D:J,7,FALSE),""))</f>
        <v>515.54401041666665</v>
      </c>
      <c r="O16" s="351"/>
      <c r="P16" s="349"/>
      <c r="Q16" s="349"/>
    </row>
    <row r="17" spans="2:20" x14ac:dyDescent="0.25">
      <c r="B17" s="210">
        <v>14</v>
      </c>
      <c r="C17" s="210" t="s">
        <v>171</v>
      </c>
      <c r="D17" s="211">
        <f t="shared" ref="D17:D19" si="5">5*24</f>
        <v>120</v>
      </c>
      <c r="E17" s="258">
        <v>4000</v>
      </c>
      <c r="F17" s="359"/>
      <c r="H17" s="222">
        <f t="shared" si="2"/>
        <v>1</v>
      </c>
      <c r="I17" s="221" t="str">
        <f t="shared" si="3"/>
        <v>Choco maní</v>
      </c>
      <c r="J17" s="222">
        <f t="shared" si="4"/>
        <v>240</v>
      </c>
      <c r="K17" s="218">
        <f>_xlfn.XLOOKUP(L17,'C. Prod.'!D:D,'C. Prod.'!C:C)</f>
        <v>0</v>
      </c>
      <c r="L17" s="212"/>
      <c r="M17" s="213"/>
      <c r="N17" s="209" t="str">
        <f>IF(K17="Cf",((VLOOKUP(L17,'C. Prod.'!D:J,7,FALSE)*M17)/J17),IF(K17="Cv",VLOOKUP(L17,'C. Prod.'!D:J,7,FALSE),""))</f>
        <v/>
      </c>
      <c r="O17" s="351"/>
      <c r="P17" s="349"/>
      <c r="Q17" s="349"/>
    </row>
    <row r="18" spans="2:20" x14ac:dyDescent="0.25">
      <c r="B18" s="210">
        <v>15</v>
      </c>
      <c r="C18" s="210" t="s">
        <v>172</v>
      </c>
      <c r="D18" s="211">
        <f t="shared" si="5"/>
        <v>120</v>
      </c>
      <c r="E18" s="258">
        <v>4000</v>
      </c>
      <c r="F18" s="359"/>
      <c r="H18" s="222">
        <f t="shared" si="2"/>
        <v>1</v>
      </c>
      <c r="I18" s="221" t="str">
        <f t="shared" si="3"/>
        <v>Choco maní</v>
      </c>
      <c r="J18" s="222">
        <f t="shared" si="4"/>
        <v>240</v>
      </c>
      <c r="K18" s="218">
        <f>_xlfn.XLOOKUP(L18,'C. Prod.'!D:D,'C. Prod.'!C:C)</f>
        <v>0</v>
      </c>
      <c r="M18" s="208"/>
      <c r="N18" s="209" t="str">
        <f>IF(K18="Cf",((VLOOKUP(L18,'C. Prod.'!D:J,7,FALSE)*M18)/J18),IF(K18="Cv",VLOOKUP(L18,'C. Prod.'!D:J,7,FALSE),""))</f>
        <v/>
      </c>
      <c r="O18" s="351"/>
      <c r="P18" s="349"/>
      <c r="Q18" s="349"/>
    </row>
    <row r="19" spans="2:20" ht="14.25" thickBot="1" x14ac:dyDescent="0.3">
      <c r="B19" s="214">
        <v>16</v>
      </c>
      <c r="C19" s="214" t="s">
        <v>173</v>
      </c>
      <c r="D19" s="219">
        <f t="shared" si="5"/>
        <v>120</v>
      </c>
      <c r="E19" s="360">
        <v>3000</v>
      </c>
      <c r="F19" s="359"/>
      <c r="H19" s="222">
        <f t="shared" si="2"/>
        <v>1</v>
      </c>
      <c r="I19" s="221" t="str">
        <f t="shared" si="3"/>
        <v>Choco maní</v>
      </c>
      <c r="J19" s="222">
        <f t="shared" si="4"/>
        <v>240</v>
      </c>
      <c r="K19" s="211" t="s">
        <v>219</v>
      </c>
      <c r="L19" s="210" t="s">
        <v>220</v>
      </c>
      <c r="M19" s="208"/>
      <c r="N19" s="209">
        <f>SUM(N9:N18)</f>
        <v>1571.5090104166668</v>
      </c>
      <c r="P19" s="349"/>
      <c r="Q19" s="349"/>
    </row>
    <row r="20" spans="2:20" x14ac:dyDescent="0.25">
      <c r="F20" s="359"/>
      <c r="H20" s="222">
        <f t="shared" si="2"/>
        <v>1</v>
      </c>
      <c r="I20" s="221" t="str">
        <f t="shared" si="3"/>
        <v>Choco maní</v>
      </c>
      <c r="J20" s="222">
        <f t="shared" si="4"/>
        <v>240</v>
      </c>
      <c r="K20" s="211" t="s">
        <v>221</v>
      </c>
      <c r="L20" s="210" t="s">
        <v>222</v>
      </c>
      <c r="M20" s="208"/>
      <c r="N20" s="217">
        <f>+(N21/N19)-1</f>
        <v>1.2271587224765685</v>
      </c>
      <c r="P20" s="349"/>
    </row>
    <row r="21" spans="2:20" ht="14.25" thickBot="1" x14ac:dyDescent="0.3">
      <c r="F21" s="359"/>
      <c r="H21" s="224">
        <f>+H9</f>
        <v>1</v>
      </c>
      <c r="I21" s="223" t="str">
        <f t="shared" si="3"/>
        <v>Choco maní</v>
      </c>
      <c r="J21" s="224">
        <f t="shared" si="4"/>
        <v>240</v>
      </c>
      <c r="K21" s="219" t="s">
        <v>223</v>
      </c>
      <c r="L21" s="214" t="s">
        <v>224</v>
      </c>
      <c r="M21" s="215"/>
      <c r="N21" s="216">
        <f>_xlfn.XLOOKUP(I21,C:C,E:E)</f>
        <v>3500</v>
      </c>
      <c r="O21" s="349">
        <f>+H21</f>
        <v>1</v>
      </c>
      <c r="P21" s="349"/>
    </row>
    <row r="22" spans="2:20" ht="14.25" thickBot="1" x14ac:dyDescent="0.3">
      <c r="F22" s="359"/>
      <c r="M22" s="208"/>
    </row>
    <row r="23" spans="2:20" ht="14.25" thickBot="1" x14ac:dyDescent="0.3">
      <c r="F23" s="359"/>
      <c r="H23" s="189" t="s">
        <v>201</v>
      </c>
      <c r="I23" s="189" t="s">
        <v>159</v>
      </c>
      <c r="J23" s="189" t="s">
        <v>50</v>
      </c>
      <c r="K23" s="189" t="s">
        <v>46</v>
      </c>
      <c r="L23" s="189" t="s">
        <v>47</v>
      </c>
      <c r="M23" s="189" t="s">
        <v>210</v>
      </c>
      <c r="N23" s="189" t="s">
        <v>211</v>
      </c>
      <c r="P23" s="350" t="s">
        <v>61</v>
      </c>
      <c r="Q23" s="349">
        <f>SUMIF(K24:K33,P23,N24:N33)</f>
        <v>1082.23</v>
      </c>
      <c r="R23" s="210">
        <f>+Q23*J24</f>
        <v>259735.2</v>
      </c>
    </row>
    <row r="24" spans="2:20" x14ac:dyDescent="0.25">
      <c r="H24" s="218">
        <f>+H9+1</f>
        <v>2</v>
      </c>
      <c r="I24" s="220" t="s">
        <v>206</v>
      </c>
      <c r="J24" s="218">
        <f>_xlfn.XLOOKUP(I24,C:C,D:D)</f>
        <v>240</v>
      </c>
      <c r="K24" s="218" t="str">
        <f>_xlfn.XLOOKUP(L24,'C. Prod.'!D:D,'C. Prod.'!C:C)</f>
        <v>Cv</v>
      </c>
      <c r="L24" s="212" t="s">
        <v>62</v>
      </c>
      <c r="M24" s="213"/>
      <c r="N24" s="209">
        <f>IF(K24="Cf",((VLOOKUP(L24,'C. Prod.'!D:J,7,FALSE)*M24)/J24),IF(K24="Cv",VLOOKUP(L24,'C. Prod.'!D:J,7,FALSE),""))</f>
        <v>137</v>
      </c>
      <c r="O24" s="351"/>
    </row>
    <row r="25" spans="2:20" x14ac:dyDescent="0.25">
      <c r="H25" s="222">
        <f>+H24</f>
        <v>2</v>
      </c>
      <c r="I25" s="221" t="str">
        <f>+I24</f>
        <v>Oreo</v>
      </c>
      <c r="J25" s="222">
        <f>+J24</f>
        <v>240</v>
      </c>
      <c r="K25" s="218" t="str">
        <f>_xlfn.XLOOKUP(L25,'C. Prod.'!D:D,'C. Prod.'!C:C)</f>
        <v>Cv</v>
      </c>
      <c r="L25" s="212" t="s">
        <v>64</v>
      </c>
      <c r="M25" s="213"/>
      <c r="N25" s="209">
        <f>IF(K25="Cf",((VLOOKUP(L25,'C. Prod.'!D:J,7,FALSE)*M25)/J25),IF(K25="Cv",VLOOKUP(L25,'C. Prod.'!D:J,7,FALSE),""))</f>
        <v>486.67</v>
      </c>
      <c r="O25" s="351"/>
    </row>
    <row r="26" spans="2:20" x14ac:dyDescent="0.25">
      <c r="H26" s="222">
        <f t="shared" ref="H26:H35" si="6">+H25</f>
        <v>2</v>
      </c>
      <c r="I26" s="221" t="str">
        <f t="shared" ref="I26:I36" si="7">+I25</f>
        <v>Oreo</v>
      </c>
      <c r="J26" s="222">
        <f t="shared" ref="J26:J36" si="8">+J25</f>
        <v>240</v>
      </c>
      <c r="K26" s="218" t="str">
        <f>_xlfn.XLOOKUP(L26,'C. Prod.'!D:D,'C. Prod.'!C:C)</f>
        <v>Cv</v>
      </c>
      <c r="L26" s="212" t="s">
        <v>66</v>
      </c>
      <c r="M26" s="213"/>
      <c r="N26" s="209">
        <f>IF(K26="Cf",((VLOOKUP(L26,'C. Prod.'!D:J,7,FALSE)*M26)/J26),IF(K26="Cv",VLOOKUP(L26,'C. Prod.'!D:J,7,FALSE),""))</f>
        <v>10.86</v>
      </c>
      <c r="O26" s="351"/>
      <c r="T26" s="210" t="s">
        <v>225</v>
      </c>
    </row>
    <row r="27" spans="2:20" x14ac:dyDescent="0.25">
      <c r="H27" s="222">
        <f t="shared" si="6"/>
        <v>2</v>
      </c>
      <c r="I27" s="221" t="str">
        <f t="shared" si="7"/>
        <v>Oreo</v>
      </c>
      <c r="J27" s="222">
        <f t="shared" si="8"/>
        <v>240</v>
      </c>
      <c r="K27" s="218" t="str">
        <f>_xlfn.XLOOKUP(L27,'C. Prod.'!D:D,'C. Prod.'!C:C)</f>
        <v>Cv</v>
      </c>
      <c r="L27" s="212" t="s">
        <v>73</v>
      </c>
      <c r="M27" s="213"/>
      <c r="N27" s="209">
        <f>IF(K27="Cf",((VLOOKUP(L27,'C. Prod.'!D:J,7,FALSE)*M27)/J27),IF(K27="Cv",VLOOKUP(L27,'C. Prod.'!D:J,7,FALSE),""))</f>
        <v>213.89</v>
      </c>
      <c r="O27" s="351"/>
    </row>
    <row r="28" spans="2:20" x14ac:dyDescent="0.25">
      <c r="H28" s="222">
        <f t="shared" si="6"/>
        <v>2</v>
      </c>
      <c r="I28" s="221" t="str">
        <f t="shared" si="7"/>
        <v>Oreo</v>
      </c>
      <c r="J28" s="222">
        <f t="shared" si="8"/>
        <v>240</v>
      </c>
      <c r="K28" s="218" t="str">
        <f>_xlfn.XLOOKUP(L28,'C. Prod.'!D:D,'C. Prod.'!C:C)</f>
        <v>Cv</v>
      </c>
      <c r="L28" s="212" t="s">
        <v>69</v>
      </c>
      <c r="M28" s="213"/>
      <c r="N28" s="209">
        <f>IF(K28="Cf",((VLOOKUP(L28,'C. Prod.'!D:J,7,FALSE)*M28)/J28),IF(K28="Cv",VLOOKUP(L28,'C. Prod.'!D:J,7,FALSE),""))</f>
        <v>233.81</v>
      </c>
      <c r="O28" s="351"/>
    </row>
    <row r="29" spans="2:20" x14ac:dyDescent="0.25">
      <c r="H29" s="222">
        <f t="shared" si="6"/>
        <v>2</v>
      </c>
      <c r="I29" s="221" t="str">
        <f t="shared" si="7"/>
        <v>Oreo</v>
      </c>
      <c r="J29" s="222">
        <f t="shared" si="8"/>
        <v>240</v>
      </c>
      <c r="K29" s="218" t="str">
        <f>_xlfn.XLOOKUP(L29,'C. Prod.'!D:D,'C. Prod.'!C:C)</f>
        <v>Cf</v>
      </c>
      <c r="L29" s="212" t="s">
        <v>100</v>
      </c>
      <c r="M29" s="213">
        <v>0.1</v>
      </c>
      <c r="N29" s="209">
        <f>IF(K29="Cf",((VLOOKUP(L29,'C. Prod.'!D:J,7,FALSE)*M29)/J29),IF(K29="Cv",VLOOKUP(L29,'C. Prod.'!D:J,7,FALSE),""))</f>
        <v>8.3333333333333339</v>
      </c>
      <c r="O29" s="351"/>
    </row>
    <row r="30" spans="2:20" x14ac:dyDescent="0.25">
      <c r="H30" s="222">
        <f t="shared" si="6"/>
        <v>2</v>
      </c>
      <c r="I30" s="221" t="str">
        <f t="shared" si="7"/>
        <v>Oreo</v>
      </c>
      <c r="J30" s="222">
        <f t="shared" si="8"/>
        <v>240</v>
      </c>
      <c r="K30" s="218" t="str">
        <f>_xlfn.XLOOKUP(L30,'C. Prod.'!D:D,'C. Prod.'!C:C)</f>
        <v>Cf</v>
      </c>
      <c r="L30" s="212" t="s">
        <v>92</v>
      </c>
      <c r="M30" s="213">
        <v>0.1</v>
      </c>
      <c r="N30" s="209">
        <f>IF(K30="Cf",((VLOOKUP(L30,'C. Prod.'!D:J,7,FALSE)*M30)/J30),IF(K30="Cv",VLOOKUP(L30,'C. Prod.'!D:J,7,FALSE),""))</f>
        <v>21.291666666666668</v>
      </c>
      <c r="O30" s="351"/>
    </row>
    <row r="31" spans="2:20" x14ac:dyDescent="0.25">
      <c r="H31" s="222">
        <f t="shared" si="6"/>
        <v>2</v>
      </c>
      <c r="I31" s="221" t="str">
        <f t="shared" si="7"/>
        <v>Oreo</v>
      </c>
      <c r="J31" s="222">
        <f t="shared" si="8"/>
        <v>240</v>
      </c>
      <c r="K31" s="218" t="str">
        <f>_xlfn.XLOOKUP(L31,'C. Prod.'!D:D,'C. Prod.'!C:C)</f>
        <v>Cf</v>
      </c>
      <c r="L31" s="212" t="s">
        <v>176</v>
      </c>
      <c r="M31" s="307">
        <v>6.25E-2</v>
      </c>
      <c r="N31" s="209">
        <f>IF(K31="Cf",((VLOOKUP(L31,'C. Prod.'!D:J,7,FALSE)*M31)/J31),IF(K31="Cv",VLOOKUP(L31,'C. Prod.'!D:J,7,FALSE),""))</f>
        <v>515.54401041666665</v>
      </c>
      <c r="O31" s="351"/>
    </row>
    <row r="32" spans="2:20" x14ac:dyDescent="0.25">
      <c r="H32" s="222">
        <f t="shared" si="6"/>
        <v>2</v>
      </c>
      <c r="I32" s="221" t="str">
        <f t="shared" si="7"/>
        <v>Oreo</v>
      </c>
      <c r="J32" s="222">
        <f t="shared" si="8"/>
        <v>240</v>
      </c>
      <c r="K32" s="218">
        <f>_xlfn.XLOOKUP(L32,'C. Prod.'!D:D,'C. Prod.'!C:C)</f>
        <v>0</v>
      </c>
      <c r="L32" s="212"/>
      <c r="M32" s="213"/>
      <c r="N32" s="209" t="str">
        <f>IF(K32="Cf",((VLOOKUP(L32,'C. Prod.'!D:J,7,FALSE)*M32)/J32),IF(K32="Cv",VLOOKUP(L32,'C. Prod.'!D:J,7,FALSE),""))</f>
        <v/>
      </c>
      <c r="O32" s="351"/>
    </row>
    <row r="33" spans="8:18" x14ac:dyDescent="0.25">
      <c r="H33" s="222">
        <f t="shared" si="6"/>
        <v>2</v>
      </c>
      <c r="I33" s="221" t="str">
        <f t="shared" si="7"/>
        <v>Oreo</v>
      </c>
      <c r="J33" s="222">
        <f t="shared" si="8"/>
        <v>240</v>
      </c>
      <c r="K33" s="218">
        <f>_xlfn.XLOOKUP(L33,'C. Prod.'!D:D,'C. Prod.'!C:C)</f>
        <v>0</v>
      </c>
      <c r="M33" s="208"/>
      <c r="N33" s="209" t="str">
        <f>IF(K33="Cf",((VLOOKUP(L33,'C. Prod.'!D:J,7,FALSE)*M33)/J33),IF(K33="Cv",VLOOKUP(L33,'C. Prod.'!D:J,7,FALSE),""))</f>
        <v/>
      </c>
      <c r="O33" s="351"/>
    </row>
    <row r="34" spans="8:18" x14ac:dyDescent="0.25">
      <c r="H34" s="222">
        <f t="shared" si="6"/>
        <v>2</v>
      </c>
      <c r="I34" s="221" t="str">
        <f t="shared" si="7"/>
        <v>Oreo</v>
      </c>
      <c r="J34" s="222">
        <f t="shared" si="8"/>
        <v>240</v>
      </c>
      <c r="K34" s="211" t="s">
        <v>219</v>
      </c>
      <c r="L34" s="210" t="s">
        <v>220</v>
      </c>
      <c r="M34" s="208"/>
      <c r="N34" s="209">
        <f>SUM(N24:N33)</f>
        <v>1627.3990104166667</v>
      </c>
    </row>
    <row r="35" spans="8:18" x14ac:dyDescent="0.25">
      <c r="H35" s="222">
        <f t="shared" si="6"/>
        <v>2</v>
      </c>
      <c r="I35" s="221" t="str">
        <f t="shared" si="7"/>
        <v>Oreo</v>
      </c>
      <c r="J35" s="222">
        <f t="shared" si="8"/>
        <v>240</v>
      </c>
      <c r="K35" s="211" t="s">
        <v>221</v>
      </c>
      <c r="L35" s="210" t="s">
        <v>222</v>
      </c>
      <c r="M35" s="208"/>
      <c r="N35" s="217">
        <f>+(N36/N34)-1</f>
        <v>1.1506710877892736</v>
      </c>
    </row>
    <row r="36" spans="8:18" ht="14.25" thickBot="1" x14ac:dyDescent="0.3">
      <c r="H36" s="224">
        <f>+H24</f>
        <v>2</v>
      </c>
      <c r="I36" s="223" t="str">
        <f t="shared" si="7"/>
        <v>Oreo</v>
      </c>
      <c r="J36" s="224">
        <f t="shared" si="8"/>
        <v>240</v>
      </c>
      <c r="K36" s="219" t="s">
        <v>223</v>
      </c>
      <c r="L36" s="214" t="s">
        <v>224</v>
      </c>
      <c r="M36" s="215"/>
      <c r="N36" s="216">
        <f>_xlfn.XLOOKUP(I36,C:C,E:E)</f>
        <v>3500</v>
      </c>
      <c r="O36" s="349">
        <f t="shared" ref="O36" si="9">+H36</f>
        <v>2</v>
      </c>
    </row>
    <row r="37" spans="8:18" ht="14.25" thickBot="1" x14ac:dyDescent="0.3"/>
    <row r="38" spans="8:18" ht="14.25" thickBot="1" x14ac:dyDescent="0.3">
      <c r="H38" s="189" t="s">
        <v>201</v>
      </c>
      <c r="I38" s="189" t="s">
        <v>159</v>
      </c>
      <c r="J38" s="189" t="s">
        <v>50</v>
      </c>
      <c r="K38" s="189" t="s">
        <v>46</v>
      </c>
      <c r="L38" s="189" t="s">
        <v>47</v>
      </c>
      <c r="M38" s="189" t="s">
        <v>210</v>
      </c>
      <c r="N38" s="189" t="s">
        <v>211</v>
      </c>
      <c r="P38" s="350" t="s">
        <v>61</v>
      </c>
      <c r="Q38" s="349">
        <f>SUMIF(K39:K48,P38,N39:N48)</f>
        <v>885.87000000000012</v>
      </c>
      <c r="R38" s="210">
        <f>+Q38*J39</f>
        <v>212608.80000000002</v>
      </c>
    </row>
    <row r="39" spans="8:18" x14ac:dyDescent="0.25">
      <c r="H39" s="218">
        <f>+H24+1</f>
        <v>3</v>
      </c>
      <c r="I39" s="220" t="s">
        <v>207</v>
      </c>
      <c r="J39" s="218">
        <f>_xlfn.XLOOKUP(I39,C:C,D:D)</f>
        <v>240</v>
      </c>
      <c r="K39" s="218" t="str">
        <f>_xlfn.XLOOKUP(L39,'C. Prod.'!D:D,'C. Prod.'!C:C)</f>
        <v>Cv</v>
      </c>
      <c r="L39" s="212" t="s">
        <v>62</v>
      </c>
      <c r="M39" s="213"/>
      <c r="N39" s="209">
        <f>IF(K39="Cf",((VLOOKUP(L39,'C. Prod.'!D:J,7,FALSE)*M39)/J39),IF(K39="Cv",VLOOKUP(L39,'C. Prod.'!D:J,7,FALSE),""))</f>
        <v>137</v>
      </c>
      <c r="O39" s="351"/>
    </row>
    <row r="40" spans="8:18" x14ac:dyDescent="0.25">
      <c r="H40" s="222">
        <f>+H39</f>
        <v>3</v>
      </c>
      <c r="I40" s="221" t="str">
        <f>+I39</f>
        <v>Homero S</v>
      </c>
      <c r="J40" s="222">
        <f>+J39</f>
        <v>240</v>
      </c>
      <c r="K40" s="218" t="str">
        <f>_xlfn.XLOOKUP(L40,'C. Prod.'!D:D,'C. Prod.'!C:C)</f>
        <v>Cv</v>
      </c>
      <c r="L40" s="212" t="s">
        <v>64</v>
      </c>
      <c r="M40" s="213"/>
      <c r="N40" s="209">
        <f>IF(K40="Cf",((VLOOKUP(L40,'C. Prod.'!D:J,7,FALSE)*M40)/J40),IF(K40="Cv",VLOOKUP(L40,'C. Prod.'!D:J,7,FALSE),""))</f>
        <v>486.67</v>
      </c>
      <c r="O40" s="351"/>
    </row>
    <row r="41" spans="8:18" x14ac:dyDescent="0.25">
      <c r="H41" s="222">
        <f t="shared" ref="H41:H50" si="10">+H40</f>
        <v>3</v>
      </c>
      <c r="I41" s="221" t="str">
        <f t="shared" ref="I41:I51" si="11">+I40</f>
        <v>Homero S</v>
      </c>
      <c r="J41" s="222">
        <f t="shared" ref="J41:J51" si="12">+J40</f>
        <v>240</v>
      </c>
      <c r="K41" s="218" t="str">
        <f>_xlfn.XLOOKUP(L41,'C. Prod.'!D:D,'C. Prod.'!C:C)</f>
        <v>Cv</v>
      </c>
      <c r="L41" s="212" t="s">
        <v>66</v>
      </c>
      <c r="M41" s="213"/>
      <c r="N41" s="209">
        <f>IF(K41="Cf",((VLOOKUP(L41,'C. Prod.'!D:J,7,FALSE)*M41)/J41),IF(K41="Cv",VLOOKUP(L41,'C. Prod.'!D:J,7,FALSE),""))</f>
        <v>10.86</v>
      </c>
      <c r="O41" s="351"/>
    </row>
    <row r="42" spans="8:18" x14ac:dyDescent="0.25">
      <c r="H42" s="222">
        <f t="shared" si="10"/>
        <v>3</v>
      </c>
      <c r="I42" s="221" t="str">
        <f t="shared" si="11"/>
        <v>Homero S</v>
      </c>
      <c r="J42" s="222">
        <f t="shared" si="12"/>
        <v>240</v>
      </c>
      <c r="K42" s="218" t="str">
        <f>_xlfn.XLOOKUP(L42,'C. Prod.'!D:D,'C. Prod.'!C:C)</f>
        <v>Cv</v>
      </c>
      <c r="L42" s="210" t="s">
        <v>75</v>
      </c>
      <c r="M42" s="213"/>
      <c r="N42" s="209">
        <f>IF(K42="Cf",((VLOOKUP(L42,'C. Prod.'!D:J,7,FALSE)*M42)/J42),IF(K42="Cv",VLOOKUP(L42,'C. Prod.'!D:J,7,FALSE),""))</f>
        <v>63.64</v>
      </c>
      <c r="O42" s="351"/>
    </row>
    <row r="43" spans="8:18" x14ac:dyDescent="0.25">
      <c r="H43" s="222">
        <f t="shared" si="10"/>
        <v>3</v>
      </c>
      <c r="I43" s="221" t="str">
        <f t="shared" si="11"/>
        <v>Homero S</v>
      </c>
      <c r="J43" s="222">
        <f t="shared" si="12"/>
        <v>240</v>
      </c>
      <c r="K43" s="218" t="str">
        <f>_xlfn.XLOOKUP(L43,'C. Prod.'!D:D,'C. Prod.'!C:C)</f>
        <v>Cv</v>
      </c>
      <c r="L43" s="210" t="s">
        <v>77</v>
      </c>
      <c r="M43" s="213"/>
      <c r="N43" s="209">
        <f>IF(K43="Cf",((VLOOKUP(L43,'C. Prod.'!D:J,7,FALSE)*M43)/J43),IF(K43="Cv",VLOOKUP(L43,'C. Prod.'!D:J,7,FALSE),""))</f>
        <v>168</v>
      </c>
      <c r="O43" s="351"/>
    </row>
    <row r="44" spans="8:18" x14ac:dyDescent="0.25">
      <c r="H44" s="222">
        <f t="shared" si="10"/>
        <v>3</v>
      </c>
      <c r="I44" s="221" t="str">
        <f t="shared" si="11"/>
        <v>Homero S</v>
      </c>
      <c r="J44" s="222">
        <f t="shared" si="12"/>
        <v>240</v>
      </c>
      <c r="K44" s="218" t="str">
        <f>_xlfn.XLOOKUP(L44,'C. Prod.'!D:D,'C. Prod.'!C:C)</f>
        <v>Cv</v>
      </c>
      <c r="L44" s="210" t="s">
        <v>70</v>
      </c>
      <c r="M44" s="213"/>
      <c r="N44" s="209">
        <f>IF(K44="Cf",((VLOOKUP(L44,'C. Prod.'!D:J,7,FALSE)*M44)/J44),IF(K44="Cv",VLOOKUP(L44,'C. Prod.'!D:J,7,FALSE),""))</f>
        <v>19.7</v>
      </c>
      <c r="O44" s="351"/>
    </row>
    <row r="45" spans="8:18" x14ac:dyDescent="0.25">
      <c r="H45" s="222">
        <f t="shared" si="10"/>
        <v>3</v>
      </c>
      <c r="I45" s="221" t="str">
        <f t="shared" si="11"/>
        <v>Homero S</v>
      </c>
      <c r="J45" s="222">
        <f t="shared" si="12"/>
        <v>240</v>
      </c>
      <c r="K45" s="218" t="str">
        <f>_xlfn.XLOOKUP(L45,'C. Prod.'!D:D,'C. Prod.'!C:C)</f>
        <v>Cf</v>
      </c>
      <c r="L45" s="212" t="s">
        <v>100</v>
      </c>
      <c r="M45" s="213">
        <v>0.1</v>
      </c>
      <c r="N45" s="209">
        <f>IF(K45="Cf",((VLOOKUP(L45,'C. Prod.'!D:J,7,FALSE)*M45)/J45),IF(K45="Cv",VLOOKUP(L45,'C. Prod.'!D:J,7,FALSE),""))</f>
        <v>8.3333333333333339</v>
      </c>
      <c r="O45" s="351"/>
    </row>
    <row r="46" spans="8:18" x14ac:dyDescent="0.25">
      <c r="H46" s="222">
        <f t="shared" si="10"/>
        <v>3</v>
      </c>
      <c r="I46" s="221" t="str">
        <f t="shared" si="11"/>
        <v>Homero S</v>
      </c>
      <c r="J46" s="222">
        <f t="shared" si="12"/>
        <v>240</v>
      </c>
      <c r="K46" s="218" t="str">
        <f>_xlfn.XLOOKUP(L46,'C. Prod.'!D:D,'C. Prod.'!C:C)</f>
        <v>Cf</v>
      </c>
      <c r="L46" s="212" t="s">
        <v>92</v>
      </c>
      <c r="M46" s="213">
        <v>0.1</v>
      </c>
      <c r="N46" s="209">
        <f>IF(K46="Cf",((VLOOKUP(L46,'C. Prod.'!D:J,7,FALSE)*M46)/J46),IF(K46="Cv",VLOOKUP(L46,'C. Prod.'!D:J,7,FALSE),""))</f>
        <v>21.291666666666668</v>
      </c>
      <c r="O46" s="351"/>
    </row>
    <row r="47" spans="8:18" x14ac:dyDescent="0.25">
      <c r="H47" s="222">
        <f t="shared" si="10"/>
        <v>3</v>
      </c>
      <c r="I47" s="221" t="str">
        <f t="shared" si="11"/>
        <v>Homero S</v>
      </c>
      <c r="J47" s="222">
        <f t="shared" si="12"/>
        <v>240</v>
      </c>
      <c r="K47" s="218" t="str">
        <f>_xlfn.XLOOKUP(L47,'C. Prod.'!D:D,'C. Prod.'!C:C)</f>
        <v>Cf</v>
      </c>
      <c r="L47" s="212" t="s">
        <v>176</v>
      </c>
      <c r="M47" s="307">
        <v>6.25E-2</v>
      </c>
      <c r="N47" s="209">
        <f>IF(K47="Cf",((VLOOKUP(L47,'C. Prod.'!D:J,7,FALSE)*M47)/J47),IF(K47="Cv",VLOOKUP(L47,'C. Prod.'!D:J,7,FALSE),""))</f>
        <v>515.54401041666665</v>
      </c>
      <c r="O47" s="351"/>
    </row>
    <row r="48" spans="8:18" x14ac:dyDescent="0.25">
      <c r="H48" s="222">
        <f t="shared" si="10"/>
        <v>3</v>
      </c>
      <c r="I48" s="221" t="str">
        <f t="shared" si="11"/>
        <v>Homero S</v>
      </c>
      <c r="J48" s="222">
        <f t="shared" si="12"/>
        <v>240</v>
      </c>
      <c r="K48" s="218">
        <f>_xlfn.XLOOKUP(L48,'C. Prod.'!D:D,'C. Prod.'!C:C)</f>
        <v>0</v>
      </c>
      <c r="L48" s="212"/>
      <c r="M48" s="208"/>
      <c r="N48" s="209" t="str">
        <f>IF(K48="Cf",((VLOOKUP(L48,'C. Prod.'!D:J,7,FALSE)*M48)/J48),IF(K48="Cv",VLOOKUP(L48,'C. Prod.'!D:J,7,FALSE),""))</f>
        <v/>
      </c>
      <c r="O48" s="351"/>
    </row>
    <row r="49" spans="8:18" x14ac:dyDescent="0.25">
      <c r="H49" s="222">
        <f t="shared" si="10"/>
        <v>3</v>
      </c>
      <c r="I49" s="221" t="str">
        <f t="shared" si="11"/>
        <v>Homero S</v>
      </c>
      <c r="J49" s="222">
        <f t="shared" si="12"/>
        <v>240</v>
      </c>
      <c r="K49" s="211" t="s">
        <v>219</v>
      </c>
      <c r="L49" s="210" t="s">
        <v>220</v>
      </c>
      <c r="M49" s="208"/>
      <c r="N49" s="209">
        <f>SUM(N39:N48)</f>
        <v>1431.0390104166668</v>
      </c>
    </row>
    <row r="50" spans="8:18" x14ac:dyDescent="0.25">
      <c r="H50" s="222">
        <f t="shared" si="10"/>
        <v>3</v>
      </c>
      <c r="I50" s="221" t="str">
        <f t="shared" si="11"/>
        <v>Homero S</v>
      </c>
      <c r="J50" s="222">
        <f t="shared" si="12"/>
        <v>240</v>
      </c>
      <c r="K50" s="211" t="s">
        <v>221</v>
      </c>
      <c r="L50" s="210" t="s">
        <v>222</v>
      </c>
      <c r="M50" s="208"/>
      <c r="N50" s="217">
        <f>+(N51/N49)-1</f>
        <v>1.4457753943275988</v>
      </c>
    </row>
    <row r="51" spans="8:18" ht="14.25" thickBot="1" x14ac:dyDescent="0.3">
      <c r="H51" s="224">
        <f>+H39</f>
        <v>3</v>
      </c>
      <c r="I51" s="223" t="str">
        <f t="shared" si="11"/>
        <v>Homero S</v>
      </c>
      <c r="J51" s="224">
        <f t="shared" si="12"/>
        <v>240</v>
      </c>
      <c r="K51" s="219" t="s">
        <v>223</v>
      </c>
      <c r="L51" s="214" t="s">
        <v>224</v>
      </c>
      <c r="M51" s="215"/>
      <c r="N51" s="216">
        <f>_xlfn.XLOOKUP(I51,C:C,E:E)</f>
        <v>3500</v>
      </c>
      <c r="O51" s="349">
        <f t="shared" ref="O51" si="13">+H51</f>
        <v>3</v>
      </c>
    </row>
    <row r="52" spans="8:18" ht="14.25" thickBot="1" x14ac:dyDescent="0.3"/>
    <row r="53" spans="8:18" ht="14.25" thickBot="1" x14ac:dyDescent="0.3">
      <c r="H53" s="189" t="s">
        <v>201</v>
      </c>
      <c r="I53" s="189" t="s">
        <v>159</v>
      </c>
      <c r="J53" s="189" t="s">
        <v>50</v>
      </c>
      <c r="K53" s="189" t="s">
        <v>46</v>
      </c>
      <c r="L53" s="189" t="s">
        <v>47</v>
      </c>
      <c r="M53" s="189" t="s">
        <v>210</v>
      </c>
      <c r="N53" s="189" t="s">
        <v>211</v>
      </c>
      <c r="P53" s="350" t="s">
        <v>61</v>
      </c>
      <c r="Q53" s="349">
        <f>SUMIF(K54:K63,P53,N54:N63)</f>
        <v>711.23000000000013</v>
      </c>
      <c r="R53" s="210">
        <f>+Q53*J54</f>
        <v>170695.20000000004</v>
      </c>
    </row>
    <row r="54" spans="8:18" x14ac:dyDescent="0.25">
      <c r="H54" s="218">
        <f>+H39+1</f>
        <v>4</v>
      </c>
      <c r="I54" s="220" t="s">
        <v>208</v>
      </c>
      <c r="J54" s="218">
        <f>_xlfn.XLOOKUP(I54,C:C,D:D)</f>
        <v>240</v>
      </c>
      <c r="K54" s="218" t="str">
        <f>_xlfn.XLOOKUP(L54,'C. Prod.'!D:D,'C. Prod.'!C:C)</f>
        <v>Cv</v>
      </c>
      <c r="L54" s="212" t="s">
        <v>62</v>
      </c>
      <c r="M54" s="213"/>
      <c r="N54" s="209">
        <f>IF(K54="Cf",((VLOOKUP(L54,'C. Prod.'!D:J,7,FALSE)*M54)/J54),IF(K54="Cv",VLOOKUP(L54,'C. Prod.'!D:J,7,FALSE),""))</f>
        <v>137</v>
      </c>
      <c r="O54" s="351"/>
    </row>
    <row r="55" spans="8:18" x14ac:dyDescent="0.25">
      <c r="H55" s="222">
        <f>+H54</f>
        <v>4</v>
      </c>
      <c r="I55" s="221" t="str">
        <f>+I54</f>
        <v>Morita</v>
      </c>
      <c r="J55" s="222">
        <f>+J54</f>
        <v>240</v>
      </c>
      <c r="K55" s="218" t="str">
        <f>_xlfn.XLOOKUP(L55,'C. Prod.'!D:D,'C. Prod.'!C:C)</f>
        <v>Cv</v>
      </c>
      <c r="L55" s="212" t="s">
        <v>64</v>
      </c>
      <c r="M55" s="213"/>
      <c r="N55" s="209">
        <f>IF(K55="Cf",((VLOOKUP(L55,'C. Prod.'!D:J,7,FALSE)*M55)/J55),IF(K55="Cv",VLOOKUP(L55,'C. Prod.'!D:J,7,FALSE),""))</f>
        <v>486.67</v>
      </c>
      <c r="O55" s="351"/>
    </row>
    <row r="56" spans="8:18" x14ac:dyDescent="0.25">
      <c r="H56" s="222">
        <f t="shared" ref="H56:H65" si="14">+H55</f>
        <v>4</v>
      </c>
      <c r="I56" s="221" t="str">
        <f t="shared" ref="I56:I66" si="15">+I55</f>
        <v>Morita</v>
      </c>
      <c r="J56" s="222">
        <f t="shared" ref="J56:J66" si="16">+J55</f>
        <v>240</v>
      </c>
      <c r="K56" s="218" t="str">
        <f>_xlfn.XLOOKUP(L56,'C. Prod.'!D:D,'C. Prod.'!C:C)</f>
        <v>Cv</v>
      </c>
      <c r="L56" s="212" t="s">
        <v>66</v>
      </c>
      <c r="M56" s="213"/>
      <c r="N56" s="209">
        <f>IF(K56="Cf",((VLOOKUP(L56,'C. Prod.'!D:J,7,FALSE)*M56)/J56),IF(K56="Cv",VLOOKUP(L56,'C. Prod.'!D:J,7,FALSE),""))</f>
        <v>10.86</v>
      </c>
      <c r="O56" s="351"/>
    </row>
    <row r="57" spans="8:18" x14ac:dyDescent="0.25">
      <c r="H57" s="222">
        <f t="shared" si="14"/>
        <v>4</v>
      </c>
      <c r="I57" s="221" t="str">
        <f t="shared" si="15"/>
        <v>Morita</v>
      </c>
      <c r="J57" s="222">
        <f t="shared" si="16"/>
        <v>240</v>
      </c>
      <c r="K57" s="218" t="str">
        <f>_xlfn.XLOOKUP(L57,'C. Prod.'!D:D,'C. Prod.'!C:C)</f>
        <v>Cv</v>
      </c>
      <c r="L57" s="210" t="s">
        <v>76</v>
      </c>
      <c r="M57" s="213"/>
      <c r="N57" s="209">
        <f>IF(K57="Cf",((VLOOKUP(L57,'C. Prod.'!D:J,7,FALSE)*M57)/J57),IF(K57="Cv",VLOOKUP(L57,'C. Prod.'!D:J,7,FALSE),""))</f>
        <v>57</v>
      </c>
      <c r="O57" s="351"/>
    </row>
    <row r="58" spans="8:18" x14ac:dyDescent="0.25">
      <c r="H58" s="222">
        <f t="shared" si="14"/>
        <v>4</v>
      </c>
      <c r="I58" s="221" t="str">
        <f t="shared" si="15"/>
        <v>Morita</v>
      </c>
      <c r="J58" s="222">
        <f t="shared" si="16"/>
        <v>240</v>
      </c>
      <c r="K58" s="218" t="str">
        <f>_xlfn.XLOOKUP(L58,'C. Prod.'!D:D,'C. Prod.'!C:C)</f>
        <v>Cv</v>
      </c>
      <c r="L58" s="210" t="s">
        <v>70</v>
      </c>
      <c r="M58" s="213"/>
      <c r="N58" s="209">
        <f>IF(K58="Cf",((VLOOKUP(L58,'C. Prod.'!D:J,7,FALSE)*M58)/J58),IF(K58="Cv",VLOOKUP(L58,'C. Prod.'!D:J,7,FALSE),""))</f>
        <v>19.7</v>
      </c>
      <c r="O58" s="351"/>
    </row>
    <row r="59" spans="8:18" x14ac:dyDescent="0.25">
      <c r="H59" s="222">
        <f t="shared" si="14"/>
        <v>4</v>
      </c>
      <c r="I59" s="221" t="str">
        <f t="shared" si="15"/>
        <v>Morita</v>
      </c>
      <c r="J59" s="222">
        <f t="shared" si="16"/>
        <v>240</v>
      </c>
      <c r="K59" s="218" t="str">
        <f>_xlfn.XLOOKUP(L59,'C. Prod.'!D:D,'C. Prod.'!C:C)</f>
        <v>Cf</v>
      </c>
      <c r="L59" s="212" t="s">
        <v>100</v>
      </c>
      <c r="M59" s="213">
        <v>0.1</v>
      </c>
      <c r="N59" s="209">
        <f>IF(K59="Cf",((VLOOKUP(L59,'C. Prod.'!D:J,7,FALSE)*M59)/J59),IF(K59="Cv",VLOOKUP(L59,'C. Prod.'!D:J,7,FALSE),""))</f>
        <v>8.3333333333333339</v>
      </c>
      <c r="O59" s="351"/>
    </row>
    <row r="60" spans="8:18" x14ac:dyDescent="0.25">
      <c r="H60" s="222">
        <f t="shared" si="14"/>
        <v>4</v>
      </c>
      <c r="I60" s="221" t="str">
        <f t="shared" si="15"/>
        <v>Morita</v>
      </c>
      <c r="J60" s="222">
        <f t="shared" si="16"/>
        <v>240</v>
      </c>
      <c r="K60" s="218" t="str">
        <f>_xlfn.XLOOKUP(L60,'C. Prod.'!D:D,'C. Prod.'!C:C)</f>
        <v>Cf</v>
      </c>
      <c r="L60" s="212" t="s">
        <v>92</v>
      </c>
      <c r="M60" s="213">
        <v>0.1</v>
      </c>
      <c r="N60" s="209">
        <f>IF(K60="Cf",((VLOOKUP(L60,'C. Prod.'!D:J,7,FALSE)*M60)/J60),IF(K60="Cv",VLOOKUP(L60,'C. Prod.'!D:J,7,FALSE),""))</f>
        <v>21.291666666666668</v>
      </c>
      <c r="O60" s="351"/>
    </row>
    <row r="61" spans="8:18" x14ac:dyDescent="0.25">
      <c r="H61" s="222">
        <f t="shared" si="14"/>
        <v>4</v>
      </c>
      <c r="I61" s="221" t="str">
        <f t="shared" si="15"/>
        <v>Morita</v>
      </c>
      <c r="J61" s="222">
        <f t="shared" si="16"/>
        <v>240</v>
      </c>
      <c r="K61" s="218" t="str">
        <f>_xlfn.XLOOKUP(L61,'C. Prod.'!D:D,'C. Prod.'!C:C)</f>
        <v>Cf</v>
      </c>
      <c r="L61" s="212" t="s">
        <v>176</v>
      </c>
      <c r="M61" s="307">
        <v>6.25E-2</v>
      </c>
      <c r="N61" s="209">
        <f>IF(K61="Cf",((VLOOKUP(L61,'C. Prod.'!D:J,7,FALSE)*M61)/J61),IF(K61="Cv",VLOOKUP(L61,'C. Prod.'!D:J,7,FALSE),""))</f>
        <v>515.54401041666665</v>
      </c>
      <c r="O61" s="351"/>
    </row>
    <row r="62" spans="8:18" x14ac:dyDescent="0.25">
      <c r="H62" s="222">
        <f t="shared" si="14"/>
        <v>4</v>
      </c>
      <c r="I62" s="221" t="str">
        <f t="shared" si="15"/>
        <v>Morita</v>
      </c>
      <c r="J62" s="222">
        <f t="shared" si="16"/>
        <v>240</v>
      </c>
      <c r="K62" s="218">
        <f>_xlfn.XLOOKUP(L62,'C. Prod.'!D:D,'C. Prod.'!C:C)</f>
        <v>0</v>
      </c>
      <c r="L62" s="212"/>
      <c r="M62" s="213"/>
      <c r="N62" s="209" t="str">
        <f>IF(K62="Cf",((VLOOKUP(L62,'C. Prod.'!D:J,7,FALSE)*M62)/J62),IF(K62="Cv",VLOOKUP(L62,'C. Prod.'!D:J,7,FALSE),""))</f>
        <v/>
      </c>
      <c r="O62" s="351"/>
    </row>
    <row r="63" spans="8:18" x14ac:dyDescent="0.25">
      <c r="H63" s="222">
        <f t="shared" si="14"/>
        <v>4</v>
      </c>
      <c r="I63" s="221" t="str">
        <f t="shared" si="15"/>
        <v>Morita</v>
      </c>
      <c r="J63" s="222">
        <f t="shared" si="16"/>
        <v>240</v>
      </c>
      <c r="K63" s="218"/>
      <c r="L63" s="212"/>
      <c r="M63" s="208"/>
      <c r="N63" s="209" t="str">
        <f>IF(K63="Cf",((VLOOKUP(L63,'C. Prod.'!D:J,7,FALSE)*M63)/J63),IF(K63="Cv",VLOOKUP(L63,'C. Prod.'!D:J,7,FALSE),""))</f>
        <v/>
      </c>
      <c r="O63" s="351"/>
    </row>
    <row r="64" spans="8:18" x14ac:dyDescent="0.25">
      <c r="H64" s="222">
        <f t="shared" si="14"/>
        <v>4</v>
      </c>
      <c r="I64" s="221" t="str">
        <f t="shared" si="15"/>
        <v>Morita</v>
      </c>
      <c r="J64" s="222">
        <f t="shared" si="16"/>
        <v>240</v>
      </c>
      <c r="K64" s="211" t="s">
        <v>219</v>
      </c>
      <c r="L64" s="210" t="s">
        <v>220</v>
      </c>
      <c r="M64" s="208"/>
      <c r="N64" s="209">
        <f>SUM(N54:N63)</f>
        <v>1256.3990104166669</v>
      </c>
    </row>
    <row r="65" spans="8:18" x14ac:dyDescent="0.25">
      <c r="H65" s="222">
        <f t="shared" si="14"/>
        <v>4</v>
      </c>
      <c r="I65" s="221" t="str">
        <f t="shared" si="15"/>
        <v>Morita</v>
      </c>
      <c r="J65" s="222">
        <f t="shared" si="16"/>
        <v>240</v>
      </c>
      <c r="K65" s="211" t="s">
        <v>221</v>
      </c>
      <c r="L65" s="210" t="s">
        <v>222</v>
      </c>
      <c r="M65" s="208"/>
      <c r="N65" s="217">
        <f>+(N66/N64)-1</f>
        <v>1.7857392205675766</v>
      </c>
    </row>
    <row r="66" spans="8:18" ht="14.25" thickBot="1" x14ac:dyDescent="0.3">
      <c r="H66" s="224">
        <f>+H54</f>
        <v>4</v>
      </c>
      <c r="I66" s="223" t="str">
        <f t="shared" si="15"/>
        <v>Morita</v>
      </c>
      <c r="J66" s="224">
        <f t="shared" si="16"/>
        <v>240</v>
      </c>
      <c r="K66" s="219" t="s">
        <v>223</v>
      </c>
      <c r="L66" s="214" t="s">
        <v>224</v>
      </c>
      <c r="M66" s="215"/>
      <c r="N66" s="216">
        <f>_xlfn.XLOOKUP(I66,C:C,E:E)</f>
        <v>3500</v>
      </c>
      <c r="O66" s="349">
        <f t="shared" ref="O66" si="17">+H66</f>
        <v>4</v>
      </c>
    </row>
    <row r="67" spans="8:18" ht="14.25" thickBot="1" x14ac:dyDescent="0.3"/>
    <row r="68" spans="8:18" ht="14.25" thickBot="1" x14ac:dyDescent="0.3">
      <c r="H68" s="189" t="s">
        <v>201</v>
      </c>
      <c r="I68" s="189" t="s">
        <v>159</v>
      </c>
      <c r="J68" s="189" t="s">
        <v>50</v>
      </c>
      <c r="K68" s="189" t="s">
        <v>46</v>
      </c>
      <c r="L68" s="189" t="s">
        <v>47</v>
      </c>
      <c r="M68" s="189" t="s">
        <v>210</v>
      </c>
      <c r="N68" s="189" t="s">
        <v>211</v>
      </c>
      <c r="P68" s="350" t="s">
        <v>61</v>
      </c>
      <c r="Q68" s="349">
        <f>SUMIF(K69:K78,P68,N69:N78)</f>
        <v>1279.2300000000002</v>
      </c>
      <c r="R68" s="210">
        <f>+Q68*J69</f>
        <v>368418.24000000005</v>
      </c>
    </row>
    <row r="69" spans="8:18" x14ac:dyDescent="0.25">
      <c r="H69" s="218">
        <f>+H54+1</f>
        <v>5</v>
      </c>
      <c r="I69" s="220" t="s">
        <v>209</v>
      </c>
      <c r="J69" s="218">
        <f>_xlfn.XLOOKUP(I69,C:C,D:D)</f>
        <v>288</v>
      </c>
      <c r="K69" s="218" t="str">
        <f>_xlfn.XLOOKUP(L69,'C. Prod.'!D:D,'C. Prod.'!C:C)</f>
        <v>Cv</v>
      </c>
      <c r="L69" s="212" t="s">
        <v>62</v>
      </c>
      <c r="M69" s="213"/>
      <c r="N69" s="209">
        <f>IF(K69="Cf",((VLOOKUP(L69,'C. Prod.'!D:J,7,FALSE)*M69)/J69),IF(K69="Cv",VLOOKUP(L69,'C. Prod.'!D:J,7,FALSE),""))</f>
        <v>137</v>
      </c>
      <c r="O69" s="351"/>
    </row>
    <row r="70" spans="8:18" x14ac:dyDescent="0.25">
      <c r="H70" s="222">
        <f>+H69</f>
        <v>5</v>
      </c>
      <c r="I70" s="221" t="str">
        <f>+I69</f>
        <v>R. avellana</v>
      </c>
      <c r="J70" s="222">
        <f>+J69</f>
        <v>288</v>
      </c>
      <c r="K70" s="218" t="str">
        <f>_xlfn.XLOOKUP(L70,'C. Prod.'!D:D,'C. Prod.'!C:C)</f>
        <v>Cv</v>
      </c>
      <c r="L70" s="212" t="s">
        <v>64</v>
      </c>
      <c r="M70" s="213"/>
      <c r="N70" s="209">
        <f>IF(K70="Cf",((VLOOKUP(L70,'C. Prod.'!D:J,7,FALSE)*M70)/J70),IF(K70="Cv",VLOOKUP(L70,'C. Prod.'!D:J,7,FALSE),""))</f>
        <v>486.67</v>
      </c>
      <c r="O70" s="351"/>
    </row>
    <row r="71" spans="8:18" x14ac:dyDescent="0.25">
      <c r="H71" s="222">
        <f t="shared" ref="H71:H80" si="18">+H70</f>
        <v>5</v>
      </c>
      <c r="I71" s="221" t="str">
        <f t="shared" ref="I71:I81" si="19">+I70</f>
        <v>R. avellana</v>
      </c>
      <c r="J71" s="222">
        <f t="shared" ref="J71:J81" si="20">+J70</f>
        <v>288</v>
      </c>
      <c r="K71" s="218" t="str">
        <f>_xlfn.XLOOKUP(L71,'C. Prod.'!D:D,'C. Prod.'!C:C)</f>
        <v>Cv</v>
      </c>
      <c r="L71" s="212" t="s">
        <v>66</v>
      </c>
      <c r="M71" s="213"/>
      <c r="N71" s="209">
        <f>IF(K71="Cf",((VLOOKUP(L71,'C. Prod.'!D:J,7,FALSE)*M71)/J71),IF(K71="Cv",VLOOKUP(L71,'C. Prod.'!D:J,7,FALSE),""))</f>
        <v>10.86</v>
      </c>
      <c r="O71" s="351"/>
    </row>
    <row r="72" spans="8:18" x14ac:dyDescent="0.25">
      <c r="H72" s="222">
        <f t="shared" si="18"/>
        <v>5</v>
      </c>
      <c r="I72" s="221" t="str">
        <f t="shared" si="19"/>
        <v>R. avellana</v>
      </c>
      <c r="J72" s="222">
        <f t="shared" si="20"/>
        <v>288</v>
      </c>
      <c r="K72" s="218" t="str">
        <f>_xlfn.XLOOKUP(L72,'C. Prod.'!D:D,'C. Prod.'!C:C)</f>
        <v>Cv</v>
      </c>
      <c r="L72" s="210" t="s">
        <v>71</v>
      </c>
      <c r="M72" s="213"/>
      <c r="N72" s="209">
        <f>IF(K72="Cf",((VLOOKUP(L72,'C. Prod.'!D:J,7,FALSE)*M72)/J72),IF(K72="Cv",VLOOKUP(L72,'C. Prod.'!D:J,7,FALSE),""))</f>
        <v>625</v>
      </c>
      <c r="O72" s="351"/>
    </row>
    <row r="73" spans="8:18" x14ac:dyDescent="0.25">
      <c r="H73" s="222">
        <f t="shared" si="18"/>
        <v>5</v>
      </c>
      <c r="I73" s="221" t="str">
        <f t="shared" si="19"/>
        <v>R. avellana</v>
      </c>
      <c r="J73" s="222">
        <f t="shared" si="20"/>
        <v>288</v>
      </c>
      <c r="K73" s="218" t="str">
        <f>_xlfn.XLOOKUP(L73,'C. Prod.'!D:D,'C. Prod.'!C:C)</f>
        <v>Cv</v>
      </c>
      <c r="L73" s="210" t="s">
        <v>70</v>
      </c>
      <c r="M73" s="213"/>
      <c r="N73" s="209">
        <f>IF(K73="Cf",((VLOOKUP(L73,'C. Prod.'!D:J,7,FALSE)*M73)/J73),IF(K73="Cv",VLOOKUP(L73,'C. Prod.'!D:J,7,FALSE),""))</f>
        <v>19.7</v>
      </c>
      <c r="O73" s="351"/>
    </row>
    <row r="74" spans="8:18" x14ac:dyDescent="0.25">
      <c r="H74" s="222">
        <f t="shared" si="18"/>
        <v>5</v>
      </c>
      <c r="I74" s="221" t="str">
        <f t="shared" si="19"/>
        <v>R. avellana</v>
      </c>
      <c r="J74" s="222">
        <f t="shared" si="20"/>
        <v>288</v>
      </c>
      <c r="K74" s="218" t="str">
        <f>_xlfn.XLOOKUP(L74,'C. Prod.'!D:D,'C. Prod.'!C:C)</f>
        <v>Cf</v>
      </c>
      <c r="L74" s="212" t="s">
        <v>100</v>
      </c>
      <c r="M74" s="213">
        <v>0.12</v>
      </c>
      <c r="N74" s="209">
        <f>IF(K74="Cf",((VLOOKUP(L74,'C. Prod.'!D:J,7,FALSE)*M74)/J74),IF(K74="Cv",VLOOKUP(L74,'C. Prod.'!D:J,7,FALSE),""))</f>
        <v>8.3333333333333339</v>
      </c>
      <c r="O74" s="351"/>
    </row>
    <row r="75" spans="8:18" x14ac:dyDescent="0.25">
      <c r="H75" s="222">
        <f t="shared" si="18"/>
        <v>5</v>
      </c>
      <c r="I75" s="221" t="str">
        <f t="shared" si="19"/>
        <v>R. avellana</v>
      </c>
      <c r="J75" s="222">
        <f t="shared" si="20"/>
        <v>288</v>
      </c>
      <c r="K75" s="218" t="str">
        <f>_xlfn.XLOOKUP(L75,'C. Prod.'!D:D,'C. Prod.'!C:C)</f>
        <v>Cf</v>
      </c>
      <c r="L75" s="212" t="s">
        <v>92</v>
      </c>
      <c r="M75" s="213">
        <v>0.1</v>
      </c>
      <c r="N75" s="209">
        <f>IF(K75="Cf",((VLOOKUP(L75,'C. Prod.'!D:J,7,FALSE)*M75)/J75),IF(K75="Cv",VLOOKUP(L75,'C. Prod.'!D:J,7,FALSE),""))</f>
        <v>17.743055555555557</v>
      </c>
      <c r="O75" s="351"/>
    </row>
    <row r="76" spans="8:18" x14ac:dyDescent="0.25">
      <c r="H76" s="222">
        <f t="shared" si="18"/>
        <v>5</v>
      </c>
      <c r="I76" s="221" t="str">
        <f t="shared" si="19"/>
        <v>R. avellana</v>
      </c>
      <c r="J76" s="222">
        <f t="shared" si="20"/>
        <v>288</v>
      </c>
      <c r="K76" s="218" t="str">
        <f>_xlfn.XLOOKUP(L76,'C. Prod.'!D:D,'C. Prod.'!C:C)</f>
        <v>Cf</v>
      </c>
      <c r="L76" s="212" t="s">
        <v>176</v>
      </c>
      <c r="M76" s="307">
        <v>6.25E-2</v>
      </c>
      <c r="N76" s="209">
        <f>IF(K76="Cf",((VLOOKUP(L76,'C. Prod.'!D:J,7,FALSE)*M76)/J76),IF(K76="Cv",VLOOKUP(L76,'C. Prod.'!D:J,7,FALSE),""))</f>
        <v>429.62000868055554</v>
      </c>
      <c r="O76" s="351"/>
    </row>
    <row r="77" spans="8:18" x14ac:dyDescent="0.25">
      <c r="H77" s="222">
        <f t="shared" si="18"/>
        <v>5</v>
      </c>
      <c r="I77" s="221" t="str">
        <f t="shared" si="19"/>
        <v>R. avellana</v>
      </c>
      <c r="J77" s="222">
        <f t="shared" si="20"/>
        <v>288</v>
      </c>
      <c r="K77" s="218">
        <f>_xlfn.XLOOKUP(L77,'C. Prod.'!D:D,'C. Prod.'!C:C)</f>
        <v>0</v>
      </c>
      <c r="L77" s="212"/>
      <c r="M77" s="213"/>
      <c r="N77" s="209" t="str">
        <f>IF(K77="Cf",((VLOOKUP(L77,'C. Prod.'!D:J,7,FALSE)*M77)/J77),IF(K77="Cv",VLOOKUP(L77,'C. Prod.'!D:J,7,FALSE),""))</f>
        <v/>
      </c>
      <c r="O77" s="351"/>
    </row>
    <row r="78" spans="8:18" x14ac:dyDescent="0.25">
      <c r="H78" s="222">
        <f t="shared" si="18"/>
        <v>5</v>
      </c>
      <c r="I78" s="221" t="str">
        <f t="shared" si="19"/>
        <v>R. avellana</v>
      </c>
      <c r="J78" s="222">
        <f t="shared" si="20"/>
        <v>288</v>
      </c>
      <c r="K78" s="218"/>
      <c r="L78" s="212"/>
      <c r="M78" s="208"/>
      <c r="N78" s="209" t="str">
        <f>IF(K78="Cf",((VLOOKUP(L78,'C. Prod.'!D:J,7,FALSE)*M78)/J78),IF(K78="Cv",VLOOKUP(L78,'C. Prod.'!D:J,7,FALSE),""))</f>
        <v/>
      </c>
      <c r="O78" s="351"/>
    </row>
    <row r="79" spans="8:18" x14ac:dyDescent="0.25">
      <c r="H79" s="222">
        <f t="shared" si="18"/>
        <v>5</v>
      </c>
      <c r="I79" s="221" t="str">
        <f t="shared" si="19"/>
        <v>R. avellana</v>
      </c>
      <c r="J79" s="222">
        <f t="shared" si="20"/>
        <v>288</v>
      </c>
      <c r="K79" s="211" t="s">
        <v>219</v>
      </c>
      <c r="L79" s="210" t="s">
        <v>220</v>
      </c>
      <c r="M79" s="208"/>
      <c r="N79" s="209">
        <f>SUM(N69:N78)</f>
        <v>1734.9263975694448</v>
      </c>
    </row>
    <row r="80" spans="8:18" x14ac:dyDescent="0.25">
      <c r="H80" s="222">
        <f t="shared" si="18"/>
        <v>5</v>
      </c>
      <c r="I80" s="221" t="str">
        <f t="shared" si="19"/>
        <v>R. avellana</v>
      </c>
      <c r="J80" s="222">
        <f t="shared" si="20"/>
        <v>288</v>
      </c>
      <c r="K80" s="211" t="s">
        <v>221</v>
      </c>
      <c r="L80" s="210" t="s">
        <v>222</v>
      </c>
      <c r="M80" s="208"/>
      <c r="N80" s="217">
        <f>+(N81/N79)-1</f>
        <v>1.5937699756625419</v>
      </c>
    </row>
    <row r="81" spans="8:18" ht="14.25" thickBot="1" x14ac:dyDescent="0.3">
      <c r="H81" s="224">
        <f>+H69</f>
        <v>5</v>
      </c>
      <c r="I81" s="223" t="str">
        <f t="shared" si="19"/>
        <v>R. avellana</v>
      </c>
      <c r="J81" s="224">
        <f t="shared" si="20"/>
        <v>288</v>
      </c>
      <c r="K81" s="219" t="s">
        <v>223</v>
      </c>
      <c r="L81" s="214" t="s">
        <v>224</v>
      </c>
      <c r="M81" s="215"/>
      <c r="N81" s="216">
        <f>_xlfn.XLOOKUP(I81,C:C,E:E)</f>
        <v>4500</v>
      </c>
      <c r="O81" s="349">
        <f t="shared" ref="O81" si="21">+H81</f>
        <v>5</v>
      </c>
    </row>
    <row r="82" spans="8:18" ht="14.25" thickBot="1" x14ac:dyDescent="0.3"/>
    <row r="83" spans="8:18" ht="14.25" thickBot="1" x14ac:dyDescent="0.3">
      <c r="H83" s="189" t="s">
        <v>201</v>
      </c>
      <c r="I83" s="189" t="s">
        <v>159</v>
      </c>
      <c r="J83" s="189" t="s">
        <v>50</v>
      </c>
      <c r="K83" s="189" t="s">
        <v>46</v>
      </c>
      <c r="L83" s="189" t="s">
        <v>47</v>
      </c>
      <c r="M83" s="189" t="s">
        <v>210</v>
      </c>
      <c r="N83" s="189" t="s">
        <v>211</v>
      </c>
      <c r="P83" s="350" t="s">
        <v>61</v>
      </c>
      <c r="Q83" s="349">
        <f>SUMIF(K84:K93,P83,N84:N93)</f>
        <v>830.23000000000013</v>
      </c>
      <c r="R83" s="210">
        <f>+Q83*J84</f>
        <v>239106.24000000005</v>
      </c>
    </row>
    <row r="84" spans="8:18" x14ac:dyDescent="0.25">
      <c r="H84" s="218">
        <f>+H69+1</f>
        <v>6</v>
      </c>
      <c r="I84" s="220" t="s">
        <v>212</v>
      </c>
      <c r="J84" s="218">
        <f>_xlfn.XLOOKUP(I84,C:C,D:D)</f>
        <v>288</v>
      </c>
      <c r="K84" s="218" t="str">
        <f>_xlfn.XLOOKUP(L84,'C. Prod.'!D:D,'C. Prod.'!C:C)</f>
        <v>Cv</v>
      </c>
      <c r="L84" s="212" t="s">
        <v>62</v>
      </c>
      <c r="M84" s="213"/>
      <c r="N84" s="209">
        <f>IF(K84="Cf",((VLOOKUP(L84,'C. Prod.'!D:J,7,FALSE)*M84)/J84),IF(K84="Cv",VLOOKUP(L84,'C. Prod.'!D:J,7,FALSE),""))</f>
        <v>137</v>
      </c>
      <c r="O84" s="351"/>
    </row>
    <row r="85" spans="8:18" x14ac:dyDescent="0.25">
      <c r="H85" s="222">
        <f>+H84</f>
        <v>6</v>
      </c>
      <c r="I85" s="221" t="str">
        <f>+I84</f>
        <v>R. arequipe</v>
      </c>
      <c r="J85" s="222">
        <f>+J84</f>
        <v>288</v>
      </c>
      <c r="K85" s="218" t="str">
        <f>_xlfn.XLOOKUP(L85,'C. Prod.'!D:D,'C. Prod.'!C:C)</f>
        <v>Cv</v>
      </c>
      <c r="L85" s="212" t="s">
        <v>64</v>
      </c>
      <c r="M85" s="213"/>
      <c r="N85" s="209">
        <f>IF(K85="Cf",((VLOOKUP(L85,'C. Prod.'!D:J,7,FALSE)*M85)/J85),IF(K85="Cv",VLOOKUP(L85,'C. Prod.'!D:J,7,FALSE),""))</f>
        <v>486.67</v>
      </c>
      <c r="O85" s="351"/>
    </row>
    <row r="86" spans="8:18" x14ac:dyDescent="0.25">
      <c r="H86" s="222">
        <f t="shared" ref="H86:H95" si="22">+H85</f>
        <v>6</v>
      </c>
      <c r="I86" s="221" t="str">
        <f t="shared" ref="I86:I96" si="23">+I85</f>
        <v>R. arequipe</v>
      </c>
      <c r="J86" s="222">
        <f t="shared" ref="J86:J96" si="24">+J85</f>
        <v>288</v>
      </c>
      <c r="K86" s="218" t="str">
        <f>_xlfn.XLOOKUP(L86,'C. Prod.'!D:D,'C. Prod.'!C:C)</f>
        <v>Cv</v>
      </c>
      <c r="L86" s="212" t="s">
        <v>66</v>
      </c>
      <c r="M86" s="213"/>
      <c r="N86" s="209">
        <f>IF(K86="Cf",((VLOOKUP(L86,'C. Prod.'!D:J,7,FALSE)*M86)/J86),IF(K86="Cv",VLOOKUP(L86,'C. Prod.'!D:J,7,FALSE),""))</f>
        <v>10.86</v>
      </c>
      <c r="O86" s="351"/>
    </row>
    <row r="87" spans="8:18" x14ac:dyDescent="0.25">
      <c r="H87" s="222">
        <f t="shared" si="22"/>
        <v>6</v>
      </c>
      <c r="I87" s="221" t="str">
        <f t="shared" si="23"/>
        <v>R. arequipe</v>
      </c>
      <c r="J87" s="222">
        <f t="shared" si="24"/>
        <v>288</v>
      </c>
      <c r="K87" s="218" t="str">
        <f>_xlfn.XLOOKUP(L87,'C. Prod.'!D:D,'C. Prod.'!C:C)</f>
        <v>Cv</v>
      </c>
      <c r="L87" s="210" t="s">
        <v>72</v>
      </c>
      <c r="M87" s="213"/>
      <c r="N87" s="209">
        <f>IF(K87="Cf",((VLOOKUP(L87,'C. Prod.'!D:J,7,FALSE)*M87)/J87),IF(K87="Cv",VLOOKUP(L87,'C. Prod.'!D:J,7,FALSE),""))</f>
        <v>176</v>
      </c>
      <c r="O87" s="351"/>
    </row>
    <row r="88" spans="8:18" x14ac:dyDescent="0.25">
      <c r="H88" s="222">
        <f t="shared" si="22"/>
        <v>6</v>
      </c>
      <c r="I88" s="221" t="str">
        <f t="shared" si="23"/>
        <v>R. arequipe</v>
      </c>
      <c r="J88" s="222">
        <f t="shared" si="24"/>
        <v>288</v>
      </c>
      <c r="K88" s="218" t="str">
        <f>_xlfn.XLOOKUP(L88,'C. Prod.'!D:D,'C. Prod.'!C:C)</f>
        <v>Cv</v>
      </c>
      <c r="L88" s="210" t="s">
        <v>70</v>
      </c>
      <c r="M88" s="213"/>
      <c r="N88" s="209">
        <f>IF(K88="Cf",((VLOOKUP(L88,'C. Prod.'!D:J,7,FALSE)*M88)/J88),IF(K88="Cv",VLOOKUP(L88,'C. Prod.'!D:J,7,FALSE),""))</f>
        <v>19.7</v>
      </c>
      <c r="O88" s="351"/>
    </row>
    <row r="89" spans="8:18" x14ac:dyDescent="0.25">
      <c r="H89" s="222">
        <f t="shared" si="22"/>
        <v>6</v>
      </c>
      <c r="I89" s="221" t="str">
        <f t="shared" si="23"/>
        <v>R. arequipe</v>
      </c>
      <c r="J89" s="222">
        <f t="shared" si="24"/>
        <v>288</v>
      </c>
      <c r="K89" s="218" t="str">
        <f>_xlfn.XLOOKUP(L89,'C. Prod.'!D:D,'C. Prod.'!C:C)</f>
        <v>Cf</v>
      </c>
      <c r="L89" s="212" t="s">
        <v>100</v>
      </c>
      <c r="M89" s="213">
        <v>0.12</v>
      </c>
      <c r="N89" s="209">
        <f>IF(K89="Cf",((VLOOKUP(L89,'C. Prod.'!D:J,7,FALSE)*M89)/J89),IF(K89="Cv",VLOOKUP(L89,'C. Prod.'!D:J,7,FALSE),""))</f>
        <v>8.3333333333333339</v>
      </c>
      <c r="O89" s="351"/>
    </row>
    <row r="90" spans="8:18" x14ac:dyDescent="0.25">
      <c r="H90" s="222">
        <f t="shared" si="22"/>
        <v>6</v>
      </c>
      <c r="I90" s="221" t="str">
        <f t="shared" si="23"/>
        <v>R. arequipe</v>
      </c>
      <c r="J90" s="222">
        <f t="shared" si="24"/>
        <v>288</v>
      </c>
      <c r="K90" s="218" t="str">
        <f>_xlfn.XLOOKUP(L90,'C. Prod.'!D:D,'C. Prod.'!C:C)</f>
        <v>Cf</v>
      </c>
      <c r="L90" s="212" t="s">
        <v>92</v>
      </c>
      <c r="M90" s="213">
        <v>0.1</v>
      </c>
      <c r="N90" s="209">
        <f>IF(K90="Cf",((VLOOKUP(L90,'C. Prod.'!D:J,7,FALSE)*M90)/J90),IF(K90="Cv",VLOOKUP(L90,'C. Prod.'!D:J,7,FALSE),""))</f>
        <v>17.743055555555557</v>
      </c>
      <c r="O90" s="351"/>
    </row>
    <row r="91" spans="8:18" x14ac:dyDescent="0.25">
      <c r="H91" s="222">
        <f t="shared" si="22"/>
        <v>6</v>
      </c>
      <c r="I91" s="221" t="str">
        <f t="shared" si="23"/>
        <v>R. arequipe</v>
      </c>
      <c r="J91" s="222">
        <f t="shared" si="24"/>
        <v>288</v>
      </c>
      <c r="K91" s="218" t="str">
        <f>_xlfn.XLOOKUP(L91,'C. Prod.'!D:D,'C. Prod.'!C:C)</f>
        <v>Cf</v>
      </c>
      <c r="L91" s="212" t="s">
        <v>176</v>
      </c>
      <c r="M91" s="307">
        <v>6.25E-2</v>
      </c>
      <c r="N91" s="209">
        <f>IF(K91="Cf",((VLOOKUP(L91,'C. Prod.'!D:J,7,FALSE)*M91)/J91),IF(K91="Cv",VLOOKUP(L91,'C. Prod.'!D:J,7,FALSE),""))</f>
        <v>429.62000868055554</v>
      </c>
      <c r="O91" s="351"/>
    </row>
    <row r="92" spans="8:18" x14ac:dyDescent="0.25">
      <c r="H92" s="222">
        <f t="shared" si="22"/>
        <v>6</v>
      </c>
      <c r="I92" s="221" t="str">
        <f t="shared" si="23"/>
        <v>R. arequipe</v>
      </c>
      <c r="J92" s="222">
        <f t="shared" si="24"/>
        <v>288</v>
      </c>
      <c r="K92" s="218">
        <f>_xlfn.XLOOKUP(L92,'C. Prod.'!D:D,'C. Prod.'!C:C)</f>
        <v>0</v>
      </c>
      <c r="L92" s="212"/>
      <c r="M92" s="213"/>
      <c r="N92" s="209" t="str">
        <f>IF(K92="Cf",((VLOOKUP(L92,'C. Prod.'!D:J,7,FALSE)*M92)/J92),IF(K92="Cv",VLOOKUP(L92,'C. Prod.'!D:J,7,FALSE),""))</f>
        <v/>
      </c>
      <c r="O92" s="351"/>
    </row>
    <row r="93" spans="8:18" x14ac:dyDescent="0.25">
      <c r="H93" s="222">
        <f t="shared" si="22"/>
        <v>6</v>
      </c>
      <c r="I93" s="221" t="str">
        <f t="shared" si="23"/>
        <v>R. arequipe</v>
      </c>
      <c r="J93" s="222">
        <f t="shared" si="24"/>
        <v>288</v>
      </c>
      <c r="K93" s="218"/>
      <c r="L93" s="212"/>
      <c r="M93" s="208"/>
      <c r="N93" s="209" t="str">
        <f>IF(K93="Cf",((VLOOKUP(L93,'C. Prod.'!D:J,7,FALSE)*M93)/J93),IF(K93="Cv",VLOOKUP(L93,'C. Prod.'!D:J,7,FALSE),""))</f>
        <v/>
      </c>
      <c r="O93" s="351"/>
    </row>
    <row r="94" spans="8:18" x14ac:dyDescent="0.25">
      <c r="H94" s="222">
        <f t="shared" si="22"/>
        <v>6</v>
      </c>
      <c r="I94" s="221" t="str">
        <f t="shared" si="23"/>
        <v>R. arequipe</v>
      </c>
      <c r="J94" s="222">
        <f t="shared" si="24"/>
        <v>288</v>
      </c>
      <c r="K94" s="211" t="s">
        <v>219</v>
      </c>
      <c r="L94" s="210" t="s">
        <v>220</v>
      </c>
      <c r="M94" s="208"/>
      <c r="N94" s="209">
        <f>SUM(N84:N93)</f>
        <v>1285.9263975694446</v>
      </c>
    </row>
    <row r="95" spans="8:18" x14ac:dyDescent="0.25">
      <c r="H95" s="222">
        <f t="shared" si="22"/>
        <v>6</v>
      </c>
      <c r="I95" s="221" t="str">
        <f t="shared" si="23"/>
        <v>R. arequipe</v>
      </c>
      <c r="J95" s="222">
        <f t="shared" si="24"/>
        <v>288</v>
      </c>
      <c r="K95" s="211" t="s">
        <v>221</v>
      </c>
      <c r="L95" s="210" t="s">
        <v>222</v>
      </c>
      <c r="M95" s="208"/>
      <c r="N95" s="217">
        <f>+(N96/N94)-1</f>
        <v>2.1105979374562032</v>
      </c>
    </row>
    <row r="96" spans="8:18" ht="14.25" thickBot="1" x14ac:dyDescent="0.3">
      <c r="H96" s="224">
        <f>+H84</f>
        <v>6</v>
      </c>
      <c r="I96" s="223" t="str">
        <f t="shared" si="23"/>
        <v>R. arequipe</v>
      </c>
      <c r="J96" s="224">
        <f t="shared" si="24"/>
        <v>288</v>
      </c>
      <c r="K96" s="219" t="s">
        <v>223</v>
      </c>
      <c r="L96" s="214" t="s">
        <v>224</v>
      </c>
      <c r="M96" s="215"/>
      <c r="N96" s="216">
        <f>_xlfn.XLOOKUP(I96,C:C,E:E)</f>
        <v>4000</v>
      </c>
      <c r="O96" s="349">
        <f t="shared" ref="O96" si="25">+H96</f>
        <v>6</v>
      </c>
    </row>
    <row r="97" spans="8:18" ht="14.25" thickBot="1" x14ac:dyDescent="0.3"/>
    <row r="98" spans="8:18" ht="14.25" thickBot="1" x14ac:dyDescent="0.3">
      <c r="H98" s="189" t="s">
        <v>201</v>
      </c>
      <c r="I98" s="189" t="s">
        <v>159</v>
      </c>
      <c r="J98" s="189" t="s">
        <v>50</v>
      </c>
      <c r="K98" s="189" t="s">
        <v>46</v>
      </c>
      <c r="L98" s="189" t="s">
        <v>47</v>
      </c>
      <c r="M98" s="189" t="s">
        <v>210</v>
      </c>
      <c r="N98" s="189" t="s">
        <v>211</v>
      </c>
      <c r="P98" s="350" t="s">
        <v>61</v>
      </c>
      <c r="Q98" s="349">
        <f>SUMIF(K99:K108,P98,N99:N108)</f>
        <v>934.23000000000013</v>
      </c>
      <c r="R98" s="210">
        <f>+Q98*J99</f>
        <v>269058.24000000005</v>
      </c>
    </row>
    <row r="99" spans="8:18" x14ac:dyDescent="0.25">
      <c r="H99" s="218">
        <f>+H84+1</f>
        <v>7</v>
      </c>
      <c r="I99" s="220" t="s">
        <v>213</v>
      </c>
      <c r="J99" s="218">
        <f>_xlfn.XLOOKUP(I99,C:C,D:D)</f>
        <v>288</v>
      </c>
      <c r="K99" s="218" t="str">
        <f>_xlfn.XLOOKUP(L99,'C. Prod.'!D:D,'C. Prod.'!C:C)</f>
        <v>Cv</v>
      </c>
      <c r="L99" s="212" t="s">
        <v>62</v>
      </c>
      <c r="M99" s="213"/>
      <c r="N99" s="209">
        <f>IF(K99="Cf",((VLOOKUP(L99,'C. Prod.'!D:J,7,FALSE)*M99)/J99),IF(K99="Cv",VLOOKUP(L99,'C. Prod.'!D:J,7,FALSE),""))</f>
        <v>137</v>
      </c>
      <c r="O99" s="351"/>
    </row>
    <row r="100" spans="8:18" x14ac:dyDescent="0.25">
      <c r="H100" s="222">
        <f>+H99</f>
        <v>7</v>
      </c>
      <c r="I100" s="221" t="str">
        <f>+I99</f>
        <v>R. fresa</v>
      </c>
      <c r="J100" s="222">
        <f>+J99</f>
        <v>288</v>
      </c>
      <c r="K100" s="218" t="str">
        <f>_xlfn.XLOOKUP(L100,'C. Prod.'!D:D,'C. Prod.'!C:C)</f>
        <v>Cv</v>
      </c>
      <c r="L100" s="212" t="s">
        <v>64</v>
      </c>
      <c r="M100" s="213"/>
      <c r="N100" s="209">
        <f>IF(K100="Cf",((VLOOKUP(L100,'C. Prod.'!D:J,7,FALSE)*M100)/J100),IF(K100="Cv",VLOOKUP(L100,'C. Prod.'!D:J,7,FALSE),""))</f>
        <v>486.67</v>
      </c>
      <c r="O100" s="351"/>
    </row>
    <row r="101" spans="8:18" x14ac:dyDescent="0.25">
      <c r="H101" s="222">
        <f t="shared" ref="H101:H110" si="26">+H100</f>
        <v>7</v>
      </c>
      <c r="I101" s="221" t="str">
        <f t="shared" ref="I101:I111" si="27">+I100</f>
        <v>R. fresa</v>
      </c>
      <c r="J101" s="222">
        <f t="shared" ref="J101:J111" si="28">+J100</f>
        <v>288</v>
      </c>
      <c r="K101" s="218" t="str">
        <f>_xlfn.XLOOKUP(L101,'C. Prod.'!D:D,'C. Prod.'!C:C)</f>
        <v>Cv</v>
      </c>
      <c r="L101" s="212" t="s">
        <v>66</v>
      </c>
      <c r="M101" s="213"/>
      <c r="N101" s="209">
        <f>IF(K101="Cf",((VLOOKUP(L101,'C. Prod.'!D:J,7,FALSE)*M101)/J101),IF(K101="Cv",VLOOKUP(L101,'C. Prod.'!D:J,7,FALSE),""))</f>
        <v>10.86</v>
      </c>
      <c r="O101" s="351"/>
    </row>
    <row r="102" spans="8:18" x14ac:dyDescent="0.25">
      <c r="H102" s="222">
        <f t="shared" si="26"/>
        <v>7</v>
      </c>
      <c r="I102" s="221" t="str">
        <f t="shared" si="27"/>
        <v>R. fresa</v>
      </c>
      <c r="J102" s="222">
        <f t="shared" si="28"/>
        <v>288</v>
      </c>
      <c r="K102" s="218" t="str">
        <f>_xlfn.XLOOKUP(L102,'C. Prod.'!D:D,'C. Prod.'!C:C)</f>
        <v>Cv</v>
      </c>
      <c r="L102" s="210" t="s">
        <v>79</v>
      </c>
      <c r="M102" s="213"/>
      <c r="N102" s="209">
        <f>IF(K102="Cf",((VLOOKUP(L102,'C. Prod.'!D:J,7,FALSE)*M102)/J102),IF(K102="Cv",VLOOKUP(L102,'C. Prod.'!D:J,7,FALSE),""))</f>
        <v>280</v>
      </c>
      <c r="O102" s="351"/>
    </row>
    <row r="103" spans="8:18" x14ac:dyDescent="0.25">
      <c r="H103" s="222">
        <f t="shared" si="26"/>
        <v>7</v>
      </c>
      <c r="I103" s="221" t="str">
        <f t="shared" si="27"/>
        <v>R. fresa</v>
      </c>
      <c r="J103" s="222">
        <f t="shared" si="28"/>
        <v>288</v>
      </c>
      <c r="K103" s="218" t="str">
        <f>_xlfn.XLOOKUP(L103,'C. Prod.'!D:D,'C. Prod.'!C:C)</f>
        <v>Cv</v>
      </c>
      <c r="L103" s="210" t="s">
        <v>70</v>
      </c>
      <c r="M103" s="213"/>
      <c r="N103" s="209">
        <f>IF(K103="Cf",((VLOOKUP(L103,'C. Prod.'!D:J,7,FALSE)*M103)/J103),IF(K103="Cv",VLOOKUP(L103,'C. Prod.'!D:J,7,FALSE),""))</f>
        <v>19.7</v>
      </c>
      <c r="O103" s="351"/>
    </row>
    <row r="104" spans="8:18" x14ac:dyDescent="0.25">
      <c r="H104" s="222">
        <f t="shared" si="26"/>
        <v>7</v>
      </c>
      <c r="I104" s="221" t="str">
        <f t="shared" si="27"/>
        <v>R. fresa</v>
      </c>
      <c r="J104" s="222">
        <f t="shared" si="28"/>
        <v>288</v>
      </c>
      <c r="K104" s="218" t="str">
        <f>_xlfn.XLOOKUP(L104,'C. Prod.'!D:D,'C. Prod.'!C:C)</f>
        <v>Cf</v>
      </c>
      <c r="L104" s="212" t="s">
        <v>100</v>
      </c>
      <c r="M104" s="213">
        <v>0.12</v>
      </c>
      <c r="N104" s="209">
        <f>IF(K104="Cf",((VLOOKUP(L104,'C. Prod.'!D:J,7,FALSE)*M104)/J104),IF(K104="Cv",VLOOKUP(L104,'C. Prod.'!D:J,7,FALSE),""))</f>
        <v>8.3333333333333339</v>
      </c>
      <c r="O104" s="351"/>
    </row>
    <row r="105" spans="8:18" x14ac:dyDescent="0.25">
      <c r="H105" s="222">
        <f t="shared" si="26"/>
        <v>7</v>
      </c>
      <c r="I105" s="221" t="str">
        <f t="shared" si="27"/>
        <v>R. fresa</v>
      </c>
      <c r="J105" s="222">
        <f t="shared" si="28"/>
        <v>288</v>
      </c>
      <c r="K105" s="218" t="str">
        <f>_xlfn.XLOOKUP(L105,'C. Prod.'!D:D,'C. Prod.'!C:C)</f>
        <v>Cf</v>
      </c>
      <c r="L105" s="212" t="s">
        <v>92</v>
      </c>
      <c r="M105" s="213">
        <v>0.1</v>
      </c>
      <c r="N105" s="209">
        <f>IF(K105="Cf",((VLOOKUP(L105,'C. Prod.'!D:J,7,FALSE)*M105)/J105),IF(K105="Cv",VLOOKUP(L105,'C. Prod.'!D:J,7,FALSE),""))</f>
        <v>17.743055555555557</v>
      </c>
      <c r="O105" s="351"/>
    </row>
    <row r="106" spans="8:18" x14ac:dyDescent="0.25">
      <c r="H106" s="222">
        <f t="shared" si="26"/>
        <v>7</v>
      </c>
      <c r="I106" s="221" t="str">
        <f t="shared" si="27"/>
        <v>R. fresa</v>
      </c>
      <c r="J106" s="222">
        <f t="shared" si="28"/>
        <v>288</v>
      </c>
      <c r="K106" s="218" t="str">
        <f>_xlfn.XLOOKUP(L106,'C. Prod.'!D:D,'C. Prod.'!C:C)</f>
        <v>Cf</v>
      </c>
      <c r="L106" s="212" t="s">
        <v>176</v>
      </c>
      <c r="M106" s="307">
        <v>6.25E-2</v>
      </c>
      <c r="N106" s="209">
        <f>IF(K106="Cf",((VLOOKUP(L106,'C. Prod.'!D:J,7,FALSE)*M106)/J106),IF(K106="Cv",VLOOKUP(L106,'C. Prod.'!D:J,7,FALSE),""))</f>
        <v>429.62000868055554</v>
      </c>
      <c r="O106" s="351"/>
    </row>
    <row r="107" spans="8:18" x14ac:dyDescent="0.25">
      <c r="H107" s="222">
        <f t="shared" si="26"/>
        <v>7</v>
      </c>
      <c r="I107" s="221" t="str">
        <f t="shared" si="27"/>
        <v>R. fresa</v>
      </c>
      <c r="J107" s="222">
        <f t="shared" si="28"/>
        <v>288</v>
      </c>
      <c r="K107" s="218">
        <f>_xlfn.XLOOKUP(L107,'C. Prod.'!D:D,'C. Prod.'!C:C)</f>
        <v>0</v>
      </c>
      <c r="L107" s="212"/>
      <c r="M107" s="213"/>
      <c r="N107" s="209" t="str">
        <f>IF(K107="Cf",((VLOOKUP(L107,'C. Prod.'!D:J,7,FALSE)*M107)/J107),IF(K107="Cv",VLOOKUP(L107,'C. Prod.'!D:J,7,FALSE),""))</f>
        <v/>
      </c>
      <c r="O107" s="351"/>
    </row>
    <row r="108" spans="8:18" x14ac:dyDescent="0.25">
      <c r="H108" s="222">
        <f t="shared" si="26"/>
        <v>7</v>
      </c>
      <c r="I108" s="221" t="str">
        <f t="shared" si="27"/>
        <v>R. fresa</v>
      </c>
      <c r="J108" s="222">
        <f t="shared" si="28"/>
        <v>288</v>
      </c>
      <c r="K108" s="218"/>
      <c r="L108" s="212"/>
      <c r="M108" s="208"/>
      <c r="N108" s="209" t="str">
        <f>IF(K108="Cf",((VLOOKUP(L108,'C. Prod.'!D:J,7,FALSE)*M108)/J108),IF(K108="Cv",VLOOKUP(L108,'C. Prod.'!D:J,7,FALSE),""))</f>
        <v/>
      </c>
      <c r="O108" s="351"/>
    </row>
    <row r="109" spans="8:18" x14ac:dyDescent="0.25">
      <c r="H109" s="222">
        <f t="shared" si="26"/>
        <v>7</v>
      </c>
      <c r="I109" s="221" t="str">
        <f t="shared" si="27"/>
        <v>R. fresa</v>
      </c>
      <c r="J109" s="222">
        <f t="shared" si="28"/>
        <v>288</v>
      </c>
      <c r="K109" s="211" t="s">
        <v>219</v>
      </c>
      <c r="L109" s="210" t="s">
        <v>220</v>
      </c>
      <c r="M109" s="208"/>
      <c r="N109" s="209">
        <f>SUM(N99:N108)</f>
        <v>1389.9263975694446</v>
      </c>
    </row>
    <row r="110" spans="8:18" x14ac:dyDescent="0.25">
      <c r="H110" s="222">
        <f t="shared" si="26"/>
        <v>7</v>
      </c>
      <c r="I110" s="221" t="str">
        <f t="shared" si="27"/>
        <v>R. fresa</v>
      </c>
      <c r="J110" s="222">
        <f t="shared" si="28"/>
        <v>288</v>
      </c>
      <c r="K110" s="211" t="s">
        <v>221</v>
      </c>
      <c r="L110" s="210" t="s">
        <v>222</v>
      </c>
      <c r="M110" s="208"/>
      <c r="N110" s="217">
        <f>+(N111/N109)-1</f>
        <v>1.8778502278931994</v>
      </c>
    </row>
    <row r="111" spans="8:18" ht="14.25" thickBot="1" x14ac:dyDescent="0.3">
      <c r="H111" s="224">
        <f>+H99</f>
        <v>7</v>
      </c>
      <c r="I111" s="223" t="str">
        <f t="shared" si="27"/>
        <v>R. fresa</v>
      </c>
      <c r="J111" s="224">
        <f t="shared" si="28"/>
        <v>288</v>
      </c>
      <c r="K111" s="219" t="s">
        <v>223</v>
      </c>
      <c r="L111" s="214" t="s">
        <v>224</v>
      </c>
      <c r="M111" s="215"/>
      <c r="N111" s="216">
        <f>_xlfn.XLOOKUP(I111,C:C,E:E)</f>
        <v>4000</v>
      </c>
      <c r="O111" s="349">
        <f t="shared" ref="O111" si="29">+H111</f>
        <v>7</v>
      </c>
    </row>
    <row r="112" spans="8:18" ht="14.25" thickBot="1" x14ac:dyDescent="0.3"/>
    <row r="113" spans="8:18" ht="14.25" thickBot="1" x14ac:dyDescent="0.3">
      <c r="H113" s="189" t="s">
        <v>201</v>
      </c>
      <c r="I113" s="189" t="s">
        <v>159</v>
      </c>
      <c r="J113" s="189" t="s">
        <v>50</v>
      </c>
      <c r="K113" s="189" t="s">
        <v>46</v>
      </c>
      <c r="L113" s="189" t="s">
        <v>47</v>
      </c>
      <c r="M113" s="189" t="s">
        <v>210</v>
      </c>
      <c r="N113" s="189" t="s">
        <v>211</v>
      </c>
      <c r="P113" s="350" t="s">
        <v>61</v>
      </c>
      <c r="Q113" s="349">
        <f>SUMIF(K114:K123,P113,N114:N123)</f>
        <v>922.23000000000013</v>
      </c>
      <c r="R113" s="210">
        <f>+Q113*J114</f>
        <v>265602.24000000005</v>
      </c>
    </row>
    <row r="114" spans="8:18" x14ac:dyDescent="0.25">
      <c r="H114" s="218">
        <f>+H99+1</f>
        <v>8</v>
      </c>
      <c r="I114" s="220" t="s">
        <v>214</v>
      </c>
      <c r="J114" s="218">
        <f>_xlfn.XLOOKUP(I114,C:C,D:D)</f>
        <v>288</v>
      </c>
      <c r="K114" s="218" t="str">
        <f>_xlfn.XLOOKUP(L114,'C. Prod.'!D:D,'C. Prod.'!C:C)</f>
        <v>Cv</v>
      </c>
      <c r="L114" s="212" t="s">
        <v>62</v>
      </c>
      <c r="M114" s="213"/>
      <c r="N114" s="209">
        <f>IF(K114="Cf",((VLOOKUP(L114,'C. Prod.'!D:J,7,FALSE)*M114)/J114),IF(K114="Cv",VLOOKUP(L114,'C. Prod.'!D:J,7,FALSE),""))</f>
        <v>137</v>
      </c>
      <c r="O114" s="351"/>
    </row>
    <row r="115" spans="8:18" x14ac:dyDescent="0.25">
      <c r="H115" s="222">
        <f>+H114</f>
        <v>8</v>
      </c>
      <c r="I115" s="221" t="str">
        <f>+I114</f>
        <v>R. mora</v>
      </c>
      <c r="J115" s="222">
        <f>+J114</f>
        <v>288</v>
      </c>
      <c r="K115" s="218" t="str">
        <f>_xlfn.XLOOKUP(L115,'C. Prod.'!D:D,'C. Prod.'!C:C)</f>
        <v>Cv</v>
      </c>
      <c r="L115" s="212" t="s">
        <v>64</v>
      </c>
      <c r="M115" s="213"/>
      <c r="N115" s="209">
        <f>IF(K115="Cf",((VLOOKUP(L115,'C. Prod.'!D:J,7,FALSE)*M115)/J115),IF(K115="Cv",VLOOKUP(L115,'C. Prod.'!D:J,7,FALSE),""))</f>
        <v>486.67</v>
      </c>
      <c r="O115" s="351"/>
    </row>
    <row r="116" spans="8:18" x14ac:dyDescent="0.25">
      <c r="H116" s="222">
        <f t="shared" ref="H116:H125" si="30">+H115</f>
        <v>8</v>
      </c>
      <c r="I116" s="221" t="str">
        <f t="shared" ref="I116:I126" si="31">+I115</f>
        <v>R. mora</v>
      </c>
      <c r="J116" s="222">
        <f t="shared" ref="J116:J126" si="32">+J115</f>
        <v>288</v>
      </c>
      <c r="K116" s="218" t="str">
        <f>_xlfn.XLOOKUP(L116,'C. Prod.'!D:D,'C. Prod.'!C:C)</f>
        <v>Cv</v>
      </c>
      <c r="L116" s="212" t="s">
        <v>66</v>
      </c>
      <c r="M116" s="213"/>
      <c r="N116" s="209">
        <f>IF(K116="Cf",((VLOOKUP(L116,'C. Prod.'!D:J,7,FALSE)*M116)/J116),IF(K116="Cv",VLOOKUP(L116,'C. Prod.'!D:J,7,FALSE),""))</f>
        <v>10.86</v>
      </c>
      <c r="O116" s="351"/>
    </row>
    <row r="117" spans="8:18" x14ac:dyDescent="0.25">
      <c r="H117" s="222">
        <f t="shared" si="30"/>
        <v>8</v>
      </c>
      <c r="I117" s="221" t="str">
        <f t="shared" si="31"/>
        <v>R. mora</v>
      </c>
      <c r="J117" s="222">
        <f t="shared" si="32"/>
        <v>288</v>
      </c>
      <c r="K117" s="218" t="str">
        <f>_xlfn.XLOOKUP(L117,'C. Prod.'!D:D,'C. Prod.'!C:C)</f>
        <v>Cv</v>
      </c>
      <c r="L117" s="210" t="s">
        <v>80</v>
      </c>
      <c r="M117" s="213"/>
      <c r="N117" s="209">
        <f>IF(K117="Cf",((VLOOKUP(L117,'C. Prod.'!D:J,7,FALSE)*M117)/J117),IF(K117="Cv",VLOOKUP(L117,'C. Prod.'!D:J,7,FALSE),""))</f>
        <v>268</v>
      </c>
      <c r="O117" s="351"/>
    </row>
    <row r="118" spans="8:18" x14ac:dyDescent="0.25">
      <c r="H118" s="222">
        <f t="shared" si="30"/>
        <v>8</v>
      </c>
      <c r="I118" s="221" t="str">
        <f t="shared" si="31"/>
        <v>R. mora</v>
      </c>
      <c r="J118" s="222">
        <f t="shared" si="32"/>
        <v>288</v>
      </c>
      <c r="K118" s="218" t="str">
        <f>_xlfn.XLOOKUP(L118,'C. Prod.'!D:D,'C. Prod.'!C:C)</f>
        <v>Cv</v>
      </c>
      <c r="L118" s="210" t="s">
        <v>70</v>
      </c>
      <c r="M118" s="213"/>
      <c r="N118" s="209">
        <f>IF(K118="Cf",((VLOOKUP(L118,'C. Prod.'!D:J,7,FALSE)*M118)/J118),IF(K118="Cv",VLOOKUP(L118,'C. Prod.'!D:J,7,FALSE),""))</f>
        <v>19.7</v>
      </c>
      <c r="O118" s="351"/>
    </row>
    <row r="119" spans="8:18" x14ac:dyDescent="0.25">
      <c r="H119" s="222">
        <f t="shared" si="30"/>
        <v>8</v>
      </c>
      <c r="I119" s="221" t="str">
        <f t="shared" si="31"/>
        <v>R. mora</v>
      </c>
      <c r="J119" s="222">
        <f t="shared" si="32"/>
        <v>288</v>
      </c>
      <c r="K119" s="218" t="str">
        <f>_xlfn.XLOOKUP(L119,'C. Prod.'!D:D,'C. Prod.'!C:C)</f>
        <v>Cf</v>
      </c>
      <c r="L119" s="212" t="s">
        <v>100</v>
      </c>
      <c r="M119" s="213">
        <v>0.12</v>
      </c>
      <c r="N119" s="209">
        <f>IF(K119="Cf",((VLOOKUP(L119,'C. Prod.'!D:J,7,FALSE)*M119)/J119),IF(K119="Cv",VLOOKUP(L119,'C. Prod.'!D:J,7,FALSE),""))</f>
        <v>8.3333333333333339</v>
      </c>
      <c r="O119" s="351"/>
    </row>
    <row r="120" spans="8:18" x14ac:dyDescent="0.25">
      <c r="H120" s="222">
        <f t="shared" si="30"/>
        <v>8</v>
      </c>
      <c r="I120" s="221" t="str">
        <f t="shared" si="31"/>
        <v>R. mora</v>
      </c>
      <c r="J120" s="222">
        <f t="shared" si="32"/>
        <v>288</v>
      </c>
      <c r="K120" s="218" t="str">
        <f>_xlfn.XLOOKUP(L120,'C. Prod.'!D:D,'C. Prod.'!C:C)</f>
        <v>Cf</v>
      </c>
      <c r="L120" s="212" t="s">
        <v>92</v>
      </c>
      <c r="M120" s="213">
        <v>0.1</v>
      </c>
      <c r="N120" s="209">
        <f>IF(K120="Cf",((VLOOKUP(L120,'C. Prod.'!D:J,7,FALSE)*M120)/J120),IF(K120="Cv",VLOOKUP(L120,'C. Prod.'!D:J,7,FALSE),""))</f>
        <v>17.743055555555557</v>
      </c>
      <c r="O120" s="351"/>
    </row>
    <row r="121" spans="8:18" x14ac:dyDescent="0.25">
      <c r="H121" s="222">
        <f t="shared" si="30"/>
        <v>8</v>
      </c>
      <c r="I121" s="221" t="str">
        <f t="shared" si="31"/>
        <v>R. mora</v>
      </c>
      <c r="J121" s="222">
        <f t="shared" si="32"/>
        <v>288</v>
      </c>
      <c r="K121" s="218" t="str">
        <f>_xlfn.XLOOKUP(L121,'C. Prod.'!D:D,'C. Prod.'!C:C)</f>
        <v>Cf</v>
      </c>
      <c r="L121" s="212" t="s">
        <v>176</v>
      </c>
      <c r="M121" s="307">
        <v>6.25E-2</v>
      </c>
      <c r="N121" s="209">
        <f>IF(K121="Cf",((VLOOKUP(L121,'C. Prod.'!D:J,7,FALSE)*M121)/J121),IF(K121="Cv",VLOOKUP(L121,'C. Prod.'!D:J,7,FALSE),""))</f>
        <v>429.62000868055554</v>
      </c>
      <c r="O121" s="351"/>
    </row>
    <row r="122" spans="8:18" x14ac:dyDescent="0.25">
      <c r="H122" s="222">
        <f t="shared" si="30"/>
        <v>8</v>
      </c>
      <c r="I122" s="221" t="str">
        <f t="shared" si="31"/>
        <v>R. mora</v>
      </c>
      <c r="J122" s="222">
        <f t="shared" si="32"/>
        <v>288</v>
      </c>
      <c r="K122" s="218">
        <f>_xlfn.XLOOKUP(L122,'C. Prod.'!D:D,'C. Prod.'!C:C)</f>
        <v>0</v>
      </c>
      <c r="L122" s="212"/>
      <c r="M122" s="213"/>
      <c r="N122" s="209" t="str">
        <f>IF(K122="Cf",((VLOOKUP(L122,'C. Prod.'!D:J,7,FALSE)*M122)/J122),IF(K122="Cv",VLOOKUP(L122,'C. Prod.'!D:J,7,FALSE),""))</f>
        <v/>
      </c>
      <c r="O122" s="351"/>
    </row>
    <row r="123" spans="8:18" x14ac:dyDescent="0.25">
      <c r="H123" s="222">
        <f t="shared" si="30"/>
        <v>8</v>
      </c>
      <c r="I123" s="221" t="str">
        <f t="shared" si="31"/>
        <v>R. mora</v>
      </c>
      <c r="J123" s="222">
        <f t="shared" si="32"/>
        <v>288</v>
      </c>
      <c r="K123" s="218"/>
      <c r="L123" s="212"/>
      <c r="M123" s="208"/>
      <c r="N123" s="209" t="str">
        <f>IF(K123="Cf",((VLOOKUP(L123,'C. Prod.'!D:J,7,FALSE)*M123)/J123),IF(K123="Cv",VLOOKUP(L123,'C. Prod.'!D:J,7,FALSE),""))</f>
        <v/>
      </c>
      <c r="O123" s="351"/>
    </row>
    <row r="124" spans="8:18" x14ac:dyDescent="0.25">
      <c r="H124" s="222">
        <f t="shared" si="30"/>
        <v>8</v>
      </c>
      <c r="I124" s="221" t="str">
        <f t="shared" si="31"/>
        <v>R. mora</v>
      </c>
      <c r="J124" s="222">
        <f t="shared" si="32"/>
        <v>288</v>
      </c>
      <c r="K124" s="211" t="s">
        <v>219</v>
      </c>
      <c r="L124" s="210" t="s">
        <v>220</v>
      </c>
      <c r="M124" s="208"/>
      <c r="N124" s="209">
        <f>SUM(N114:N123)</f>
        <v>1377.9263975694446</v>
      </c>
    </row>
    <row r="125" spans="8:18" x14ac:dyDescent="0.25">
      <c r="H125" s="222">
        <f t="shared" si="30"/>
        <v>8</v>
      </c>
      <c r="I125" s="221" t="str">
        <f t="shared" si="31"/>
        <v>R. mora</v>
      </c>
      <c r="J125" s="222">
        <f t="shared" si="32"/>
        <v>288</v>
      </c>
      <c r="K125" s="211" t="s">
        <v>221</v>
      </c>
      <c r="L125" s="210" t="s">
        <v>222</v>
      </c>
      <c r="M125" s="208"/>
      <c r="N125" s="217">
        <f>+(N126/N124)-1</f>
        <v>1.9029126715735254</v>
      </c>
    </row>
    <row r="126" spans="8:18" ht="14.25" thickBot="1" x14ac:dyDescent="0.3">
      <c r="H126" s="224">
        <f>+H114</f>
        <v>8</v>
      </c>
      <c r="I126" s="223" t="str">
        <f t="shared" si="31"/>
        <v>R. mora</v>
      </c>
      <c r="J126" s="224">
        <f t="shared" si="32"/>
        <v>288</v>
      </c>
      <c r="K126" s="219" t="s">
        <v>223</v>
      </c>
      <c r="L126" s="214" t="s">
        <v>224</v>
      </c>
      <c r="M126" s="215"/>
      <c r="N126" s="216">
        <f>_xlfn.XLOOKUP(I126,C:C,E:E)</f>
        <v>4000</v>
      </c>
      <c r="O126" s="349">
        <f t="shared" ref="O126" si="33">+H126</f>
        <v>8</v>
      </c>
    </row>
    <row r="127" spans="8:18" ht="14.25" thickBot="1" x14ac:dyDescent="0.3"/>
    <row r="128" spans="8:18" ht="14.25" thickBot="1" x14ac:dyDescent="0.3">
      <c r="H128" s="189" t="s">
        <v>201</v>
      </c>
      <c r="I128" s="189" t="s">
        <v>159</v>
      </c>
      <c r="J128" s="189" t="s">
        <v>50</v>
      </c>
      <c r="K128" s="189" t="s">
        <v>46</v>
      </c>
      <c r="L128" s="189" t="s">
        <v>47</v>
      </c>
      <c r="M128" s="189" t="s">
        <v>210</v>
      </c>
      <c r="N128" s="189" t="s">
        <v>211</v>
      </c>
      <c r="P128" s="350" t="s">
        <v>61</v>
      </c>
      <c r="Q128" s="349">
        <f>SUMIF(K129:K138,P128,N129:N138)</f>
        <v>974.23000000000013</v>
      </c>
      <c r="R128" s="210">
        <f>+Q128*J129</f>
        <v>280578.24000000005</v>
      </c>
    </row>
    <row r="129" spans="8:18" x14ac:dyDescent="0.25">
      <c r="H129" s="218">
        <f>+H114+1</f>
        <v>9</v>
      </c>
      <c r="I129" s="220" t="s">
        <v>215</v>
      </c>
      <c r="J129" s="218">
        <f>_xlfn.XLOOKUP(I129,C:C,D:D)</f>
        <v>288</v>
      </c>
      <c r="K129" s="218" t="str">
        <f>_xlfn.XLOOKUP(L129,'C. Prod.'!D:D,'C. Prod.'!C:C)</f>
        <v>Cv</v>
      </c>
      <c r="L129" s="212" t="s">
        <v>62</v>
      </c>
      <c r="M129" s="213"/>
      <c r="N129" s="209">
        <f>IF(K129="Cf",((VLOOKUP(L129,'C. Prod.'!D:J,7,FALSE)*M129)/J129),IF(K129="Cv",VLOOKUP(L129,'C. Prod.'!D:J,7,FALSE),""))</f>
        <v>137</v>
      </c>
      <c r="O129" s="351"/>
    </row>
    <row r="130" spans="8:18" x14ac:dyDescent="0.25">
      <c r="H130" s="222">
        <f>+H129</f>
        <v>9</v>
      </c>
      <c r="I130" s="221" t="str">
        <f>+I129</f>
        <v>R. frutos amarillos</v>
      </c>
      <c r="J130" s="222">
        <f>+J129</f>
        <v>288</v>
      </c>
      <c r="K130" s="218" t="str">
        <f>_xlfn.XLOOKUP(L130,'C. Prod.'!D:D,'C. Prod.'!C:C)</f>
        <v>Cv</v>
      </c>
      <c r="L130" s="212" t="s">
        <v>64</v>
      </c>
      <c r="M130" s="213"/>
      <c r="N130" s="209">
        <f>IF(K130="Cf",((VLOOKUP(L130,'C. Prod.'!D:J,7,FALSE)*M130)/J130),IF(K130="Cv",VLOOKUP(L130,'C. Prod.'!D:J,7,FALSE),""))</f>
        <v>486.67</v>
      </c>
      <c r="O130" s="351"/>
    </row>
    <row r="131" spans="8:18" x14ac:dyDescent="0.25">
      <c r="H131" s="222">
        <f t="shared" ref="H131:H140" si="34">+H130</f>
        <v>9</v>
      </c>
      <c r="I131" s="221" t="str">
        <f t="shared" ref="I131:I141" si="35">+I130</f>
        <v>R. frutos amarillos</v>
      </c>
      <c r="J131" s="222">
        <f t="shared" ref="J131:J141" si="36">+J130</f>
        <v>288</v>
      </c>
      <c r="K131" s="218" t="str">
        <f>_xlfn.XLOOKUP(L131,'C. Prod.'!D:D,'C. Prod.'!C:C)</f>
        <v>Cv</v>
      </c>
      <c r="L131" s="212" t="s">
        <v>66</v>
      </c>
      <c r="M131" s="213"/>
      <c r="N131" s="209">
        <f>IF(K131="Cf",((VLOOKUP(L131,'C. Prod.'!D:J,7,FALSE)*M131)/J131),IF(K131="Cv",VLOOKUP(L131,'C. Prod.'!D:J,7,FALSE),""))</f>
        <v>10.86</v>
      </c>
      <c r="O131" s="351"/>
    </row>
    <row r="132" spans="8:18" x14ac:dyDescent="0.25">
      <c r="H132" s="222">
        <f t="shared" si="34"/>
        <v>9</v>
      </c>
      <c r="I132" s="221" t="str">
        <f t="shared" si="35"/>
        <v>R. frutos amarillos</v>
      </c>
      <c r="J132" s="222">
        <f t="shared" si="36"/>
        <v>288</v>
      </c>
      <c r="K132" s="218" t="str">
        <f>_xlfn.XLOOKUP(L132,'C. Prod.'!D:D,'C. Prod.'!C:C)</f>
        <v>Cv</v>
      </c>
      <c r="L132" s="210" t="s">
        <v>81</v>
      </c>
      <c r="M132" s="213"/>
      <c r="N132" s="209">
        <f>IF(K132="Cf",((VLOOKUP(L132,'C. Prod.'!D:J,7,FALSE)*M132)/J132),IF(K132="Cv",VLOOKUP(L132,'C. Prod.'!D:J,7,FALSE),""))</f>
        <v>320</v>
      </c>
      <c r="O132" s="351"/>
    </row>
    <row r="133" spans="8:18" x14ac:dyDescent="0.25">
      <c r="H133" s="222">
        <f t="shared" si="34"/>
        <v>9</v>
      </c>
      <c r="I133" s="221" t="str">
        <f t="shared" si="35"/>
        <v>R. frutos amarillos</v>
      </c>
      <c r="J133" s="222">
        <f t="shared" si="36"/>
        <v>288</v>
      </c>
      <c r="K133" s="218" t="str">
        <f>_xlfn.XLOOKUP(L133,'C. Prod.'!D:D,'C. Prod.'!C:C)</f>
        <v>Cv</v>
      </c>
      <c r="L133" s="210" t="s">
        <v>70</v>
      </c>
      <c r="M133" s="213"/>
      <c r="N133" s="209">
        <f>IF(K133="Cf",((VLOOKUP(L133,'C. Prod.'!D:J,7,FALSE)*M133)/J133),IF(K133="Cv",VLOOKUP(L133,'C. Prod.'!D:J,7,FALSE),""))</f>
        <v>19.7</v>
      </c>
      <c r="O133" s="351"/>
    </row>
    <row r="134" spans="8:18" x14ac:dyDescent="0.25">
      <c r="H134" s="222">
        <f t="shared" si="34"/>
        <v>9</v>
      </c>
      <c r="I134" s="221" t="str">
        <f t="shared" si="35"/>
        <v>R. frutos amarillos</v>
      </c>
      <c r="J134" s="222">
        <f t="shared" si="36"/>
        <v>288</v>
      </c>
      <c r="K134" s="218" t="str">
        <f>_xlfn.XLOOKUP(L134,'C. Prod.'!D:D,'C. Prod.'!C:C)</f>
        <v>Cf</v>
      </c>
      <c r="L134" s="212" t="s">
        <v>100</v>
      </c>
      <c r="M134" s="213">
        <v>0.12</v>
      </c>
      <c r="N134" s="209">
        <f>IF(K134="Cf",((VLOOKUP(L134,'C. Prod.'!D:J,7,FALSE)*M134)/J134),IF(K134="Cv",VLOOKUP(L134,'C. Prod.'!D:J,7,FALSE),""))</f>
        <v>8.3333333333333339</v>
      </c>
      <c r="O134" s="351"/>
    </row>
    <row r="135" spans="8:18" x14ac:dyDescent="0.25">
      <c r="H135" s="222">
        <f t="shared" si="34"/>
        <v>9</v>
      </c>
      <c r="I135" s="221" t="str">
        <f t="shared" si="35"/>
        <v>R. frutos amarillos</v>
      </c>
      <c r="J135" s="222">
        <f t="shared" si="36"/>
        <v>288</v>
      </c>
      <c r="K135" s="218" t="str">
        <f>_xlfn.XLOOKUP(L135,'C. Prod.'!D:D,'C. Prod.'!C:C)</f>
        <v>Cf</v>
      </c>
      <c r="L135" s="212" t="s">
        <v>92</v>
      </c>
      <c r="M135" s="213">
        <v>0.1</v>
      </c>
      <c r="N135" s="209">
        <f>IF(K135="Cf",((VLOOKUP(L135,'C. Prod.'!D:J,7,FALSE)*M135)/J135),IF(K135="Cv",VLOOKUP(L135,'C. Prod.'!D:J,7,FALSE),""))</f>
        <v>17.743055555555557</v>
      </c>
      <c r="O135" s="351"/>
    </row>
    <row r="136" spans="8:18" x14ac:dyDescent="0.25">
      <c r="H136" s="222">
        <f t="shared" si="34"/>
        <v>9</v>
      </c>
      <c r="I136" s="221" t="str">
        <f t="shared" si="35"/>
        <v>R. frutos amarillos</v>
      </c>
      <c r="J136" s="222">
        <f t="shared" si="36"/>
        <v>288</v>
      </c>
      <c r="K136" s="218" t="str">
        <f>_xlfn.XLOOKUP(L136,'C. Prod.'!D:D,'C. Prod.'!C:C)</f>
        <v>Cf</v>
      </c>
      <c r="L136" s="212" t="s">
        <v>176</v>
      </c>
      <c r="M136" s="307">
        <v>6.25E-2</v>
      </c>
      <c r="N136" s="209">
        <f>IF(K136="Cf",((VLOOKUP(L136,'C. Prod.'!D:J,7,FALSE)*M136)/J136),IF(K136="Cv",VLOOKUP(L136,'C. Prod.'!D:J,7,FALSE),""))</f>
        <v>429.62000868055554</v>
      </c>
      <c r="O136" s="351"/>
    </row>
    <row r="137" spans="8:18" x14ac:dyDescent="0.25">
      <c r="H137" s="222">
        <f t="shared" si="34"/>
        <v>9</v>
      </c>
      <c r="I137" s="221" t="str">
        <f t="shared" si="35"/>
        <v>R. frutos amarillos</v>
      </c>
      <c r="J137" s="222">
        <f t="shared" si="36"/>
        <v>288</v>
      </c>
      <c r="K137" s="218">
        <f>_xlfn.XLOOKUP(L137,'C. Prod.'!D:D,'C. Prod.'!C:C)</f>
        <v>0</v>
      </c>
      <c r="L137" s="212"/>
      <c r="M137" s="213"/>
      <c r="N137" s="209" t="str">
        <f>IF(K137="Cf",((VLOOKUP(L137,'C. Prod.'!D:J,7,FALSE)*M137)/J137),IF(K137="Cv",VLOOKUP(L137,'C. Prod.'!D:J,7,FALSE),""))</f>
        <v/>
      </c>
      <c r="O137" s="351"/>
    </row>
    <row r="138" spans="8:18" x14ac:dyDescent="0.25">
      <c r="H138" s="222">
        <f t="shared" si="34"/>
        <v>9</v>
      </c>
      <c r="I138" s="221" t="str">
        <f t="shared" si="35"/>
        <v>R. frutos amarillos</v>
      </c>
      <c r="J138" s="222">
        <f t="shared" si="36"/>
        <v>288</v>
      </c>
      <c r="K138" s="218"/>
      <c r="L138" s="212"/>
      <c r="M138" s="208"/>
      <c r="N138" s="209" t="str">
        <f>IF(K138="Cf",((VLOOKUP(L138,'C. Prod.'!D:J,7,FALSE)*M138)/J138),IF(K138="Cv",VLOOKUP(L138,'C. Prod.'!D:J,7,FALSE),""))</f>
        <v/>
      </c>
      <c r="O138" s="351"/>
    </row>
    <row r="139" spans="8:18" x14ac:dyDescent="0.25">
      <c r="H139" s="222">
        <f t="shared" si="34"/>
        <v>9</v>
      </c>
      <c r="I139" s="221" t="str">
        <f t="shared" si="35"/>
        <v>R. frutos amarillos</v>
      </c>
      <c r="J139" s="222">
        <f t="shared" si="36"/>
        <v>288</v>
      </c>
      <c r="K139" s="211" t="s">
        <v>219</v>
      </c>
      <c r="L139" s="210" t="s">
        <v>220</v>
      </c>
      <c r="M139" s="208"/>
      <c r="N139" s="209">
        <f>SUM(N129:N138)</f>
        <v>1429.9263975694446</v>
      </c>
    </row>
    <row r="140" spans="8:18" x14ac:dyDescent="0.25">
      <c r="H140" s="222">
        <f t="shared" si="34"/>
        <v>9</v>
      </c>
      <c r="I140" s="221" t="str">
        <f t="shared" si="35"/>
        <v>R. frutos amarillos</v>
      </c>
      <c r="J140" s="222">
        <f t="shared" si="36"/>
        <v>288</v>
      </c>
      <c r="K140" s="211" t="s">
        <v>221</v>
      </c>
      <c r="L140" s="210" t="s">
        <v>222</v>
      </c>
      <c r="M140" s="208"/>
      <c r="N140" s="217">
        <f>+(N141/N139)-1</f>
        <v>1.7973467772880523</v>
      </c>
    </row>
    <row r="141" spans="8:18" ht="14.25" thickBot="1" x14ac:dyDescent="0.3">
      <c r="H141" s="224">
        <f>+H129</f>
        <v>9</v>
      </c>
      <c r="I141" s="223" t="str">
        <f t="shared" si="35"/>
        <v>R. frutos amarillos</v>
      </c>
      <c r="J141" s="224">
        <f t="shared" si="36"/>
        <v>288</v>
      </c>
      <c r="K141" s="219" t="s">
        <v>223</v>
      </c>
      <c r="L141" s="214" t="s">
        <v>224</v>
      </c>
      <c r="M141" s="215"/>
      <c r="N141" s="216">
        <f>_xlfn.XLOOKUP(I141,C:C,E:E)</f>
        <v>4000</v>
      </c>
      <c r="O141" s="349">
        <f t="shared" ref="O141" si="37">+H141</f>
        <v>9</v>
      </c>
    </row>
    <row r="142" spans="8:18" ht="14.25" thickBot="1" x14ac:dyDescent="0.3"/>
    <row r="143" spans="8:18" ht="14.25" thickBot="1" x14ac:dyDescent="0.3">
      <c r="H143" s="189" t="s">
        <v>201</v>
      </c>
      <c r="I143" s="189" t="s">
        <v>159</v>
      </c>
      <c r="J143" s="189" t="s">
        <v>50</v>
      </c>
      <c r="K143" s="189" t="s">
        <v>46</v>
      </c>
      <c r="L143" s="189" t="s">
        <v>47</v>
      </c>
      <c r="M143" s="189" t="s">
        <v>210</v>
      </c>
      <c r="N143" s="189" t="s">
        <v>211</v>
      </c>
      <c r="P143" s="350" t="s">
        <v>61</v>
      </c>
      <c r="Q143" s="349">
        <f>SUMIF(K144:K153,P143,N144:N153)</f>
        <v>2580</v>
      </c>
      <c r="R143" s="210">
        <f>+Q143*J144</f>
        <v>433440</v>
      </c>
    </row>
    <row r="144" spans="8:18" x14ac:dyDescent="0.25">
      <c r="H144" s="218">
        <f>+H129+1</f>
        <v>10</v>
      </c>
      <c r="I144" s="220" t="s">
        <v>216</v>
      </c>
      <c r="J144" s="218">
        <f>_xlfn.XLOOKUP(I144,C:C,D:D)</f>
        <v>168</v>
      </c>
      <c r="K144" s="218" t="str">
        <f>_xlfn.XLOOKUP(L144,'C. Prod.'!D:D,'C. Prod.'!C:C)</f>
        <v>Cv</v>
      </c>
      <c r="L144" s="225" t="s">
        <v>166</v>
      </c>
      <c r="M144" s="213"/>
      <c r="N144" s="209">
        <f>IF(K144="Cf",((VLOOKUP(L144,'C. Prod.'!D:J,7,FALSE)*M144)/J144),IF(K144="Cv",VLOOKUP(L144,'C. Prod.'!D:J,7,FALSE),""))</f>
        <v>1250</v>
      </c>
      <c r="O144" s="351"/>
    </row>
    <row r="145" spans="8:18" x14ac:dyDescent="0.25">
      <c r="H145" s="222">
        <f>+H144</f>
        <v>10</v>
      </c>
      <c r="I145" s="221" t="str">
        <f>+I144</f>
        <v>Jugo lulo</v>
      </c>
      <c r="J145" s="222">
        <f>+J144</f>
        <v>168</v>
      </c>
      <c r="K145" s="218" t="str">
        <f>_xlfn.XLOOKUP(L145,'C. Prod.'!D:D,'C. Prod.'!C:C)</f>
        <v>Cv</v>
      </c>
      <c r="L145" s="225" t="s">
        <v>95</v>
      </c>
      <c r="M145" s="213"/>
      <c r="N145" s="209">
        <f>IF(K145="Cf",((VLOOKUP(L145,'C. Prod.'!D:J,7,FALSE)*M145)/J145),IF(K145="Cv",VLOOKUP(L145,'C. Prod.'!D:J,7,FALSE),""))</f>
        <v>10</v>
      </c>
      <c r="O145" s="351"/>
    </row>
    <row r="146" spans="8:18" x14ac:dyDescent="0.25">
      <c r="H146" s="222">
        <f t="shared" ref="H146:H155" si="38">+H145</f>
        <v>10</v>
      </c>
      <c r="I146" s="221" t="str">
        <f t="shared" ref="I146:I156" si="39">+I145</f>
        <v>Jugo lulo</v>
      </c>
      <c r="J146" s="222">
        <f t="shared" ref="J146:J156" si="40">+J145</f>
        <v>168</v>
      </c>
      <c r="K146" s="218" t="str">
        <f>_xlfn.XLOOKUP(L146,'C. Prod.'!D:D,'C. Prod.'!C:C)</f>
        <v>Cv</v>
      </c>
      <c r="L146" s="225" t="s">
        <v>82</v>
      </c>
      <c r="M146" s="213"/>
      <c r="N146" s="209">
        <f>IF(K146="Cf",((VLOOKUP(L146,'C. Prod.'!D:J,7,FALSE)*M146)/J146),IF(K146="Cv",VLOOKUP(L146,'C. Prod.'!D:J,7,FALSE),""))</f>
        <v>1320</v>
      </c>
      <c r="O146" s="351"/>
    </row>
    <row r="147" spans="8:18" x14ac:dyDescent="0.25">
      <c r="H147" s="222">
        <f t="shared" si="38"/>
        <v>10</v>
      </c>
      <c r="I147" s="221" t="str">
        <f t="shared" si="39"/>
        <v>Jugo lulo</v>
      </c>
      <c r="J147" s="222">
        <f t="shared" si="40"/>
        <v>168</v>
      </c>
      <c r="K147" s="218" t="str">
        <f>_xlfn.XLOOKUP(L147,'C. Prod.'!D:D,'C. Prod.'!C:C)</f>
        <v>Cf</v>
      </c>
      <c r="L147" s="212" t="s">
        <v>176</v>
      </c>
      <c r="M147" s="307">
        <v>6.25E-2</v>
      </c>
      <c r="N147" s="209">
        <f>IF(K147="Cf",((VLOOKUP(L147,'C. Prod.'!D:J,7,FALSE)*M147)/J147),IF(K147="Cv",VLOOKUP(L147,'C. Prod.'!D:J,7,FALSE),""))</f>
        <v>736.49144345238096</v>
      </c>
      <c r="O147" s="351"/>
    </row>
    <row r="148" spans="8:18" x14ac:dyDescent="0.25">
      <c r="H148" s="222">
        <f t="shared" si="38"/>
        <v>10</v>
      </c>
      <c r="I148" s="221" t="str">
        <f t="shared" si="39"/>
        <v>Jugo lulo</v>
      </c>
      <c r="J148" s="222">
        <f t="shared" si="40"/>
        <v>168</v>
      </c>
      <c r="K148" s="218">
        <f>_xlfn.XLOOKUP(L148,'C. Prod.'!D:D,'C. Prod.'!C:C)</f>
        <v>0</v>
      </c>
      <c r="L148" s="212"/>
      <c r="M148" s="213"/>
      <c r="N148" s="209" t="str">
        <f>IF(K148="Cf",((VLOOKUP(L148,'C. Prod.'!D:J,7,FALSE)*M148)/J148),IF(K148="Cv",VLOOKUP(L148,'C. Prod.'!D:J,7,FALSE),""))</f>
        <v/>
      </c>
      <c r="O148" s="351"/>
    </row>
    <row r="149" spans="8:18" x14ac:dyDescent="0.25">
      <c r="H149" s="222">
        <f t="shared" si="38"/>
        <v>10</v>
      </c>
      <c r="I149" s="221" t="str">
        <f t="shared" si="39"/>
        <v>Jugo lulo</v>
      </c>
      <c r="J149" s="222">
        <f t="shared" si="40"/>
        <v>168</v>
      </c>
      <c r="K149" s="218">
        <f>_xlfn.XLOOKUP(L149,'C. Prod.'!D:D,'C. Prod.'!C:C)</f>
        <v>0</v>
      </c>
      <c r="L149" s="212"/>
      <c r="M149" s="213"/>
      <c r="N149" s="209" t="str">
        <f>IF(K149="Cf",((VLOOKUP(L149,'C. Prod.'!D:J,7,FALSE)*M149)/J149),IF(K149="Cv",VLOOKUP(L149,'C. Prod.'!D:J,7,FALSE),""))</f>
        <v/>
      </c>
      <c r="O149" s="351"/>
    </row>
    <row r="150" spans="8:18" x14ac:dyDescent="0.25">
      <c r="H150" s="222">
        <f t="shared" si="38"/>
        <v>10</v>
      </c>
      <c r="I150" s="221" t="str">
        <f t="shared" si="39"/>
        <v>Jugo lulo</v>
      </c>
      <c r="J150" s="222">
        <f t="shared" si="40"/>
        <v>168</v>
      </c>
      <c r="K150" s="218">
        <f>_xlfn.XLOOKUP(L150,'C. Prod.'!D:D,'C. Prod.'!C:C)</f>
        <v>0</v>
      </c>
      <c r="L150" s="212"/>
      <c r="M150" s="213"/>
      <c r="N150" s="209" t="str">
        <f>IF(K150="Cf",((VLOOKUP(L150,'C. Prod.'!D:J,7,FALSE)*M150)/J150),IF(K150="Cv",VLOOKUP(L150,'C. Prod.'!D:J,7,FALSE),""))</f>
        <v/>
      </c>
      <c r="O150" s="351"/>
    </row>
    <row r="151" spans="8:18" x14ac:dyDescent="0.25">
      <c r="H151" s="222">
        <f t="shared" si="38"/>
        <v>10</v>
      </c>
      <c r="I151" s="221" t="str">
        <f t="shared" si="39"/>
        <v>Jugo lulo</v>
      </c>
      <c r="J151" s="222">
        <f t="shared" si="40"/>
        <v>168</v>
      </c>
      <c r="K151" s="218">
        <f>_xlfn.XLOOKUP(L151,'C. Prod.'!D:D,'C. Prod.'!C:C)</f>
        <v>0</v>
      </c>
      <c r="L151" s="212"/>
      <c r="M151" s="213"/>
      <c r="N151" s="209" t="str">
        <f>IF(K151="Cf",((VLOOKUP(L151,'C. Prod.'!D:J,7,FALSE)*M151)/J151),IF(K151="Cv",VLOOKUP(L151,'C. Prod.'!D:J,7,FALSE),""))</f>
        <v/>
      </c>
      <c r="O151" s="351"/>
    </row>
    <row r="152" spans="8:18" x14ac:dyDescent="0.25">
      <c r="H152" s="222">
        <f t="shared" si="38"/>
        <v>10</v>
      </c>
      <c r="I152" s="221" t="str">
        <f t="shared" si="39"/>
        <v>Jugo lulo</v>
      </c>
      <c r="J152" s="222">
        <f t="shared" si="40"/>
        <v>168</v>
      </c>
      <c r="K152" s="218">
        <f>_xlfn.XLOOKUP(L152,'C. Prod.'!D:D,'C. Prod.'!C:C)</f>
        <v>0</v>
      </c>
      <c r="L152" s="212"/>
      <c r="M152" s="213"/>
      <c r="N152" s="209" t="str">
        <f>IF(K152="Cf",((VLOOKUP(L152,'C. Prod.'!D:J,7,FALSE)*M152)/J152),IF(K152="Cv",VLOOKUP(L152,'C. Prod.'!D:J,7,FALSE),""))</f>
        <v/>
      </c>
      <c r="O152" s="351"/>
    </row>
    <row r="153" spans="8:18" x14ac:dyDescent="0.25">
      <c r="H153" s="222">
        <f t="shared" si="38"/>
        <v>10</v>
      </c>
      <c r="I153" s="221" t="str">
        <f t="shared" si="39"/>
        <v>Jugo lulo</v>
      </c>
      <c r="J153" s="222">
        <f t="shared" si="40"/>
        <v>168</v>
      </c>
      <c r="K153" s="218">
        <f>_xlfn.XLOOKUP(L153,'C. Prod.'!D:D,'C. Prod.'!C:C)</f>
        <v>0</v>
      </c>
      <c r="L153" s="212"/>
      <c r="M153" s="213"/>
      <c r="N153" s="209" t="str">
        <f>IF(K153="Cf",((VLOOKUP(L153,'C. Prod.'!D:J,7,FALSE)*M153)/J153),IF(K153="Cv",VLOOKUP(L153,'C. Prod.'!D:J,7,FALSE),""))</f>
        <v/>
      </c>
      <c r="O153" s="351"/>
    </row>
    <row r="154" spans="8:18" x14ac:dyDescent="0.25">
      <c r="H154" s="222">
        <f t="shared" si="38"/>
        <v>10</v>
      </c>
      <c r="I154" s="221" t="str">
        <f>+I153</f>
        <v>Jugo lulo</v>
      </c>
      <c r="J154" s="222">
        <f>+J153</f>
        <v>168</v>
      </c>
      <c r="K154" s="211" t="s">
        <v>219</v>
      </c>
      <c r="L154" s="210" t="s">
        <v>220</v>
      </c>
      <c r="M154" s="208"/>
      <c r="N154" s="209">
        <f>SUM(N144:N153)</f>
        <v>3316.4914434523807</v>
      </c>
    </row>
    <row r="155" spans="8:18" x14ac:dyDescent="0.25">
      <c r="H155" s="222">
        <f t="shared" si="38"/>
        <v>10</v>
      </c>
      <c r="I155" s="221" t="str">
        <f t="shared" si="39"/>
        <v>Jugo lulo</v>
      </c>
      <c r="J155" s="222">
        <f t="shared" si="40"/>
        <v>168</v>
      </c>
      <c r="K155" s="211" t="s">
        <v>221</v>
      </c>
      <c r="L155" s="210" t="s">
        <v>222</v>
      </c>
      <c r="M155" s="208"/>
      <c r="N155" s="217">
        <f>+(N156/N154)-1</f>
        <v>0.95990253882086618</v>
      </c>
    </row>
    <row r="156" spans="8:18" ht="14.25" thickBot="1" x14ac:dyDescent="0.3">
      <c r="H156" s="224">
        <f>+H144</f>
        <v>10</v>
      </c>
      <c r="I156" s="223" t="str">
        <f t="shared" si="39"/>
        <v>Jugo lulo</v>
      </c>
      <c r="J156" s="224">
        <f t="shared" si="40"/>
        <v>168</v>
      </c>
      <c r="K156" s="219" t="s">
        <v>223</v>
      </c>
      <c r="L156" s="214" t="s">
        <v>224</v>
      </c>
      <c r="M156" s="215"/>
      <c r="N156" s="216">
        <f>_xlfn.XLOOKUP(I156,C:C,E:E)</f>
        <v>6500</v>
      </c>
      <c r="O156" s="349">
        <f t="shared" ref="O156" si="41">+H156</f>
        <v>10</v>
      </c>
    </row>
    <row r="157" spans="8:18" ht="14.25" thickBot="1" x14ac:dyDescent="0.3"/>
    <row r="158" spans="8:18" ht="14.25" thickBot="1" x14ac:dyDescent="0.3">
      <c r="H158" s="189" t="s">
        <v>201</v>
      </c>
      <c r="I158" s="189" t="s">
        <v>159</v>
      </c>
      <c r="J158" s="189" t="s">
        <v>50</v>
      </c>
      <c r="K158" s="189" t="s">
        <v>46</v>
      </c>
      <c r="L158" s="189" t="s">
        <v>47</v>
      </c>
      <c r="M158" s="189" t="s">
        <v>210</v>
      </c>
      <c r="N158" s="189" t="s">
        <v>211</v>
      </c>
      <c r="P158" s="350" t="s">
        <v>61</v>
      </c>
      <c r="Q158" s="349">
        <f>SUMIF(K159:K168,P158,N159:N168)</f>
        <v>2700</v>
      </c>
      <c r="R158" s="210">
        <f>+Q158*J159</f>
        <v>453600</v>
      </c>
    </row>
    <row r="159" spans="8:18" x14ac:dyDescent="0.25">
      <c r="H159" s="218">
        <f>+H144+1</f>
        <v>11</v>
      </c>
      <c r="I159" s="220" t="s">
        <v>217</v>
      </c>
      <c r="J159" s="218">
        <f>_xlfn.XLOOKUP(I159,C:C,D:D)</f>
        <v>168</v>
      </c>
      <c r="K159" s="218" t="str">
        <f>_xlfn.XLOOKUP(L159,'C. Prod.'!D:D,'C. Prod.'!C:C)</f>
        <v>Cv</v>
      </c>
      <c r="L159" s="225" t="s">
        <v>166</v>
      </c>
      <c r="M159" s="213"/>
      <c r="N159" s="209">
        <f>IF(K159="Cf",((VLOOKUP(L159,'C. Prod.'!D:J,7,FALSE)*M159)/J159),IF(K159="Cv",VLOOKUP(L159,'C. Prod.'!D:J,7,FALSE),""))</f>
        <v>1250</v>
      </c>
      <c r="O159" s="351"/>
    </row>
    <row r="160" spans="8:18" x14ac:dyDescent="0.25">
      <c r="H160" s="222">
        <f>+H159</f>
        <v>11</v>
      </c>
      <c r="I160" s="221" t="str">
        <f>+I159</f>
        <v>Jugo mora</v>
      </c>
      <c r="J160" s="222">
        <f>+J159</f>
        <v>168</v>
      </c>
      <c r="K160" s="218" t="str">
        <f>_xlfn.XLOOKUP(L160,'C. Prod.'!D:D,'C. Prod.'!C:C)</f>
        <v>Cv</v>
      </c>
      <c r="L160" s="225" t="s">
        <v>95</v>
      </c>
      <c r="M160" s="213"/>
      <c r="N160" s="209">
        <f>IF(K160="Cf",((VLOOKUP(L160,'C. Prod.'!D:J,7,FALSE)*M160)/J160),IF(K160="Cv",VLOOKUP(L160,'C. Prod.'!D:J,7,FALSE),""))</f>
        <v>10</v>
      </c>
      <c r="O160" s="351"/>
    </row>
    <row r="161" spans="8:18" x14ac:dyDescent="0.25">
      <c r="H161" s="222">
        <f t="shared" ref="H161:H170" si="42">+H160</f>
        <v>11</v>
      </c>
      <c r="I161" s="221" t="str">
        <f t="shared" ref="I161:I168" si="43">+I160</f>
        <v>Jugo mora</v>
      </c>
      <c r="J161" s="222">
        <f t="shared" ref="J161:J168" si="44">+J160</f>
        <v>168</v>
      </c>
      <c r="K161" s="218" t="str">
        <f>_xlfn.XLOOKUP(L161,'C. Prod.'!D:D,'C. Prod.'!C:C)</f>
        <v>Cv</v>
      </c>
      <c r="L161" s="225" t="s">
        <v>83</v>
      </c>
      <c r="M161" s="213"/>
      <c r="N161" s="209">
        <f>IF(K161="Cf",((VLOOKUP(L161,'C. Prod.'!D:J,7,FALSE)*M161)/J161),IF(K161="Cv",VLOOKUP(L161,'C. Prod.'!D:J,7,FALSE),""))</f>
        <v>1440</v>
      </c>
      <c r="O161" s="351"/>
    </row>
    <row r="162" spans="8:18" x14ac:dyDescent="0.25">
      <c r="H162" s="222">
        <f t="shared" si="42"/>
        <v>11</v>
      </c>
      <c r="I162" s="221" t="str">
        <f t="shared" si="43"/>
        <v>Jugo mora</v>
      </c>
      <c r="J162" s="222">
        <f t="shared" si="44"/>
        <v>168</v>
      </c>
      <c r="K162" s="218" t="str">
        <f>_xlfn.XLOOKUP(L162,'C. Prod.'!D:D,'C. Prod.'!C:C)</f>
        <v>Cf</v>
      </c>
      <c r="L162" s="212" t="s">
        <v>176</v>
      </c>
      <c r="M162" s="307">
        <v>6.25E-2</v>
      </c>
      <c r="N162" s="209">
        <f>IF(K162="Cf",((VLOOKUP(L162,'C. Prod.'!D:J,7,FALSE)*M162)/J162),IF(K162="Cv",VLOOKUP(L162,'C. Prod.'!D:J,7,FALSE),""))</f>
        <v>736.49144345238096</v>
      </c>
      <c r="O162" s="351"/>
    </row>
    <row r="163" spans="8:18" x14ac:dyDescent="0.25">
      <c r="H163" s="222">
        <f t="shared" si="42"/>
        <v>11</v>
      </c>
      <c r="I163" s="221" t="str">
        <f t="shared" si="43"/>
        <v>Jugo mora</v>
      </c>
      <c r="J163" s="222">
        <f t="shared" si="44"/>
        <v>168</v>
      </c>
      <c r="K163" s="218">
        <f>_xlfn.XLOOKUP(L163,'C. Prod.'!D:D,'C. Prod.'!C:C)</f>
        <v>0</v>
      </c>
      <c r="L163" s="212"/>
      <c r="M163" s="213"/>
      <c r="N163" s="209" t="str">
        <f>IF(K163="Cf",((VLOOKUP(L163,'C. Prod.'!D:J,7,FALSE)*M163)/J163),IF(K163="Cv",VLOOKUP(L163,'C. Prod.'!D:J,7,FALSE),""))</f>
        <v/>
      </c>
      <c r="O163" s="351"/>
    </row>
    <row r="164" spans="8:18" x14ac:dyDescent="0.25">
      <c r="H164" s="222">
        <f t="shared" si="42"/>
        <v>11</v>
      </c>
      <c r="I164" s="221" t="str">
        <f t="shared" si="43"/>
        <v>Jugo mora</v>
      </c>
      <c r="J164" s="222">
        <f t="shared" si="44"/>
        <v>168</v>
      </c>
      <c r="K164" s="218">
        <f>_xlfn.XLOOKUP(L164,'C. Prod.'!D:D,'C. Prod.'!C:C)</f>
        <v>0</v>
      </c>
      <c r="L164" s="212"/>
      <c r="M164" s="213"/>
      <c r="N164" s="209" t="str">
        <f>IF(K164="Cf",((VLOOKUP(L164,'C. Prod.'!D:J,7,FALSE)*M164)/J164),IF(K164="Cv",VLOOKUP(L164,'C. Prod.'!D:J,7,FALSE),""))</f>
        <v/>
      </c>
      <c r="O164" s="351"/>
    </row>
    <row r="165" spans="8:18" x14ac:dyDescent="0.25">
      <c r="H165" s="222">
        <f t="shared" si="42"/>
        <v>11</v>
      </c>
      <c r="I165" s="221" t="str">
        <f t="shared" si="43"/>
        <v>Jugo mora</v>
      </c>
      <c r="J165" s="222">
        <f t="shared" si="44"/>
        <v>168</v>
      </c>
      <c r="K165" s="218">
        <f>_xlfn.XLOOKUP(L165,'C. Prod.'!D:D,'C. Prod.'!C:C)</f>
        <v>0</v>
      </c>
      <c r="L165" s="212"/>
      <c r="M165" s="213"/>
      <c r="N165" s="209" t="str">
        <f>IF(K165="Cf",((VLOOKUP(L165,'C. Prod.'!D:J,7,FALSE)*M165)/J165),IF(K165="Cv",VLOOKUP(L165,'C. Prod.'!D:J,7,FALSE),""))</f>
        <v/>
      </c>
      <c r="O165" s="351"/>
    </row>
    <row r="166" spans="8:18" x14ac:dyDescent="0.25">
      <c r="H166" s="222">
        <f t="shared" si="42"/>
        <v>11</v>
      </c>
      <c r="I166" s="221" t="str">
        <f t="shared" si="43"/>
        <v>Jugo mora</v>
      </c>
      <c r="J166" s="222">
        <f t="shared" si="44"/>
        <v>168</v>
      </c>
      <c r="K166" s="218">
        <f>_xlfn.XLOOKUP(L166,'C. Prod.'!D:D,'C. Prod.'!C:C)</f>
        <v>0</v>
      </c>
      <c r="L166" s="212"/>
      <c r="M166" s="213"/>
      <c r="N166" s="209" t="str">
        <f>IF(K166="Cf",((VLOOKUP(L166,'C. Prod.'!D:J,7,FALSE)*M166)/J166),IF(K166="Cv",VLOOKUP(L166,'C. Prod.'!D:J,7,FALSE),""))</f>
        <v/>
      </c>
      <c r="O166" s="351"/>
    </row>
    <row r="167" spans="8:18" x14ac:dyDescent="0.25">
      <c r="H167" s="222">
        <f t="shared" si="42"/>
        <v>11</v>
      </c>
      <c r="I167" s="221" t="str">
        <f t="shared" si="43"/>
        <v>Jugo mora</v>
      </c>
      <c r="J167" s="222">
        <f t="shared" si="44"/>
        <v>168</v>
      </c>
      <c r="K167" s="218">
        <f>_xlfn.XLOOKUP(L167,'C. Prod.'!D:D,'C. Prod.'!C:C)</f>
        <v>0</v>
      </c>
      <c r="L167" s="212"/>
      <c r="M167" s="213"/>
      <c r="N167" s="209" t="str">
        <f>IF(K167="Cf",((VLOOKUP(L167,'C. Prod.'!D:J,7,FALSE)*M167)/J167),IF(K167="Cv",VLOOKUP(L167,'C. Prod.'!D:J,7,FALSE),""))</f>
        <v/>
      </c>
      <c r="O167" s="351"/>
    </row>
    <row r="168" spans="8:18" x14ac:dyDescent="0.25">
      <c r="H168" s="222">
        <f t="shared" si="42"/>
        <v>11</v>
      </c>
      <c r="I168" s="221" t="str">
        <f t="shared" si="43"/>
        <v>Jugo mora</v>
      </c>
      <c r="J168" s="222">
        <f t="shared" si="44"/>
        <v>168</v>
      </c>
      <c r="K168" s="218">
        <f>_xlfn.XLOOKUP(L168,'C. Prod.'!D:D,'C. Prod.'!C:C)</f>
        <v>0</v>
      </c>
      <c r="L168" s="212"/>
      <c r="M168" s="213"/>
      <c r="N168" s="209" t="str">
        <f>IF(K168="Cf",((VLOOKUP(L168,'C. Prod.'!D:J,7,FALSE)*M168)/J168),IF(K168="Cv",VLOOKUP(L168,'C. Prod.'!D:J,7,FALSE),""))</f>
        <v/>
      </c>
      <c r="O168" s="351"/>
    </row>
    <row r="169" spans="8:18" x14ac:dyDescent="0.25">
      <c r="H169" s="222">
        <f t="shared" si="42"/>
        <v>11</v>
      </c>
      <c r="I169" s="221" t="str">
        <f>+I168</f>
        <v>Jugo mora</v>
      </c>
      <c r="J169" s="222">
        <f>+J168</f>
        <v>168</v>
      </c>
      <c r="K169" s="211" t="s">
        <v>219</v>
      </c>
      <c r="L169" s="210" t="s">
        <v>220</v>
      </c>
      <c r="M169" s="208"/>
      <c r="N169" s="209">
        <f>SUM(N159:N168)</f>
        <v>3436.4914434523807</v>
      </c>
    </row>
    <row r="170" spans="8:18" x14ac:dyDescent="0.25">
      <c r="H170" s="222">
        <f t="shared" si="42"/>
        <v>11</v>
      </c>
      <c r="I170" s="221" t="str">
        <f t="shared" ref="I170:I171" si="45">+I169</f>
        <v>Jugo mora</v>
      </c>
      <c r="J170" s="222">
        <f t="shared" ref="J170:J171" si="46">+J169</f>
        <v>168</v>
      </c>
      <c r="K170" s="211" t="s">
        <v>221</v>
      </c>
      <c r="L170" s="210" t="s">
        <v>222</v>
      </c>
      <c r="M170" s="208"/>
      <c r="N170" s="217">
        <f>+(N171/N169)-1</f>
        <v>0.89146404318409878</v>
      </c>
    </row>
    <row r="171" spans="8:18" ht="14.25" thickBot="1" x14ac:dyDescent="0.3">
      <c r="H171" s="224">
        <f>+H159</f>
        <v>11</v>
      </c>
      <c r="I171" s="223" t="str">
        <f t="shared" si="45"/>
        <v>Jugo mora</v>
      </c>
      <c r="J171" s="224">
        <f t="shared" si="46"/>
        <v>168</v>
      </c>
      <c r="K171" s="219" t="s">
        <v>223</v>
      </c>
      <c r="L171" s="214" t="s">
        <v>224</v>
      </c>
      <c r="M171" s="215"/>
      <c r="N171" s="216">
        <f>_xlfn.XLOOKUP(I171,C:C,E:E)</f>
        <v>6500</v>
      </c>
      <c r="O171" s="349">
        <f t="shared" ref="O171" si="47">+H171</f>
        <v>11</v>
      </c>
    </row>
    <row r="172" spans="8:18" ht="14.25" thickBot="1" x14ac:dyDescent="0.3"/>
    <row r="173" spans="8:18" ht="14.25" thickBot="1" x14ac:dyDescent="0.3">
      <c r="H173" s="189" t="s">
        <v>201</v>
      </c>
      <c r="I173" s="189" t="s">
        <v>159</v>
      </c>
      <c r="J173" s="189" t="s">
        <v>50</v>
      </c>
      <c r="K173" s="189" t="s">
        <v>46</v>
      </c>
      <c r="L173" s="189" t="s">
        <v>47</v>
      </c>
      <c r="M173" s="189" t="s">
        <v>210</v>
      </c>
      <c r="N173" s="189" t="s">
        <v>211</v>
      </c>
      <c r="P173" s="350" t="s">
        <v>61</v>
      </c>
      <c r="Q173" s="349">
        <f>SUMIF(K174:K183,P173,N174:N183)</f>
        <v>1860</v>
      </c>
      <c r="R173" s="210">
        <f>+Q173*J174</f>
        <v>186000</v>
      </c>
    </row>
    <row r="174" spans="8:18" x14ac:dyDescent="0.25">
      <c r="H174" s="218">
        <f>+H159+1</f>
        <v>12</v>
      </c>
      <c r="I174" s="220" t="s">
        <v>218</v>
      </c>
      <c r="J174" s="218">
        <f>_xlfn.XLOOKUP(I174,C:C,D:D)</f>
        <v>100</v>
      </c>
      <c r="K174" s="218" t="str">
        <f>_xlfn.XLOOKUP(L174,'C. Prod.'!D:D,'C. Prod.'!C:C)</f>
        <v>Cv</v>
      </c>
      <c r="L174" s="225" t="s">
        <v>166</v>
      </c>
      <c r="M174" s="213"/>
      <c r="N174" s="209">
        <f>IF(K174="Cf",((VLOOKUP(L174,'C. Prod.'!D:J,7,FALSE)*M174)/J174),IF(K174="Cv",VLOOKUP(L174,'C. Prod.'!D:J,7,FALSE),""))</f>
        <v>1250</v>
      </c>
      <c r="O174" s="351"/>
    </row>
    <row r="175" spans="8:18" x14ac:dyDescent="0.25">
      <c r="H175" s="222">
        <f>+H174</f>
        <v>12</v>
      </c>
      <c r="I175" s="221" t="str">
        <f>+I174</f>
        <v>Taza de café</v>
      </c>
      <c r="J175" s="222">
        <f>+J174</f>
        <v>100</v>
      </c>
      <c r="K175" s="218" t="str">
        <f>_xlfn.XLOOKUP(L175,'C. Prod.'!D:D,'C. Prod.'!C:C)</f>
        <v>Cv</v>
      </c>
      <c r="L175" s="225" t="s">
        <v>95</v>
      </c>
      <c r="M175" s="213"/>
      <c r="N175" s="209">
        <f>IF(K175="Cf",((VLOOKUP(L175,'C. Prod.'!D:J,7,FALSE)*M175)/J175),IF(K175="Cv",VLOOKUP(L175,'C. Prod.'!D:J,7,FALSE),""))</f>
        <v>10</v>
      </c>
      <c r="O175" s="351"/>
    </row>
    <row r="176" spans="8:18" x14ac:dyDescent="0.25">
      <c r="H176" s="222">
        <f t="shared" ref="H176:H185" si="48">+H175</f>
        <v>12</v>
      </c>
      <c r="I176" s="221" t="str">
        <f t="shared" ref="I176:I183" si="49">+I175</f>
        <v>Taza de café</v>
      </c>
      <c r="J176" s="222">
        <f t="shared" ref="J176:J183" si="50">+J175</f>
        <v>100</v>
      </c>
      <c r="K176" s="218" t="str">
        <f>_xlfn.XLOOKUP(L176,'C. Prod.'!D:D,'C. Prod.'!C:C)</f>
        <v>Cv</v>
      </c>
      <c r="L176" s="225" t="s">
        <v>56</v>
      </c>
      <c r="M176" s="213"/>
      <c r="N176" s="209">
        <f>IF(K176="Cf",((VLOOKUP(L176,'C. Prod.'!D:J,7,FALSE)*M176)/J176),IF(K176="Cv",VLOOKUP(L176,'C. Prod.'!D:J,7,FALSE),""))</f>
        <v>600</v>
      </c>
      <c r="O176" s="351"/>
    </row>
    <row r="177" spans="8:18" x14ac:dyDescent="0.25">
      <c r="H177" s="222">
        <f t="shared" si="48"/>
        <v>12</v>
      </c>
      <c r="I177" s="221" t="str">
        <f t="shared" si="49"/>
        <v>Taza de café</v>
      </c>
      <c r="J177" s="222">
        <f t="shared" si="50"/>
        <v>100</v>
      </c>
      <c r="K177" s="218" t="str">
        <f>_xlfn.XLOOKUP(L177,'C. Prod.'!D:D,'C. Prod.'!C:C)</f>
        <v>Cf</v>
      </c>
      <c r="L177" s="212" t="s">
        <v>92</v>
      </c>
      <c r="M177" s="213">
        <v>0.1</v>
      </c>
      <c r="N177" s="209">
        <f>IF(K177="Cf",((VLOOKUP(L177,'C. Prod.'!D:J,7,FALSE)*M177)/J177),IF(K177="Cv",VLOOKUP(L177,'C. Prod.'!D:J,7,FALSE),""))</f>
        <v>51.1</v>
      </c>
      <c r="O177" s="351"/>
    </row>
    <row r="178" spans="8:18" x14ac:dyDescent="0.25">
      <c r="H178" s="222">
        <f t="shared" si="48"/>
        <v>12</v>
      </c>
      <c r="I178" s="221" t="str">
        <f t="shared" si="49"/>
        <v>Taza de café</v>
      </c>
      <c r="J178" s="222">
        <f t="shared" si="50"/>
        <v>100</v>
      </c>
      <c r="K178" s="218" t="str">
        <f>_xlfn.XLOOKUP(L178,'C. Prod.'!D:D,'C. Prod.'!C:C)</f>
        <v>Cf</v>
      </c>
      <c r="L178" s="212" t="s">
        <v>176</v>
      </c>
      <c r="M178" s="307">
        <v>6.25E-2</v>
      </c>
      <c r="N178" s="209">
        <f>IF(K178="Cf",((VLOOKUP(L178,'C. Prod.'!D:J,7,FALSE)*M178)/J178),IF(K178="Cv",VLOOKUP(L178,'C. Prod.'!D:J,7,FALSE),""))</f>
        <v>1237.305625</v>
      </c>
      <c r="O178" s="351"/>
    </row>
    <row r="179" spans="8:18" x14ac:dyDescent="0.25">
      <c r="H179" s="222">
        <f t="shared" si="48"/>
        <v>12</v>
      </c>
      <c r="I179" s="221" t="str">
        <f t="shared" si="49"/>
        <v>Taza de café</v>
      </c>
      <c r="J179" s="222">
        <f t="shared" si="50"/>
        <v>100</v>
      </c>
      <c r="K179" s="218">
        <f>_xlfn.XLOOKUP(L179,'C. Prod.'!D:D,'C. Prod.'!C:C)</f>
        <v>0</v>
      </c>
      <c r="L179" s="212"/>
      <c r="M179" s="213"/>
      <c r="N179" s="209" t="str">
        <f>IF(K179="Cf",((VLOOKUP(L179,'C. Prod.'!D:J,7,FALSE)*M179)/J179),IF(K179="Cv",VLOOKUP(L179,'C. Prod.'!D:J,7,FALSE),""))</f>
        <v/>
      </c>
      <c r="O179" s="351"/>
    </row>
    <row r="180" spans="8:18" x14ac:dyDescent="0.25">
      <c r="H180" s="222">
        <f t="shared" si="48"/>
        <v>12</v>
      </c>
      <c r="I180" s="221" t="str">
        <f t="shared" si="49"/>
        <v>Taza de café</v>
      </c>
      <c r="J180" s="222">
        <f t="shared" si="50"/>
        <v>100</v>
      </c>
      <c r="K180" s="218">
        <f>_xlfn.XLOOKUP(L180,'C. Prod.'!D:D,'C. Prod.'!C:C)</f>
        <v>0</v>
      </c>
      <c r="L180" s="212"/>
      <c r="M180" s="213"/>
      <c r="N180" s="209" t="str">
        <f>IF(K180="Cf",((VLOOKUP(L180,'C. Prod.'!D:J,7,FALSE)*M180)/J180),IF(K180="Cv",VLOOKUP(L180,'C. Prod.'!D:J,7,FALSE),""))</f>
        <v/>
      </c>
      <c r="O180" s="351"/>
    </row>
    <row r="181" spans="8:18" x14ac:dyDescent="0.25">
      <c r="H181" s="222">
        <f t="shared" si="48"/>
        <v>12</v>
      </c>
      <c r="I181" s="221" t="str">
        <f t="shared" si="49"/>
        <v>Taza de café</v>
      </c>
      <c r="J181" s="222">
        <f t="shared" si="50"/>
        <v>100</v>
      </c>
      <c r="K181" s="218">
        <f>_xlfn.XLOOKUP(L181,'C. Prod.'!D:D,'C. Prod.'!C:C)</f>
        <v>0</v>
      </c>
      <c r="L181" s="212"/>
      <c r="M181" s="213"/>
      <c r="N181" s="209" t="str">
        <f>IF(K181="Cf",((VLOOKUP(L181,'C. Prod.'!D:J,7,FALSE)*M181)/J181),IF(K181="Cv",VLOOKUP(L181,'C. Prod.'!D:J,7,FALSE),""))</f>
        <v/>
      </c>
      <c r="O181" s="351"/>
    </row>
    <row r="182" spans="8:18" x14ac:dyDescent="0.25">
      <c r="H182" s="222">
        <f t="shared" si="48"/>
        <v>12</v>
      </c>
      <c r="I182" s="221" t="str">
        <f t="shared" si="49"/>
        <v>Taza de café</v>
      </c>
      <c r="J182" s="222">
        <f>+J181</f>
        <v>100</v>
      </c>
      <c r="K182" s="218">
        <f>_xlfn.XLOOKUP(L182,'C. Prod.'!D:D,'C. Prod.'!C:C)</f>
        <v>0</v>
      </c>
      <c r="L182" s="212"/>
      <c r="M182" s="213"/>
      <c r="N182" s="209" t="str">
        <f>IF(K182="Cf",((VLOOKUP(L182,'C. Prod.'!D:J,7,FALSE)*M182)/J182),IF(K182="Cv",VLOOKUP(L182,'C. Prod.'!D:J,7,FALSE),""))</f>
        <v/>
      </c>
      <c r="O182" s="351"/>
    </row>
    <row r="183" spans="8:18" x14ac:dyDescent="0.25">
      <c r="H183" s="222">
        <f t="shared" si="48"/>
        <v>12</v>
      </c>
      <c r="I183" s="221" t="str">
        <f t="shared" si="49"/>
        <v>Taza de café</v>
      </c>
      <c r="J183" s="222">
        <f t="shared" si="50"/>
        <v>100</v>
      </c>
      <c r="K183" s="218">
        <f>_xlfn.XLOOKUP(L183,'C. Prod.'!D:D,'C. Prod.'!C:C)</f>
        <v>0</v>
      </c>
      <c r="L183" s="212"/>
      <c r="M183" s="213"/>
      <c r="N183" s="209" t="str">
        <f>IF(K183="Cf",((VLOOKUP(L183,'C. Prod.'!D:J,7,FALSE)*M183)/J183),IF(K183="Cv",VLOOKUP(L183,'C. Prod.'!D:J,7,FALSE),""))</f>
        <v/>
      </c>
      <c r="O183" s="351"/>
    </row>
    <row r="184" spans="8:18" x14ac:dyDescent="0.25">
      <c r="H184" s="222">
        <f t="shared" si="48"/>
        <v>12</v>
      </c>
      <c r="I184" s="221" t="str">
        <f>+I183</f>
        <v>Taza de café</v>
      </c>
      <c r="J184" s="222">
        <f>+J183</f>
        <v>100</v>
      </c>
      <c r="K184" s="211" t="s">
        <v>219</v>
      </c>
      <c r="L184" s="210" t="s">
        <v>220</v>
      </c>
      <c r="M184" s="208"/>
      <c r="N184" s="209">
        <f>SUM(N174:N183)</f>
        <v>3148.4056249999999</v>
      </c>
    </row>
    <row r="185" spans="8:18" x14ac:dyDescent="0.25">
      <c r="H185" s="222">
        <f t="shared" si="48"/>
        <v>12</v>
      </c>
      <c r="I185" s="221" t="str">
        <f t="shared" ref="I185:I186" si="51">+I184</f>
        <v>Taza de café</v>
      </c>
      <c r="J185" s="222">
        <f t="shared" ref="J185:J186" si="52">+J184</f>
        <v>100</v>
      </c>
      <c r="K185" s="211" t="s">
        <v>221</v>
      </c>
      <c r="L185" s="210" t="s">
        <v>222</v>
      </c>
      <c r="M185" s="208"/>
      <c r="N185" s="217">
        <f>+(N186/N184)-1</f>
        <v>0.11167378568001385</v>
      </c>
    </row>
    <row r="186" spans="8:18" ht="14.25" thickBot="1" x14ac:dyDescent="0.3">
      <c r="H186" s="224">
        <f>+H174</f>
        <v>12</v>
      </c>
      <c r="I186" s="223" t="str">
        <f t="shared" si="51"/>
        <v>Taza de café</v>
      </c>
      <c r="J186" s="224">
        <f t="shared" si="52"/>
        <v>100</v>
      </c>
      <c r="K186" s="219" t="s">
        <v>223</v>
      </c>
      <c r="L186" s="214" t="s">
        <v>224</v>
      </c>
      <c r="M186" s="215"/>
      <c r="N186" s="216">
        <f>_xlfn.XLOOKUP(I186,C:C,E:E)</f>
        <v>3500</v>
      </c>
      <c r="O186" s="349">
        <f t="shared" ref="O186" si="53">+H186</f>
        <v>12</v>
      </c>
    </row>
    <row r="187" spans="8:18" ht="14.25" thickBot="1" x14ac:dyDescent="0.3"/>
    <row r="188" spans="8:18" ht="14.25" thickBot="1" x14ac:dyDescent="0.3">
      <c r="H188" s="189" t="s">
        <v>201</v>
      </c>
      <c r="I188" s="189" t="s">
        <v>159</v>
      </c>
      <c r="J188" s="189" t="s">
        <v>50</v>
      </c>
      <c r="K188" s="189" t="s">
        <v>46</v>
      </c>
      <c r="L188" s="189" t="s">
        <v>47</v>
      </c>
      <c r="M188" s="189" t="s">
        <v>210</v>
      </c>
      <c r="N188" s="189" t="s">
        <v>211</v>
      </c>
      <c r="P188" s="350" t="s">
        <v>61</v>
      </c>
      <c r="Q188" s="349">
        <f>SUMIF(K189:K198,P188,N189:N198)</f>
        <v>2850</v>
      </c>
      <c r="R188" s="210">
        <f>+Q188*J189</f>
        <v>478800</v>
      </c>
    </row>
    <row r="189" spans="8:18" x14ac:dyDescent="0.25">
      <c r="H189" s="218">
        <f>+H174+1</f>
        <v>13</v>
      </c>
      <c r="I189" s="220" t="s">
        <v>170</v>
      </c>
      <c r="J189" s="218">
        <f>_xlfn.XLOOKUP(I189,C:C,D:D)</f>
        <v>168</v>
      </c>
      <c r="K189" s="218" t="str">
        <f>_xlfn.XLOOKUP(L189,'C. Prod.'!D:D,'C. Prod.'!C:C)</f>
        <v>Cv</v>
      </c>
      <c r="L189" s="225" t="s">
        <v>170</v>
      </c>
      <c r="M189" s="213"/>
      <c r="N189" s="209">
        <f>IF(K189="Cf",((VLOOKUP(L189,'C. Prod.'!D:J,7,FALSE)*M189)/J189),IF(K189="Cv",VLOOKUP(L189,'C. Prod.'!D:J,7,FALSE),""))</f>
        <v>2850</v>
      </c>
      <c r="O189" s="351"/>
    </row>
    <row r="190" spans="8:18" x14ac:dyDescent="0.25">
      <c r="H190" s="222">
        <f>+H189</f>
        <v>13</v>
      </c>
      <c r="I190" s="221" t="str">
        <f>+I189</f>
        <v>Coca-cola</v>
      </c>
      <c r="J190" s="222">
        <f>+J189</f>
        <v>168</v>
      </c>
      <c r="K190" s="218" t="str">
        <f>_xlfn.XLOOKUP(L190,'C. Prod.'!D:D,'C. Prod.'!C:C)</f>
        <v>Cf</v>
      </c>
      <c r="L190" s="212" t="s">
        <v>176</v>
      </c>
      <c r="M190" s="307">
        <v>6.25E-2</v>
      </c>
      <c r="N190" s="209">
        <f>IF(K190="Cf",((VLOOKUP(L190,'C. Prod.'!D:J,7,FALSE)*M190)/J190),IF(K190="Cv",VLOOKUP(L190,'C. Prod.'!D:J,7,FALSE),""))</f>
        <v>736.49144345238096</v>
      </c>
      <c r="O190" s="351"/>
    </row>
    <row r="191" spans="8:18" x14ac:dyDescent="0.25">
      <c r="H191" s="222">
        <f t="shared" ref="H191:H200" si="54">+H190</f>
        <v>13</v>
      </c>
      <c r="I191" s="221" t="str">
        <f t="shared" ref="I191:I198" si="55">+I190</f>
        <v>Coca-cola</v>
      </c>
      <c r="J191" s="222">
        <f t="shared" ref="J191:J198" si="56">+J190</f>
        <v>168</v>
      </c>
      <c r="K191" s="218">
        <f>_xlfn.XLOOKUP(L191,'C. Prod.'!D:D,'C. Prod.'!C:C)</f>
        <v>0</v>
      </c>
      <c r="L191" s="212"/>
      <c r="M191" s="213"/>
      <c r="N191" s="209" t="str">
        <f>IF(K191="Cf",((VLOOKUP(L191,'C. Prod.'!D:J,7,FALSE)*M191)/J191),IF(K191="Cv",VLOOKUP(L191,'C. Prod.'!D:J,7,FALSE),""))</f>
        <v/>
      </c>
      <c r="O191" s="351"/>
    </row>
    <row r="192" spans="8:18" x14ac:dyDescent="0.25">
      <c r="H192" s="222">
        <f t="shared" si="54"/>
        <v>13</v>
      </c>
      <c r="I192" s="221" t="str">
        <f t="shared" si="55"/>
        <v>Coca-cola</v>
      </c>
      <c r="J192" s="222">
        <f t="shared" si="56"/>
        <v>168</v>
      </c>
      <c r="K192" s="218">
        <f>_xlfn.XLOOKUP(L192,'C. Prod.'!D:D,'C. Prod.'!C:C)</f>
        <v>0</v>
      </c>
      <c r="L192" s="212"/>
      <c r="M192" s="213"/>
      <c r="N192" s="209" t="str">
        <f>IF(K192="Cf",((VLOOKUP(L192,'C. Prod.'!D:J,7,FALSE)*M192)/J192),IF(K192="Cv",VLOOKUP(L192,'C. Prod.'!D:J,7,FALSE),""))</f>
        <v/>
      </c>
      <c r="O192" s="351"/>
    </row>
    <row r="193" spans="4:18" x14ac:dyDescent="0.25">
      <c r="H193" s="222">
        <f t="shared" si="54"/>
        <v>13</v>
      </c>
      <c r="I193" s="221" t="str">
        <f t="shared" si="55"/>
        <v>Coca-cola</v>
      </c>
      <c r="J193" s="222">
        <f t="shared" si="56"/>
        <v>168</v>
      </c>
      <c r="K193" s="218">
        <f>_xlfn.XLOOKUP(L193,'C. Prod.'!D:D,'C. Prod.'!C:C)</f>
        <v>0</v>
      </c>
      <c r="L193" s="212"/>
      <c r="M193" s="213"/>
      <c r="N193" s="209" t="str">
        <f>IF(K193="Cf",((VLOOKUP(L193,'C. Prod.'!D:J,7,FALSE)*M193)/J193),IF(K193="Cv",VLOOKUP(L193,'C. Prod.'!D:J,7,FALSE),""))</f>
        <v/>
      </c>
      <c r="O193" s="351"/>
    </row>
    <row r="194" spans="4:18" x14ac:dyDescent="0.25">
      <c r="H194" s="222">
        <f t="shared" si="54"/>
        <v>13</v>
      </c>
      <c r="I194" s="221" t="str">
        <f t="shared" si="55"/>
        <v>Coca-cola</v>
      </c>
      <c r="J194" s="222">
        <f t="shared" si="56"/>
        <v>168</v>
      </c>
      <c r="K194" s="218">
        <f>_xlfn.XLOOKUP(L194,'C. Prod.'!D:D,'C. Prod.'!C:C)</f>
        <v>0</v>
      </c>
      <c r="L194" s="212"/>
      <c r="M194" s="213"/>
      <c r="N194" s="209" t="str">
        <f>IF(K194="Cf",((VLOOKUP(L194,'C. Prod.'!D:J,7,FALSE)*M194)/J194),IF(K194="Cv",VLOOKUP(L194,'C. Prod.'!D:J,7,FALSE),""))</f>
        <v/>
      </c>
      <c r="O194" s="351"/>
    </row>
    <row r="195" spans="4:18" x14ac:dyDescent="0.25">
      <c r="H195" s="222">
        <f t="shared" si="54"/>
        <v>13</v>
      </c>
      <c r="I195" s="221" t="str">
        <f t="shared" si="55"/>
        <v>Coca-cola</v>
      </c>
      <c r="J195" s="222">
        <f t="shared" si="56"/>
        <v>168</v>
      </c>
      <c r="K195" s="218">
        <f>_xlfn.XLOOKUP(L195,'C. Prod.'!D:D,'C. Prod.'!C:C)</f>
        <v>0</v>
      </c>
      <c r="L195" s="212"/>
      <c r="M195" s="213"/>
      <c r="N195" s="209" t="str">
        <f>IF(K195="Cf",((VLOOKUP(L195,'C. Prod.'!D:J,7,FALSE)*M195)/J195),IF(K195="Cv",VLOOKUP(L195,'C. Prod.'!D:J,7,FALSE),""))</f>
        <v/>
      </c>
      <c r="O195" s="351"/>
    </row>
    <row r="196" spans="4:18" x14ac:dyDescent="0.25">
      <c r="H196" s="222">
        <f t="shared" si="54"/>
        <v>13</v>
      </c>
      <c r="I196" s="221" t="str">
        <f t="shared" si="55"/>
        <v>Coca-cola</v>
      </c>
      <c r="J196" s="222">
        <f t="shared" si="56"/>
        <v>168</v>
      </c>
      <c r="K196" s="218">
        <f>_xlfn.XLOOKUP(L196,'C. Prod.'!D:D,'C. Prod.'!C:C)</f>
        <v>0</v>
      </c>
      <c r="L196" s="212"/>
      <c r="M196" s="213"/>
      <c r="N196" s="209" t="str">
        <f>IF(K196="Cf",((VLOOKUP(L196,'C. Prod.'!D:J,7,FALSE)*M196)/J196),IF(K196="Cv",VLOOKUP(L196,'C. Prod.'!D:J,7,FALSE),""))</f>
        <v/>
      </c>
      <c r="O196" s="351"/>
    </row>
    <row r="197" spans="4:18" x14ac:dyDescent="0.25">
      <c r="H197" s="222">
        <f t="shared" si="54"/>
        <v>13</v>
      </c>
      <c r="I197" s="221" t="str">
        <f t="shared" si="55"/>
        <v>Coca-cola</v>
      </c>
      <c r="J197" s="222">
        <f t="shared" si="56"/>
        <v>168</v>
      </c>
      <c r="K197" s="218">
        <f>_xlfn.XLOOKUP(L197,'C. Prod.'!D:D,'C. Prod.'!C:C)</f>
        <v>0</v>
      </c>
      <c r="L197" s="212"/>
      <c r="M197" s="213"/>
      <c r="N197" s="209" t="str">
        <f>IF(K197="Cf",((VLOOKUP(L197,'C. Prod.'!D:J,7,FALSE)*M197)/J197),IF(K197="Cv",VLOOKUP(L197,'C. Prod.'!D:J,7,FALSE),""))</f>
        <v/>
      </c>
      <c r="O197" s="351"/>
    </row>
    <row r="198" spans="4:18" x14ac:dyDescent="0.25">
      <c r="H198" s="222">
        <f t="shared" si="54"/>
        <v>13</v>
      </c>
      <c r="I198" s="221" t="str">
        <f t="shared" si="55"/>
        <v>Coca-cola</v>
      </c>
      <c r="J198" s="222">
        <f t="shared" si="56"/>
        <v>168</v>
      </c>
      <c r="K198" s="218">
        <f>_xlfn.XLOOKUP(L198,'C. Prod.'!D:D,'C. Prod.'!C:C)</f>
        <v>0</v>
      </c>
      <c r="L198" s="212"/>
      <c r="M198" s="213"/>
      <c r="N198" s="209" t="str">
        <f>IF(K198="Cf",((VLOOKUP(L198,'C. Prod.'!D:J,7,FALSE)*M198)/J198),IF(K198="Cv",VLOOKUP(L198,'C. Prod.'!D:J,7,FALSE),""))</f>
        <v/>
      </c>
      <c r="O198" s="351"/>
    </row>
    <row r="199" spans="4:18" x14ac:dyDescent="0.25">
      <c r="H199" s="222">
        <f t="shared" si="54"/>
        <v>13</v>
      </c>
      <c r="I199" s="221" t="str">
        <f>+I198</f>
        <v>Coca-cola</v>
      </c>
      <c r="J199" s="222">
        <f>+J198</f>
        <v>168</v>
      </c>
      <c r="K199" s="211" t="s">
        <v>219</v>
      </c>
      <c r="L199" s="210" t="s">
        <v>220</v>
      </c>
      <c r="M199" s="208"/>
      <c r="N199" s="209">
        <f>SUM(N189:N198)</f>
        <v>3586.4914434523807</v>
      </c>
    </row>
    <row r="200" spans="4:18" x14ac:dyDescent="0.25">
      <c r="H200" s="222">
        <f t="shared" si="54"/>
        <v>13</v>
      </c>
      <c r="I200" s="221" t="str">
        <f t="shared" ref="I200:I201" si="57">+I199</f>
        <v>Coca-cola</v>
      </c>
      <c r="J200" s="222">
        <f t="shared" ref="J200:J201" si="58">+J199</f>
        <v>168</v>
      </c>
      <c r="K200" s="211" t="s">
        <v>221</v>
      </c>
      <c r="L200" s="210" t="s">
        <v>222</v>
      </c>
      <c r="M200" s="208"/>
      <c r="N200" s="217">
        <f>+(N201/N199)-1</f>
        <v>0.25470813773035794</v>
      </c>
    </row>
    <row r="201" spans="4:18" ht="14.25" thickBot="1" x14ac:dyDescent="0.3">
      <c r="H201" s="224">
        <f>+H189</f>
        <v>13</v>
      </c>
      <c r="I201" s="223" t="str">
        <f t="shared" si="57"/>
        <v>Coca-cola</v>
      </c>
      <c r="J201" s="224">
        <f t="shared" si="58"/>
        <v>168</v>
      </c>
      <c r="K201" s="219" t="s">
        <v>223</v>
      </c>
      <c r="L201" s="214" t="s">
        <v>224</v>
      </c>
      <c r="M201" s="215"/>
      <c r="N201" s="216">
        <f>_xlfn.XLOOKUP(I201,C:C,E:E)</f>
        <v>4500</v>
      </c>
      <c r="O201" s="349">
        <f t="shared" ref="O201" si="59">+H201</f>
        <v>13</v>
      </c>
    </row>
    <row r="202" spans="4:18" ht="14.25" thickBot="1" x14ac:dyDescent="0.3"/>
    <row r="203" spans="4:18" ht="14.25" thickBot="1" x14ac:dyDescent="0.3">
      <c r="H203" s="189" t="s">
        <v>201</v>
      </c>
      <c r="I203" s="189" t="s">
        <v>159</v>
      </c>
      <c r="J203" s="189" t="s">
        <v>50</v>
      </c>
      <c r="K203" s="189" t="s">
        <v>46</v>
      </c>
      <c r="L203" s="189" t="s">
        <v>47</v>
      </c>
      <c r="M203" s="189" t="s">
        <v>210</v>
      </c>
      <c r="N203" s="189" t="s">
        <v>211</v>
      </c>
      <c r="P203" s="350" t="s">
        <v>61</v>
      </c>
      <c r="Q203" s="349">
        <f>SUMIF(K204:K213,P203,N204:N213)</f>
        <v>2500</v>
      </c>
      <c r="R203" s="210">
        <f>+Q203*J204</f>
        <v>300000</v>
      </c>
    </row>
    <row r="204" spans="4:18" x14ac:dyDescent="0.25">
      <c r="H204" s="218">
        <f>+H189+1</f>
        <v>14</v>
      </c>
      <c r="I204" s="225" t="s">
        <v>171</v>
      </c>
      <c r="J204" s="218">
        <f>_xlfn.XLOOKUP(I204,C:C,D:D)</f>
        <v>120</v>
      </c>
      <c r="K204" s="218" t="str">
        <f>_xlfn.XLOOKUP(L204,'C. Prod.'!D:D,'C. Prod.'!C:C)</f>
        <v>Cv</v>
      </c>
      <c r="L204" s="225" t="s">
        <v>171</v>
      </c>
      <c r="M204" s="213"/>
      <c r="N204" s="209">
        <f>IF(K204="Cf",((VLOOKUP(L204,'C. Prod.'!D:J,7,FALSE)*M204)/J204),IF(K204="Cv",VLOOKUP(L204,'C. Prod.'!D:J,7,FALSE),""))</f>
        <v>2500</v>
      </c>
      <c r="O204" s="351"/>
    </row>
    <row r="205" spans="4:18" x14ac:dyDescent="0.25">
      <c r="H205" s="222">
        <f>+H204</f>
        <v>14</v>
      </c>
      <c r="I205" s="221" t="str">
        <f>+I204</f>
        <v>Ginger</v>
      </c>
      <c r="J205" s="222">
        <f>+J204</f>
        <v>120</v>
      </c>
      <c r="K205" s="218" t="str">
        <f>_xlfn.XLOOKUP(L205,'C. Prod.'!D:D,'C. Prod.'!C:C)</f>
        <v>Cf</v>
      </c>
      <c r="L205" s="212" t="s">
        <v>176</v>
      </c>
      <c r="M205" s="307">
        <v>6.25E-2</v>
      </c>
      <c r="N205" s="209">
        <f>IF(K205="Cf",((VLOOKUP(L205,'C. Prod.'!D:J,7,FALSE)*M205)/J205),IF(K205="Cv",VLOOKUP(L205,'C. Prod.'!D:J,7,FALSE),""))</f>
        <v>1031.0880208333333</v>
      </c>
      <c r="O205" s="351"/>
    </row>
    <row r="206" spans="4:18" x14ac:dyDescent="0.25">
      <c r="H206" s="222">
        <f t="shared" ref="H206:H215" si="60">+H205</f>
        <v>14</v>
      </c>
      <c r="I206" s="221" t="str">
        <f t="shared" ref="I206:I213" si="61">+I205</f>
        <v>Ginger</v>
      </c>
      <c r="J206" s="222">
        <f t="shared" ref="J206:J213" si="62">+J205</f>
        <v>120</v>
      </c>
      <c r="K206" s="218">
        <f>_xlfn.XLOOKUP(L206,'C. Prod.'!D:D,'C. Prod.'!C:C)</f>
        <v>0</v>
      </c>
      <c r="L206" s="212"/>
      <c r="M206" s="213"/>
      <c r="N206" s="209" t="str">
        <f>IF(K206="Cf",((VLOOKUP(L206,'C. Prod.'!D:J,7,FALSE)*M206)/J206),IF(K206="Cv",VLOOKUP(L206,'C. Prod.'!D:J,7,FALSE),""))</f>
        <v/>
      </c>
      <c r="O206" s="351"/>
    </row>
    <row r="207" spans="4:18" x14ac:dyDescent="0.25">
      <c r="H207" s="222">
        <f t="shared" si="60"/>
        <v>14</v>
      </c>
      <c r="I207" s="221" t="str">
        <f t="shared" si="61"/>
        <v>Ginger</v>
      </c>
      <c r="J207" s="222">
        <f t="shared" si="62"/>
        <v>120</v>
      </c>
      <c r="K207" s="218">
        <f>_xlfn.XLOOKUP(L207,'C. Prod.'!D:D,'C. Prod.'!C:C)</f>
        <v>0</v>
      </c>
      <c r="L207" s="212"/>
      <c r="M207" s="213"/>
      <c r="N207" s="209" t="str">
        <f>IF(K207="Cf",((VLOOKUP(L207,'C. Prod.'!D:J,7,FALSE)*M207)/J207),IF(K207="Cv",VLOOKUP(L207,'C. Prod.'!D:J,7,FALSE),""))</f>
        <v/>
      </c>
      <c r="O207" s="351"/>
    </row>
    <row r="208" spans="4:18" x14ac:dyDescent="0.25">
      <c r="D208" s="210">
        <f>2280/24</f>
        <v>95</v>
      </c>
      <c r="H208" s="222">
        <f t="shared" si="60"/>
        <v>14</v>
      </c>
      <c r="I208" s="221" t="str">
        <f t="shared" si="61"/>
        <v>Ginger</v>
      </c>
      <c r="J208" s="222">
        <f t="shared" si="62"/>
        <v>120</v>
      </c>
      <c r="K208" s="218">
        <f>_xlfn.XLOOKUP(L208,'C. Prod.'!D:D,'C. Prod.'!C:C)</f>
        <v>0</v>
      </c>
      <c r="L208" s="212"/>
      <c r="M208" s="213"/>
      <c r="N208" s="209" t="str">
        <f>IF(K208="Cf",((VLOOKUP(L208,'C. Prod.'!D:J,7,FALSE)*M208)/J208),IF(K208="Cv",VLOOKUP(L208,'C. Prod.'!D:J,7,FALSE),""))</f>
        <v/>
      </c>
      <c r="O208" s="351"/>
    </row>
    <row r="209" spans="8:18" x14ac:dyDescent="0.25">
      <c r="H209" s="222">
        <f t="shared" si="60"/>
        <v>14</v>
      </c>
      <c r="I209" s="221" t="str">
        <f t="shared" si="61"/>
        <v>Ginger</v>
      </c>
      <c r="J209" s="222">
        <f t="shared" si="62"/>
        <v>120</v>
      </c>
      <c r="K209" s="218">
        <f>_xlfn.XLOOKUP(L209,'C. Prod.'!D:D,'C. Prod.'!C:C)</f>
        <v>0</v>
      </c>
      <c r="L209" s="212"/>
      <c r="M209" s="213"/>
      <c r="N209" s="209" t="str">
        <f>IF(K209="Cf",((VLOOKUP(L209,'C. Prod.'!D:J,7,FALSE)*M209)/J209),IF(K209="Cv",VLOOKUP(L209,'C. Prod.'!D:J,7,FALSE),""))</f>
        <v/>
      </c>
      <c r="O209" s="351"/>
    </row>
    <row r="210" spans="8:18" x14ac:dyDescent="0.25">
      <c r="H210" s="222">
        <f t="shared" si="60"/>
        <v>14</v>
      </c>
      <c r="I210" s="221" t="str">
        <f t="shared" si="61"/>
        <v>Ginger</v>
      </c>
      <c r="J210" s="222">
        <f t="shared" si="62"/>
        <v>120</v>
      </c>
      <c r="K210" s="218">
        <f>_xlfn.XLOOKUP(L210,'C. Prod.'!D:D,'C. Prod.'!C:C)</f>
        <v>0</v>
      </c>
      <c r="L210" s="212"/>
      <c r="M210" s="213"/>
      <c r="N210" s="209" t="str">
        <f>IF(K210="Cf",((VLOOKUP(L210,'C. Prod.'!D:J,7,FALSE)*M210)/J210),IF(K210="Cv",VLOOKUP(L210,'C. Prod.'!D:J,7,FALSE),""))</f>
        <v/>
      </c>
      <c r="O210" s="351"/>
    </row>
    <row r="211" spans="8:18" x14ac:dyDescent="0.25">
      <c r="H211" s="222">
        <f t="shared" si="60"/>
        <v>14</v>
      </c>
      <c r="I211" s="221" t="str">
        <f t="shared" si="61"/>
        <v>Ginger</v>
      </c>
      <c r="J211" s="222">
        <f t="shared" si="62"/>
        <v>120</v>
      </c>
      <c r="K211" s="218">
        <f>_xlfn.XLOOKUP(L211,'C. Prod.'!D:D,'C. Prod.'!C:C)</f>
        <v>0</v>
      </c>
      <c r="L211" s="212"/>
      <c r="M211" s="213"/>
      <c r="N211" s="209" t="str">
        <f>IF(K211="Cf",((VLOOKUP(L211,'C. Prod.'!D:J,7,FALSE)*M211)/J211),IF(K211="Cv",VLOOKUP(L211,'C. Prod.'!D:J,7,FALSE),""))</f>
        <v/>
      </c>
      <c r="O211" s="351"/>
    </row>
    <row r="212" spans="8:18" x14ac:dyDescent="0.25">
      <c r="H212" s="222">
        <f t="shared" si="60"/>
        <v>14</v>
      </c>
      <c r="I212" s="221" t="str">
        <f t="shared" si="61"/>
        <v>Ginger</v>
      </c>
      <c r="J212" s="222">
        <f t="shared" si="62"/>
        <v>120</v>
      </c>
      <c r="K212" s="218">
        <f>_xlfn.XLOOKUP(L212,'C. Prod.'!D:D,'C. Prod.'!C:C)</f>
        <v>0</v>
      </c>
      <c r="L212" s="212"/>
      <c r="M212" s="213"/>
      <c r="N212" s="209" t="str">
        <f>IF(K212="Cf",((VLOOKUP(L212,'C. Prod.'!D:J,7,FALSE)*M212)/J212),IF(K212="Cv",VLOOKUP(L212,'C. Prod.'!D:J,7,FALSE),""))</f>
        <v/>
      </c>
      <c r="O212" s="351"/>
    </row>
    <row r="213" spans="8:18" x14ac:dyDescent="0.25">
      <c r="H213" s="222">
        <f t="shared" si="60"/>
        <v>14</v>
      </c>
      <c r="I213" s="221" t="str">
        <f t="shared" si="61"/>
        <v>Ginger</v>
      </c>
      <c r="J213" s="222">
        <f t="shared" si="62"/>
        <v>120</v>
      </c>
      <c r="K213" s="218">
        <f>_xlfn.XLOOKUP(L213,'C. Prod.'!D:D,'C. Prod.'!C:C)</f>
        <v>0</v>
      </c>
      <c r="L213" s="212"/>
      <c r="M213" s="213"/>
      <c r="N213" s="209" t="str">
        <f>IF(K213="Cf",((VLOOKUP(L213,'C. Prod.'!D:J,7,FALSE)*M213)/J213),IF(K213="Cv",VLOOKUP(L213,'C. Prod.'!D:J,7,FALSE),""))</f>
        <v/>
      </c>
      <c r="O213" s="351"/>
    </row>
    <row r="214" spans="8:18" x14ac:dyDescent="0.25">
      <c r="H214" s="222">
        <f t="shared" si="60"/>
        <v>14</v>
      </c>
      <c r="I214" s="221" t="str">
        <f>+I213</f>
        <v>Ginger</v>
      </c>
      <c r="J214" s="222">
        <f>+J213</f>
        <v>120</v>
      </c>
      <c r="K214" s="211" t="s">
        <v>219</v>
      </c>
      <c r="L214" s="210" t="s">
        <v>220</v>
      </c>
      <c r="M214" s="208"/>
      <c r="N214" s="209">
        <f>SUM(N204:N213)</f>
        <v>3531.0880208333333</v>
      </c>
    </row>
    <row r="215" spans="8:18" x14ac:dyDescent="0.25">
      <c r="H215" s="222">
        <f t="shared" si="60"/>
        <v>14</v>
      </c>
      <c r="I215" s="221" t="str">
        <f t="shared" ref="I215:I216" si="63">+I214</f>
        <v>Ginger</v>
      </c>
      <c r="J215" s="222">
        <f t="shared" ref="J215:J216" si="64">+J214</f>
        <v>120</v>
      </c>
      <c r="K215" s="211" t="s">
        <v>221</v>
      </c>
      <c r="L215" s="210" t="s">
        <v>222</v>
      </c>
      <c r="M215" s="208"/>
      <c r="N215" s="217">
        <f>+(N216/N214)-1</f>
        <v>0.13279532438729857</v>
      </c>
    </row>
    <row r="216" spans="8:18" ht="14.25" thickBot="1" x14ac:dyDescent="0.3">
      <c r="H216" s="224">
        <f>+H204</f>
        <v>14</v>
      </c>
      <c r="I216" s="223" t="str">
        <f t="shared" si="63"/>
        <v>Ginger</v>
      </c>
      <c r="J216" s="224">
        <f t="shared" si="64"/>
        <v>120</v>
      </c>
      <c r="K216" s="219" t="s">
        <v>223</v>
      </c>
      <c r="L216" s="214" t="s">
        <v>224</v>
      </c>
      <c r="M216" s="215"/>
      <c r="N216" s="216">
        <f>_xlfn.XLOOKUP(I216,C:C,E:E)</f>
        <v>4000</v>
      </c>
      <c r="O216" s="349">
        <f t="shared" ref="O216" si="65">+H216</f>
        <v>14</v>
      </c>
    </row>
    <row r="217" spans="8:18" ht="14.25" thickBot="1" x14ac:dyDescent="0.3"/>
    <row r="218" spans="8:18" ht="14.25" thickBot="1" x14ac:dyDescent="0.3">
      <c r="H218" s="189" t="s">
        <v>201</v>
      </c>
      <c r="I218" s="189" t="s">
        <v>159</v>
      </c>
      <c r="J218" s="189" t="s">
        <v>50</v>
      </c>
      <c r="K218" s="189" t="s">
        <v>46</v>
      </c>
      <c r="L218" s="189" t="s">
        <v>47</v>
      </c>
      <c r="M218" s="189" t="s">
        <v>210</v>
      </c>
      <c r="N218" s="189" t="s">
        <v>211</v>
      </c>
      <c r="P218" s="350" t="s">
        <v>61</v>
      </c>
      <c r="Q218" s="349">
        <f>SUMIF(K219:K228,P218,N219:N228)</f>
        <v>2200</v>
      </c>
      <c r="R218" s="210">
        <f>+Q218*J219</f>
        <v>264000</v>
      </c>
    </row>
    <row r="219" spans="8:18" x14ac:dyDescent="0.25">
      <c r="H219" s="218">
        <f>+H204+1</f>
        <v>15</v>
      </c>
      <c r="I219" s="225" t="s">
        <v>172</v>
      </c>
      <c r="J219" s="218">
        <f>_xlfn.XLOOKUP(I219,C:C,D:D)</f>
        <v>120</v>
      </c>
      <c r="K219" s="218" t="str">
        <f>_xlfn.XLOOKUP(L219,'C. Prod.'!D:D,'C. Prod.'!C:C)</f>
        <v>Cv</v>
      </c>
      <c r="L219" s="225" t="s">
        <v>172</v>
      </c>
      <c r="M219" s="213"/>
      <c r="N219" s="209">
        <f>IF(K219="Cf",((VLOOKUP(L219,'C. Prod.'!D:J,7,FALSE)*M219)/J219),IF(K219="Cv",VLOOKUP(L219,'C. Prod.'!D:J,7,FALSE),""))</f>
        <v>2200</v>
      </c>
      <c r="O219" s="351"/>
    </row>
    <row r="220" spans="8:18" x14ac:dyDescent="0.25">
      <c r="H220" s="222">
        <f>+H219</f>
        <v>15</v>
      </c>
      <c r="I220" s="221" t="str">
        <f>+I219</f>
        <v>Manzana</v>
      </c>
      <c r="J220" s="222">
        <f>+J219</f>
        <v>120</v>
      </c>
      <c r="K220" s="218" t="str">
        <f>_xlfn.XLOOKUP(L220,'C. Prod.'!D:D,'C. Prod.'!C:C)</f>
        <v>Cf</v>
      </c>
      <c r="L220" s="212" t="s">
        <v>176</v>
      </c>
      <c r="M220" s="307">
        <v>6.25E-2</v>
      </c>
      <c r="N220" s="209">
        <f>IF(K220="Cf",((VLOOKUP(L220,'C. Prod.'!D:J,7,FALSE)*M220)/J220),IF(K220="Cv",VLOOKUP(L220,'C. Prod.'!D:J,7,FALSE),""))</f>
        <v>1031.0880208333333</v>
      </c>
      <c r="O220" s="351"/>
    </row>
    <row r="221" spans="8:18" x14ac:dyDescent="0.25">
      <c r="H221" s="222">
        <f t="shared" ref="H221:H230" si="66">+H220</f>
        <v>15</v>
      </c>
      <c r="I221" s="221" t="str">
        <f t="shared" ref="I221:I228" si="67">+I220</f>
        <v>Manzana</v>
      </c>
      <c r="J221" s="222">
        <f t="shared" ref="J221:J228" si="68">+J220</f>
        <v>120</v>
      </c>
      <c r="K221" s="218">
        <f>_xlfn.XLOOKUP(L221,'C. Prod.'!D:D,'C. Prod.'!C:C)</f>
        <v>0</v>
      </c>
      <c r="L221" s="212"/>
      <c r="M221" s="213"/>
      <c r="N221" s="209" t="str">
        <f>IF(K221="Cf",((VLOOKUP(L221,'C. Prod.'!D:J,7,FALSE)*M221)/J221),IF(K221="Cv",VLOOKUP(L221,'C. Prod.'!D:J,7,FALSE),""))</f>
        <v/>
      </c>
      <c r="O221" s="351"/>
    </row>
    <row r="222" spans="8:18" x14ac:dyDescent="0.25">
      <c r="H222" s="222">
        <f t="shared" si="66"/>
        <v>15</v>
      </c>
      <c r="I222" s="221" t="str">
        <f t="shared" si="67"/>
        <v>Manzana</v>
      </c>
      <c r="J222" s="222">
        <f t="shared" si="68"/>
        <v>120</v>
      </c>
      <c r="K222" s="218">
        <f>_xlfn.XLOOKUP(L222,'C. Prod.'!D:D,'C. Prod.'!C:C)</f>
        <v>0</v>
      </c>
      <c r="L222" s="212"/>
      <c r="M222" s="213"/>
      <c r="N222" s="209" t="str">
        <f>IF(K222="Cf",((VLOOKUP(L222,'C. Prod.'!D:J,7,FALSE)*M222)/J222),IF(K222="Cv",VLOOKUP(L222,'C. Prod.'!D:J,7,FALSE),""))</f>
        <v/>
      </c>
      <c r="O222" s="351"/>
    </row>
    <row r="223" spans="8:18" x14ac:dyDescent="0.25">
      <c r="H223" s="222">
        <f t="shared" si="66"/>
        <v>15</v>
      </c>
      <c r="I223" s="221" t="str">
        <f t="shared" si="67"/>
        <v>Manzana</v>
      </c>
      <c r="J223" s="222">
        <f t="shared" si="68"/>
        <v>120</v>
      </c>
      <c r="K223" s="218">
        <f>_xlfn.XLOOKUP(L223,'C. Prod.'!D:D,'C. Prod.'!C:C)</f>
        <v>0</v>
      </c>
      <c r="L223" s="212"/>
      <c r="M223" s="213"/>
      <c r="N223" s="209" t="str">
        <f>IF(K223="Cf",((VLOOKUP(L223,'C. Prod.'!D:J,7,FALSE)*M223)/J223),IF(K223="Cv",VLOOKUP(L223,'C. Prod.'!D:J,7,FALSE),""))</f>
        <v/>
      </c>
      <c r="O223" s="351"/>
    </row>
    <row r="224" spans="8:18" x14ac:dyDescent="0.25">
      <c r="H224" s="222">
        <f t="shared" si="66"/>
        <v>15</v>
      </c>
      <c r="I224" s="221" t="str">
        <f t="shared" si="67"/>
        <v>Manzana</v>
      </c>
      <c r="J224" s="222">
        <f t="shared" si="68"/>
        <v>120</v>
      </c>
      <c r="K224" s="218">
        <f>_xlfn.XLOOKUP(L224,'C. Prod.'!D:D,'C. Prod.'!C:C)</f>
        <v>0</v>
      </c>
      <c r="L224" s="212"/>
      <c r="M224" s="213"/>
      <c r="N224" s="209" t="str">
        <f>IF(K224="Cf",((VLOOKUP(L224,'C. Prod.'!D:J,7,FALSE)*M224)/J224),IF(K224="Cv",VLOOKUP(L224,'C. Prod.'!D:J,7,FALSE),""))</f>
        <v/>
      </c>
      <c r="O224" s="351"/>
    </row>
    <row r="225" spans="8:18" x14ac:dyDescent="0.25">
      <c r="H225" s="222">
        <f t="shared" si="66"/>
        <v>15</v>
      </c>
      <c r="I225" s="221" t="str">
        <f t="shared" si="67"/>
        <v>Manzana</v>
      </c>
      <c r="J225" s="222">
        <f t="shared" si="68"/>
        <v>120</v>
      </c>
      <c r="K225" s="218">
        <f>_xlfn.XLOOKUP(L225,'C. Prod.'!D:D,'C. Prod.'!C:C)</f>
        <v>0</v>
      </c>
      <c r="L225" s="212"/>
      <c r="M225" s="213"/>
      <c r="N225" s="209" t="str">
        <f>IF(K225="Cf",((VLOOKUP(L225,'C. Prod.'!D:J,7,FALSE)*M225)/J225),IF(K225="Cv",VLOOKUP(L225,'C. Prod.'!D:J,7,FALSE),""))</f>
        <v/>
      </c>
      <c r="O225" s="351"/>
    </row>
    <row r="226" spans="8:18" x14ac:dyDescent="0.25">
      <c r="H226" s="222">
        <f t="shared" si="66"/>
        <v>15</v>
      </c>
      <c r="I226" s="221" t="str">
        <f t="shared" si="67"/>
        <v>Manzana</v>
      </c>
      <c r="J226" s="222">
        <f t="shared" si="68"/>
        <v>120</v>
      </c>
      <c r="K226" s="218">
        <f>_xlfn.XLOOKUP(L226,'C. Prod.'!D:D,'C. Prod.'!C:C)</f>
        <v>0</v>
      </c>
      <c r="L226" s="212"/>
      <c r="M226" s="213"/>
      <c r="N226" s="209" t="str">
        <f>IF(K226="Cf",((VLOOKUP(L226,'C. Prod.'!D:J,7,FALSE)*M226)/J226),IF(K226="Cv",VLOOKUP(L226,'C. Prod.'!D:J,7,FALSE),""))</f>
        <v/>
      </c>
      <c r="O226" s="351"/>
    </row>
    <row r="227" spans="8:18" x14ac:dyDescent="0.25">
      <c r="H227" s="222">
        <f t="shared" si="66"/>
        <v>15</v>
      </c>
      <c r="I227" s="221" t="str">
        <f t="shared" si="67"/>
        <v>Manzana</v>
      </c>
      <c r="J227" s="222">
        <f t="shared" si="68"/>
        <v>120</v>
      </c>
      <c r="K227" s="218">
        <f>_xlfn.XLOOKUP(L227,'C. Prod.'!D:D,'C. Prod.'!C:C)</f>
        <v>0</v>
      </c>
      <c r="L227" s="212"/>
      <c r="M227" s="213"/>
      <c r="N227" s="209" t="str">
        <f>IF(K227="Cf",((VLOOKUP(L227,'C. Prod.'!D:J,7,FALSE)*M227)/J227),IF(K227="Cv",VLOOKUP(L227,'C. Prod.'!D:J,7,FALSE),""))</f>
        <v/>
      </c>
      <c r="O227" s="351"/>
    </row>
    <row r="228" spans="8:18" x14ac:dyDescent="0.25">
      <c r="H228" s="222">
        <f t="shared" si="66"/>
        <v>15</v>
      </c>
      <c r="I228" s="221" t="str">
        <f t="shared" si="67"/>
        <v>Manzana</v>
      </c>
      <c r="J228" s="222">
        <f t="shared" si="68"/>
        <v>120</v>
      </c>
      <c r="K228" s="218">
        <f>_xlfn.XLOOKUP(L228,'C. Prod.'!D:D,'C. Prod.'!C:C)</f>
        <v>0</v>
      </c>
      <c r="L228" s="212"/>
      <c r="M228" s="213"/>
      <c r="N228" s="209" t="str">
        <f>IF(K228="Cf",((VLOOKUP(L228,'C. Prod.'!D:J,7,FALSE)*M228)/J228),IF(K228="Cv",VLOOKUP(L228,'C. Prod.'!D:J,7,FALSE),""))</f>
        <v/>
      </c>
      <c r="O228" s="351"/>
    </row>
    <row r="229" spans="8:18" x14ac:dyDescent="0.25">
      <c r="H229" s="222">
        <f t="shared" si="66"/>
        <v>15</v>
      </c>
      <c r="I229" s="221" t="str">
        <f>+I228</f>
        <v>Manzana</v>
      </c>
      <c r="J229" s="222">
        <f>+J228</f>
        <v>120</v>
      </c>
      <c r="K229" s="211" t="s">
        <v>219</v>
      </c>
      <c r="L229" s="210" t="s">
        <v>220</v>
      </c>
      <c r="M229" s="208"/>
      <c r="N229" s="209">
        <f>SUM(N219:N228)</f>
        <v>3231.0880208333333</v>
      </c>
    </row>
    <row r="230" spans="8:18" x14ac:dyDescent="0.25">
      <c r="H230" s="222">
        <f t="shared" si="66"/>
        <v>15</v>
      </c>
      <c r="I230" s="221" t="str">
        <f t="shared" ref="I230:I231" si="69">+I229</f>
        <v>Manzana</v>
      </c>
      <c r="J230" s="222">
        <f t="shared" ref="J230:J231" si="70">+J229</f>
        <v>120</v>
      </c>
      <c r="K230" s="211" t="s">
        <v>221</v>
      </c>
      <c r="L230" s="210" t="s">
        <v>222</v>
      </c>
      <c r="M230" s="208"/>
      <c r="N230" s="217">
        <f>+(N231/N229)-1</f>
        <v>0.23797308343471113</v>
      </c>
    </row>
    <row r="231" spans="8:18" ht="14.25" thickBot="1" x14ac:dyDescent="0.3">
      <c r="H231" s="224">
        <f>+H219</f>
        <v>15</v>
      </c>
      <c r="I231" s="223" t="str">
        <f t="shared" si="69"/>
        <v>Manzana</v>
      </c>
      <c r="J231" s="224">
        <f t="shared" si="70"/>
        <v>120</v>
      </c>
      <c r="K231" s="219" t="s">
        <v>223</v>
      </c>
      <c r="L231" s="214" t="s">
        <v>224</v>
      </c>
      <c r="M231" s="215"/>
      <c r="N231" s="216">
        <f>_xlfn.XLOOKUP(I231,C:C,E:E)</f>
        <v>4000</v>
      </c>
      <c r="O231" s="349">
        <f t="shared" ref="O231" si="71">+H231</f>
        <v>15</v>
      </c>
    </row>
    <row r="232" spans="8:18" ht="14.25" thickBot="1" x14ac:dyDescent="0.3"/>
    <row r="233" spans="8:18" ht="14.25" thickBot="1" x14ac:dyDescent="0.3">
      <c r="H233" s="189" t="s">
        <v>201</v>
      </c>
      <c r="I233" s="189" t="s">
        <v>159</v>
      </c>
      <c r="J233" s="189" t="s">
        <v>50</v>
      </c>
      <c r="K233" s="189" t="s">
        <v>46</v>
      </c>
      <c r="L233" s="189" t="s">
        <v>47</v>
      </c>
      <c r="M233" s="189" t="s">
        <v>210</v>
      </c>
      <c r="N233" s="189" t="s">
        <v>211</v>
      </c>
      <c r="P233" s="350" t="s">
        <v>61</v>
      </c>
      <c r="Q233" s="349">
        <f>SUMIF(K234:K243,P233,N234:N243)</f>
        <v>700</v>
      </c>
      <c r="R233" s="210">
        <f>+Q233*J234</f>
        <v>84000</v>
      </c>
    </row>
    <row r="234" spans="8:18" x14ac:dyDescent="0.25">
      <c r="H234" s="218">
        <f>+H219+1</f>
        <v>16</v>
      </c>
      <c r="I234" s="225" t="s">
        <v>173</v>
      </c>
      <c r="J234" s="218">
        <f>_xlfn.XLOOKUP(I234,C:C,D:D)</f>
        <v>120</v>
      </c>
      <c r="K234" s="218" t="str">
        <f>_xlfn.XLOOKUP(L234,'C. Prod.'!D:D,'C. Prod.'!C:C)</f>
        <v>Cv</v>
      </c>
      <c r="L234" s="225" t="s">
        <v>173</v>
      </c>
      <c r="M234" s="213"/>
      <c r="N234" s="209">
        <f>IF(K234="Cf",((VLOOKUP(L234,'C. Prod.'!D:J,7,FALSE)*M234)/J234),IF(K234="Cv",VLOOKUP(L234,'C. Prod.'!D:J,7,FALSE),""))</f>
        <v>700</v>
      </c>
      <c r="O234" s="351"/>
      <c r="Q234" s="349"/>
    </row>
    <row r="235" spans="8:18" x14ac:dyDescent="0.25">
      <c r="H235" s="222">
        <f>+H234</f>
        <v>16</v>
      </c>
      <c r="I235" s="221" t="str">
        <f>+I234</f>
        <v>Agua botella</v>
      </c>
      <c r="J235" s="222">
        <f>+J234</f>
        <v>120</v>
      </c>
      <c r="K235" s="218" t="str">
        <f>_xlfn.XLOOKUP(L235,'C. Prod.'!D:D,'C. Prod.'!C:C)</f>
        <v>Cf</v>
      </c>
      <c r="L235" s="212" t="s">
        <v>176</v>
      </c>
      <c r="M235" s="307">
        <v>6.25E-2</v>
      </c>
      <c r="N235" s="209">
        <f>IF(K235="Cf",((VLOOKUP(L235,'C. Prod.'!D:J,7,FALSE)*M235)/J235),IF(K235="Cv",VLOOKUP(L235,'C. Prod.'!D:J,7,FALSE),""))</f>
        <v>1031.0880208333333</v>
      </c>
      <c r="O235" s="351"/>
    </row>
    <row r="236" spans="8:18" x14ac:dyDescent="0.25">
      <c r="H236" s="222">
        <f t="shared" ref="H236:H245" si="72">+H235</f>
        <v>16</v>
      </c>
      <c r="I236" s="221" t="str">
        <f t="shared" ref="I236:I243" si="73">+I235</f>
        <v>Agua botella</v>
      </c>
      <c r="J236" s="222">
        <f t="shared" ref="J236:J243" si="74">+J235</f>
        <v>120</v>
      </c>
      <c r="K236" s="218">
        <f>_xlfn.XLOOKUP(L236,'C. Prod.'!D:D,'C. Prod.'!C:C)</f>
        <v>0</v>
      </c>
      <c r="L236" s="212"/>
      <c r="M236" s="213"/>
      <c r="N236" s="209" t="str">
        <f>IF(K236="Cf",((VLOOKUP(L236,'C. Prod.'!D:J,7,FALSE)*M236)/J236),IF(K236="Cv",VLOOKUP(L236,'C. Prod.'!D:J,7,FALSE),""))</f>
        <v/>
      </c>
      <c r="O236" s="351"/>
    </row>
    <row r="237" spans="8:18" x14ac:dyDescent="0.25">
      <c r="H237" s="222">
        <f t="shared" si="72"/>
        <v>16</v>
      </c>
      <c r="I237" s="221" t="str">
        <f t="shared" si="73"/>
        <v>Agua botella</v>
      </c>
      <c r="J237" s="222">
        <f t="shared" si="74"/>
        <v>120</v>
      </c>
      <c r="K237" s="218">
        <f>_xlfn.XLOOKUP(L237,'C. Prod.'!D:D,'C. Prod.'!C:C)</f>
        <v>0</v>
      </c>
      <c r="L237" s="212"/>
      <c r="M237" s="213"/>
      <c r="N237" s="209" t="str">
        <f>IF(K237="Cf",((VLOOKUP(L237,'C. Prod.'!D:J,7,FALSE)*M237)/J237),IF(K237="Cv",VLOOKUP(L237,'C. Prod.'!D:J,7,FALSE),""))</f>
        <v/>
      </c>
      <c r="O237" s="351"/>
    </row>
    <row r="238" spans="8:18" x14ac:dyDescent="0.25">
      <c r="H238" s="222">
        <f t="shared" si="72"/>
        <v>16</v>
      </c>
      <c r="I238" s="221" t="str">
        <f t="shared" si="73"/>
        <v>Agua botella</v>
      </c>
      <c r="J238" s="222">
        <f t="shared" si="74"/>
        <v>120</v>
      </c>
      <c r="K238" s="218">
        <f>_xlfn.XLOOKUP(L238,'C. Prod.'!D:D,'C. Prod.'!C:C)</f>
        <v>0</v>
      </c>
      <c r="L238" s="212"/>
      <c r="M238" s="213"/>
      <c r="N238" s="209" t="str">
        <f>IF(K238="Cf",((VLOOKUP(L238,'C. Prod.'!D:J,7,FALSE)*M238)/J238),IF(K238="Cv",VLOOKUP(L238,'C. Prod.'!D:J,7,FALSE),""))</f>
        <v/>
      </c>
      <c r="O238" s="351"/>
    </row>
    <row r="239" spans="8:18" x14ac:dyDescent="0.25">
      <c r="H239" s="222">
        <f t="shared" si="72"/>
        <v>16</v>
      </c>
      <c r="I239" s="221" t="str">
        <f t="shared" si="73"/>
        <v>Agua botella</v>
      </c>
      <c r="J239" s="222">
        <f t="shared" si="74"/>
        <v>120</v>
      </c>
      <c r="K239" s="218">
        <f>_xlfn.XLOOKUP(L239,'C. Prod.'!D:D,'C. Prod.'!C:C)</f>
        <v>0</v>
      </c>
      <c r="L239" s="212"/>
      <c r="M239" s="213"/>
      <c r="N239" s="209" t="str">
        <f>IF(K239="Cf",((VLOOKUP(L239,'C. Prod.'!D:J,7,FALSE)*M239)/J239),IF(K239="Cv",VLOOKUP(L239,'C. Prod.'!D:J,7,FALSE),""))</f>
        <v/>
      </c>
      <c r="O239" s="351"/>
    </row>
    <row r="240" spans="8:18" x14ac:dyDescent="0.25">
      <c r="H240" s="222">
        <f t="shared" si="72"/>
        <v>16</v>
      </c>
      <c r="I240" s="221" t="str">
        <f t="shared" si="73"/>
        <v>Agua botella</v>
      </c>
      <c r="J240" s="222">
        <f t="shared" si="74"/>
        <v>120</v>
      </c>
      <c r="K240" s="218">
        <f>_xlfn.XLOOKUP(L240,'C. Prod.'!D:D,'C. Prod.'!C:C)</f>
        <v>0</v>
      </c>
      <c r="L240" s="212"/>
      <c r="M240" s="213"/>
      <c r="N240" s="209" t="str">
        <f>IF(K240="Cf",((VLOOKUP(L240,'C. Prod.'!D:J,7,FALSE)*M240)/J240),IF(K240="Cv",VLOOKUP(L240,'C. Prod.'!D:J,7,FALSE),""))</f>
        <v/>
      </c>
      <c r="O240" s="351"/>
    </row>
    <row r="241" spans="8:15" x14ac:dyDescent="0.25">
      <c r="H241" s="222">
        <f t="shared" si="72"/>
        <v>16</v>
      </c>
      <c r="I241" s="221" t="str">
        <f t="shared" si="73"/>
        <v>Agua botella</v>
      </c>
      <c r="J241" s="222">
        <f t="shared" si="74"/>
        <v>120</v>
      </c>
      <c r="K241" s="218">
        <f>_xlfn.XLOOKUP(L241,'C. Prod.'!D:D,'C. Prod.'!C:C)</f>
        <v>0</v>
      </c>
      <c r="L241" s="212"/>
      <c r="M241" s="213"/>
      <c r="N241" s="209" t="str">
        <f>IF(K241="Cf",((VLOOKUP(L241,'C. Prod.'!D:J,7,FALSE)*M241)/J241),IF(K241="Cv",VLOOKUP(L241,'C. Prod.'!D:J,7,FALSE),""))</f>
        <v/>
      </c>
      <c r="O241" s="351"/>
    </row>
    <row r="242" spans="8:15" x14ac:dyDescent="0.25">
      <c r="H242" s="222">
        <f t="shared" si="72"/>
        <v>16</v>
      </c>
      <c r="I242" s="221" t="str">
        <f t="shared" si="73"/>
        <v>Agua botella</v>
      </c>
      <c r="J242" s="222">
        <f t="shared" si="74"/>
        <v>120</v>
      </c>
      <c r="K242" s="218">
        <f>_xlfn.XLOOKUP(L242,'C. Prod.'!D:D,'C. Prod.'!C:C)</f>
        <v>0</v>
      </c>
      <c r="L242" s="212"/>
      <c r="M242" s="213"/>
      <c r="N242" s="209" t="str">
        <f>IF(K242="Cf",((VLOOKUP(L242,'C. Prod.'!D:J,7,FALSE)*M242)/J242),IF(K242="Cv",VLOOKUP(L242,'C. Prod.'!D:J,7,FALSE),""))</f>
        <v/>
      </c>
      <c r="O242" s="351"/>
    </row>
    <row r="243" spans="8:15" x14ac:dyDescent="0.25">
      <c r="H243" s="222">
        <f t="shared" si="72"/>
        <v>16</v>
      </c>
      <c r="I243" s="221" t="str">
        <f t="shared" si="73"/>
        <v>Agua botella</v>
      </c>
      <c r="J243" s="222">
        <f t="shared" si="74"/>
        <v>120</v>
      </c>
      <c r="K243" s="218">
        <f>_xlfn.XLOOKUP(L243,'C. Prod.'!D:D,'C. Prod.'!C:C)</f>
        <v>0</v>
      </c>
      <c r="L243" s="212"/>
      <c r="M243" s="213"/>
      <c r="N243" s="209" t="str">
        <f>IF(K243="Cf",((VLOOKUP(L243,'C. Prod.'!D:J,7,FALSE)*M243)/J243),IF(K243="Cv",VLOOKUP(L243,'C. Prod.'!D:J,7,FALSE),""))</f>
        <v/>
      </c>
      <c r="O243" s="351"/>
    </row>
    <row r="244" spans="8:15" x14ac:dyDescent="0.25">
      <c r="H244" s="222">
        <f t="shared" si="72"/>
        <v>16</v>
      </c>
      <c r="I244" s="221" t="str">
        <f>+I243</f>
        <v>Agua botella</v>
      </c>
      <c r="J244" s="222">
        <f>+J243</f>
        <v>120</v>
      </c>
      <c r="K244" s="211" t="s">
        <v>219</v>
      </c>
      <c r="L244" s="210" t="s">
        <v>220</v>
      </c>
      <c r="M244" s="208"/>
      <c r="N244" s="209">
        <f>SUM(N234:N243)</f>
        <v>1731.0880208333333</v>
      </c>
    </row>
    <row r="245" spans="8:15" x14ac:dyDescent="0.25">
      <c r="H245" s="222">
        <f t="shared" si="72"/>
        <v>16</v>
      </c>
      <c r="I245" s="221" t="str">
        <f t="shared" ref="I245:I246" si="75">+I244</f>
        <v>Agua botella</v>
      </c>
      <c r="J245" s="222">
        <f t="shared" ref="J245:J246" si="76">+J244</f>
        <v>120</v>
      </c>
      <c r="K245" s="211" t="s">
        <v>221</v>
      </c>
      <c r="L245" s="210" t="s">
        <v>222</v>
      </c>
      <c r="M245" s="208"/>
      <c r="N245" s="217">
        <f>+(N246/N244)-1</f>
        <v>0.73301412978169744</v>
      </c>
    </row>
    <row r="246" spans="8:15" ht="14.25" thickBot="1" x14ac:dyDescent="0.3">
      <c r="H246" s="224">
        <f>+H234</f>
        <v>16</v>
      </c>
      <c r="I246" s="223" t="str">
        <f t="shared" si="75"/>
        <v>Agua botella</v>
      </c>
      <c r="J246" s="224">
        <f t="shared" si="76"/>
        <v>120</v>
      </c>
      <c r="K246" s="219" t="s">
        <v>223</v>
      </c>
      <c r="L246" s="214" t="s">
        <v>224</v>
      </c>
      <c r="M246" s="215"/>
      <c r="N246" s="216">
        <f>_xlfn.XLOOKUP(I246,C:C,E:E)</f>
        <v>3000</v>
      </c>
      <c r="O246" s="349">
        <f t="shared" ref="O246" si="77">+H246</f>
        <v>16</v>
      </c>
    </row>
  </sheetData>
  <sheetProtection algorithmName="SHA-512" hashValue="wZZ4QO/zq7YtnCc7RaPgGEi+falBcMzxljERkBvQLqLUl+E3HXCcFuutgkzMmcspwFatmPSmtU/a8fWT9WQzBA==" saltValue="z/sKrRrTsrS5xfu9XUOzMg==" spinCount="100000" sheet="1" formatCells="0" formatColumns="0" formatRows="0" insertColumns="0" insertRows="0" insertHyperlinks="0" deleteColumns="0" deleteRows="0" autoFilter="0" pivotTables="0"/>
  <mergeCells count="3">
    <mergeCell ref="I2:J2"/>
    <mergeCell ref="D2:E2"/>
    <mergeCell ref="B2:C2"/>
  </mergeCells>
  <conditionalFormatting sqref="H9:H21 J9:J21">
    <cfRule type="expression" dxfId="53" priority="178">
      <formula>J9=""</formula>
    </cfRule>
  </conditionalFormatting>
  <conditionalFormatting sqref="H24:H36">
    <cfRule type="expression" dxfId="52" priority="25">
      <formula>J24=""</formula>
    </cfRule>
  </conditionalFormatting>
  <conditionalFormatting sqref="H39:H51">
    <cfRule type="expression" dxfId="51" priority="24">
      <formula>J39=""</formula>
    </cfRule>
  </conditionalFormatting>
  <conditionalFormatting sqref="H54:H66">
    <cfRule type="expression" dxfId="50" priority="23">
      <formula>J54=""</formula>
    </cfRule>
  </conditionalFormatting>
  <conditionalFormatting sqref="H69:H81">
    <cfRule type="expression" dxfId="49" priority="22">
      <formula>J69=""</formula>
    </cfRule>
  </conditionalFormatting>
  <conditionalFormatting sqref="H84:H96">
    <cfRule type="expression" dxfId="48" priority="21">
      <formula>J84=""</formula>
    </cfRule>
  </conditionalFormatting>
  <conditionalFormatting sqref="H99:H111">
    <cfRule type="expression" dxfId="47" priority="20">
      <formula>J99=""</formula>
    </cfRule>
  </conditionalFormatting>
  <conditionalFormatting sqref="H114:H126">
    <cfRule type="expression" dxfId="46" priority="19">
      <formula>J114=""</formula>
    </cfRule>
  </conditionalFormatting>
  <conditionalFormatting sqref="H129:H141">
    <cfRule type="expression" dxfId="45" priority="18">
      <formula>J129=""</formula>
    </cfRule>
  </conditionalFormatting>
  <conditionalFormatting sqref="H144:H156">
    <cfRule type="expression" dxfId="44" priority="17">
      <formula>J144=""</formula>
    </cfRule>
  </conditionalFormatting>
  <conditionalFormatting sqref="H159:H171">
    <cfRule type="expression" dxfId="43" priority="16">
      <formula>J159=""</formula>
    </cfRule>
  </conditionalFormatting>
  <conditionalFormatting sqref="H174:H186">
    <cfRule type="expression" dxfId="42" priority="15">
      <formula>J174=""</formula>
    </cfRule>
  </conditionalFormatting>
  <conditionalFormatting sqref="H189:H201">
    <cfRule type="expression" dxfId="41" priority="14">
      <formula>J189=""</formula>
    </cfRule>
  </conditionalFormatting>
  <conditionalFormatting sqref="H204:H216">
    <cfRule type="expression" dxfId="40" priority="13">
      <formula>J204=""</formula>
    </cfRule>
  </conditionalFormatting>
  <conditionalFormatting sqref="H219:H231">
    <cfRule type="expression" dxfId="39" priority="12">
      <formula>J219=""</formula>
    </cfRule>
  </conditionalFormatting>
  <conditionalFormatting sqref="H234:H246">
    <cfRule type="expression" dxfId="38" priority="11">
      <formula>J234=""</formula>
    </cfRule>
  </conditionalFormatting>
  <conditionalFormatting sqref="I9:I21">
    <cfRule type="expression" dxfId="37" priority="179">
      <formula>L9=""</formula>
    </cfRule>
  </conditionalFormatting>
  <conditionalFormatting sqref="I24:I36">
    <cfRule type="expression" dxfId="36" priority="176">
      <formula>L24=""</formula>
    </cfRule>
  </conditionalFormatting>
  <conditionalFormatting sqref="I39:I51">
    <cfRule type="expression" dxfId="35" priority="173">
      <formula>L39=""</formula>
    </cfRule>
  </conditionalFormatting>
  <conditionalFormatting sqref="I54:I66">
    <cfRule type="expression" dxfId="34" priority="166">
      <formula>L54=""</formula>
    </cfRule>
  </conditionalFormatting>
  <conditionalFormatting sqref="I69:I81">
    <cfRule type="expression" dxfId="33" priority="162">
      <formula>L69=""</formula>
    </cfRule>
  </conditionalFormatting>
  <conditionalFormatting sqref="I84:I96">
    <cfRule type="expression" dxfId="32" priority="98">
      <formula>L84=""</formula>
    </cfRule>
  </conditionalFormatting>
  <conditionalFormatting sqref="I99:I111">
    <cfRule type="expression" dxfId="31" priority="93">
      <formula>L99=""</formula>
    </cfRule>
  </conditionalFormatting>
  <conditionalFormatting sqref="I114:I126">
    <cfRule type="expression" dxfId="30" priority="79">
      <formula>L114=""</formula>
    </cfRule>
  </conditionalFormatting>
  <conditionalFormatting sqref="I129:I141">
    <cfRule type="expression" dxfId="29" priority="74">
      <formula>L129=""</formula>
    </cfRule>
  </conditionalFormatting>
  <conditionalFormatting sqref="I144:I156">
    <cfRule type="expression" dxfId="28" priority="142">
      <formula>L144=""</formula>
    </cfRule>
  </conditionalFormatting>
  <conditionalFormatting sqref="I159:I171">
    <cfRule type="expression" dxfId="27" priority="69">
      <formula>L159=""</formula>
    </cfRule>
  </conditionalFormatting>
  <conditionalFormatting sqref="I174:I186">
    <cfRule type="expression" dxfId="26" priority="64">
      <formula>L174=""</formula>
    </cfRule>
  </conditionalFormatting>
  <conditionalFormatting sqref="I189:I201">
    <cfRule type="expression" dxfId="25" priority="59">
      <formula>L189=""</formula>
    </cfRule>
  </conditionalFormatting>
  <conditionalFormatting sqref="I205:I216">
    <cfRule type="expression" dxfId="24" priority="54">
      <formula>L205=""</formula>
    </cfRule>
  </conditionalFormatting>
  <conditionalFormatting sqref="I220:I231">
    <cfRule type="expression" dxfId="23" priority="49">
      <formula>L220=""</formula>
    </cfRule>
  </conditionalFormatting>
  <conditionalFormatting sqref="I235:I246">
    <cfRule type="expression" dxfId="22" priority="44">
      <formula>L235=""</formula>
    </cfRule>
  </conditionalFormatting>
  <conditionalFormatting sqref="J24:J36 J39:J51 J54:J66 J69:J81 J84:J96 J99:J111 J114:J126 J129:J141 J144:J156 J159:J171 J174:J186 J189:J201 J204:J216 J219:J231 J234:J246">
    <cfRule type="expression" dxfId="21" priority="1">
      <formula>L24=""</formula>
    </cfRule>
  </conditionalFormatting>
  <conditionalFormatting sqref="K9:K21">
    <cfRule type="expression" dxfId="20" priority="117">
      <formula>L9=""</formula>
    </cfRule>
  </conditionalFormatting>
  <conditionalFormatting sqref="K24:K36">
    <cfRule type="expression" dxfId="19" priority="103">
      <formula>L24=""</formula>
    </cfRule>
  </conditionalFormatting>
  <conditionalFormatting sqref="K39:K51">
    <cfRule type="expression" dxfId="18" priority="101">
      <formula>L39=""</formula>
    </cfRule>
  </conditionalFormatting>
  <conditionalFormatting sqref="K54:K66">
    <cfRule type="expression" dxfId="17" priority="99">
      <formula>L54=""</formula>
    </cfRule>
  </conditionalFormatting>
  <conditionalFormatting sqref="K69:K81">
    <cfRule type="expression" dxfId="16" priority="86">
      <formula>L69=""</formula>
    </cfRule>
  </conditionalFormatting>
  <conditionalFormatting sqref="K84:K96">
    <cfRule type="expression" dxfId="15" priority="83">
      <formula>L84=""</formula>
    </cfRule>
  </conditionalFormatting>
  <conditionalFormatting sqref="K99:K111">
    <cfRule type="expression" dxfId="14" priority="80">
      <formula>L99=""</formula>
    </cfRule>
  </conditionalFormatting>
  <conditionalFormatting sqref="K114:K126">
    <cfRule type="expression" dxfId="13" priority="75">
      <formula>L114=""</formula>
    </cfRule>
  </conditionalFormatting>
  <conditionalFormatting sqref="K129:K141">
    <cfRule type="expression" dxfId="12" priority="70">
      <formula>L129=""</formula>
    </cfRule>
  </conditionalFormatting>
  <conditionalFormatting sqref="K144:K156">
    <cfRule type="expression" dxfId="11" priority="110">
      <formula>L144=""</formula>
    </cfRule>
  </conditionalFormatting>
  <conditionalFormatting sqref="K159:K171">
    <cfRule type="expression" dxfId="10" priority="65">
      <formula>L159=""</formula>
    </cfRule>
  </conditionalFormatting>
  <conditionalFormatting sqref="K174:K186">
    <cfRule type="expression" dxfId="9" priority="60">
      <formula>L174=""</formula>
    </cfRule>
  </conditionalFormatting>
  <conditionalFormatting sqref="K189:K201">
    <cfRule type="expression" dxfId="8" priority="55">
      <formula>L189=""</formula>
    </cfRule>
  </conditionalFormatting>
  <conditionalFormatting sqref="K204:K216">
    <cfRule type="expression" dxfId="7" priority="50">
      <formula>L204=""</formula>
    </cfRule>
  </conditionalFormatting>
  <conditionalFormatting sqref="K219:K231">
    <cfRule type="expression" dxfId="6" priority="45">
      <formula>L219=""</formula>
    </cfRule>
  </conditionalFormatting>
  <conditionalFormatting sqref="K234:K246">
    <cfRule type="expression" dxfId="5" priority="40">
      <formula>L234=""</formula>
    </cfRule>
  </conditionalFormatting>
  <dataValidations count="1">
    <dataValidation type="list" allowBlank="1" showInputMessage="1" showErrorMessage="1" sqref="I9 I24 I39 I54 I69 I84 I99 I114 I129 I144 I159 I174 I189 I204 I219 I234" xr:uid="{32287894-71AD-46BC-82AF-3F1B577C64E4}">
      <formula1>$C$4:$C$19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8217320-AFA0-435E-B919-09BEA2A75578}">
          <x14:formula1>
            <xm:f>'C. Prod.'!$D:$D</xm:f>
          </x14:formula1>
          <xm:sqref>L205:L213 L235:L243 L114:L116 L104:L108 L84:L86 L74:L78 L54:L56 L39:L41 L220:L228 L9:L18 L45:L48 L162:L168 L177:L183 L147:L153 L134:L138 L129:L131 L119:L123 L99:L101 L69:L71 L89:L93 L59:L63 L190:L198 L24:L33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3CE1D-D718-4CDA-B835-2C2FE9EF8146}">
  <dimension ref="B1:AD38"/>
  <sheetViews>
    <sheetView showGridLines="0" workbookViewId="0">
      <selection activeCell="B38" sqref="B38"/>
    </sheetView>
  </sheetViews>
  <sheetFormatPr baseColWidth="10" defaultColWidth="11.140625" defaultRowHeight="13.5" x14ac:dyDescent="0.25"/>
  <cols>
    <col min="1" max="1" width="2.7109375" style="226" customWidth="1"/>
    <col min="2" max="2" width="31.5703125" style="226" bestFit="1" customWidth="1"/>
    <col min="3" max="3" width="9.140625" style="226" customWidth="1"/>
    <col min="4" max="4" width="12.42578125" style="226" customWidth="1"/>
    <col min="5" max="5" width="8.5703125" style="226" customWidth="1"/>
    <col min="6" max="6" width="11.85546875" style="226" hidden="1" customWidth="1"/>
    <col min="7" max="7" width="10.85546875" style="226" hidden="1" customWidth="1"/>
    <col min="8" max="9" width="14.140625" style="226" hidden="1" customWidth="1"/>
    <col min="10" max="11" width="13" style="226" hidden="1" customWidth="1"/>
    <col min="12" max="12" width="9.7109375" style="226" hidden="1" customWidth="1"/>
    <col min="13" max="13" width="8.5703125" style="226" hidden="1" customWidth="1"/>
    <col min="14" max="14" width="22" style="226" hidden="1" customWidth="1"/>
    <col min="15" max="15" width="6.42578125" style="226" customWidth="1"/>
    <col min="16" max="16" width="8.5703125" style="226" bestFit="1" customWidth="1"/>
    <col min="17" max="17" width="11.85546875" style="226" bestFit="1" customWidth="1"/>
    <col min="18" max="18" width="18.5703125" style="226" bestFit="1" customWidth="1"/>
    <col min="19" max="19" width="18.5703125" style="228" bestFit="1" customWidth="1"/>
    <col min="20" max="20" width="13.5703125" style="228" bestFit="1" customWidth="1"/>
    <col min="21" max="21" width="8.5703125" style="226" bestFit="1" customWidth="1"/>
    <col min="22" max="22" width="25.28515625" style="226" bestFit="1" customWidth="1"/>
    <col min="23" max="23" width="2.7109375" style="226" customWidth="1"/>
    <col min="24" max="24" width="34" style="226" customWidth="1"/>
    <col min="25" max="25" width="5.140625" bestFit="1" customWidth="1"/>
    <col min="26" max="26" width="3.140625" style="226" bestFit="1" customWidth="1"/>
    <col min="27" max="27" width="6.42578125" style="226" bestFit="1" customWidth="1"/>
    <col min="28" max="28" width="11.85546875" style="226" bestFit="1" customWidth="1"/>
    <col min="29" max="29" width="11.140625" style="226"/>
    <col min="30" max="30" width="16.42578125" style="226" bestFit="1" customWidth="1"/>
    <col min="31" max="16384" width="11.140625" style="226"/>
  </cols>
  <sheetData>
    <row r="1" spans="2:30" s="352" customFormat="1" ht="14.25" thickBot="1" x14ac:dyDescent="0.3">
      <c r="F1" s="353">
        <v>1</v>
      </c>
      <c r="G1" s="353">
        <v>2</v>
      </c>
      <c r="H1" s="353">
        <v>3</v>
      </c>
      <c r="I1" s="353">
        <v>4</v>
      </c>
      <c r="J1" s="353">
        <v>5</v>
      </c>
      <c r="K1" s="353">
        <v>6</v>
      </c>
      <c r="L1" s="353">
        <v>7</v>
      </c>
      <c r="M1" s="353">
        <v>8</v>
      </c>
      <c r="N1" s="353">
        <v>9</v>
      </c>
      <c r="S1" s="353"/>
      <c r="T1" s="353"/>
      <c r="Y1" s="354"/>
    </row>
    <row r="2" spans="2:30" ht="14.25" thickBot="1" x14ac:dyDescent="0.3">
      <c r="B2" s="229" t="s">
        <v>47</v>
      </c>
      <c r="C2" s="450" t="s">
        <v>160</v>
      </c>
      <c r="D2" s="450"/>
      <c r="E2" s="230" t="s">
        <v>162</v>
      </c>
      <c r="F2" s="231" t="str">
        <f>+'$ Producto'!C4</f>
        <v>Choco maní</v>
      </c>
      <c r="G2" s="231" t="str">
        <f>+'$ Producto'!C5</f>
        <v>Oreo</v>
      </c>
      <c r="H2" s="231" t="str">
        <f>+'$ Producto'!C6</f>
        <v>Homero S</v>
      </c>
      <c r="I2" s="231" t="str">
        <f>+'$ Producto'!C7</f>
        <v>Morita</v>
      </c>
      <c r="J2" s="231" t="str">
        <f>+'$ Producto'!C8</f>
        <v>R. avellana</v>
      </c>
      <c r="K2" s="231" t="str">
        <f>+'$ Producto'!C9</f>
        <v>R. arequipe</v>
      </c>
      <c r="L2" s="231" t="str">
        <f>+'$ Producto'!C10</f>
        <v>R. fresa</v>
      </c>
      <c r="M2" s="231" t="str">
        <f>+'$ Producto'!C11</f>
        <v>R. mora</v>
      </c>
      <c r="N2" s="231" t="str">
        <f>+'$ Producto'!C12</f>
        <v>R. frutos amarillos</v>
      </c>
      <c r="O2" s="231" t="s">
        <v>226</v>
      </c>
      <c r="P2" s="451" t="s">
        <v>227</v>
      </c>
      <c r="Q2" s="452"/>
      <c r="R2" s="234" t="s">
        <v>228</v>
      </c>
      <c r="S2" s="232" t="s">
        <v>229</v>
      </c>
      <c r="T2" s="233" t="s">
        <v>211</v>
      </c>
      <c r="U2" s="234" t="s">
        <v>162</v>
      </c>
      <c r="V2" s="226" t="s">
        <v>230</v>
      </c>
    </row>
    <row r="3" spans="2:30" ht="12.95" customHeight="1" x14ac:dyDescent="0.25">
      <c r="B3" s="235" t="s">
        <v>62</v>
      </c>
      <c r="C3" s="236">
        <f>_xlfn.XLOOKUP(B3,'C. Prod.'!D:D,'C. Prod.'!E:E)</f>
        <v>20</v>
      </c>
      <c r="D3" s="237" t="str">
        <f>_xlfn.XLOOKUP(B3,'C. Prod.'!D:D,'C. Prod.'!F:F)</f>
        <v>Litros</v>
      </c>
      <c r="E3" s="238">
        <f>_xlfn.XLOOKUP(B3,'C. Prod.'!D:D,'C. Prod.'!H:H)</f>
        <v>1000</v>
      </c>
      <c r="F3" s="239">
        <f>SUMIFS('$ Producto'!$J:$J,'$ Producto'!$H:$H,$F$1,'$ Producto'!$I:$I,$F$2,'$ Producto'!$L:$L,B3)</f>
        <v>240</v>
      </c>
      <c r="G3" s="239">
        <f>SUMIFS('$ Producto'!$J:$J,'$ Producto'!$H:$H,$G$1,'$ Producto'!$I:$I,$G$2,'$ Producto'!$L:$L,B3)</f>
        <v>240</v>
      </c>
      <c r="H3" s="239">
        <f>SUMIFS('$ Producto'!$J:$J,'$ Producto'!$H:$H,$H$1,'$ Producto'!$I:$I,$H$2,'$ Producto'!$L:$L,B3)</f>
        <v>240</v>
      </c>
      <c r="I3" s="239">
        <f>SUMIFS('$ Producto'!$J:$J,'$ Producto'!$H:$H,$I$1,'$ Producto'!$I:$I,$I$2,'$ Producto'!$L:$L,B3)</f>
        <v>240</v>
      </c>
      <c r="J3" s="239">
        <f>SUMIFS('$ Producto'!$J:$J,'$ Producto'!$H:$H,$J$1,'$ Producto'!$I:$I,$J$2,'$ Producto'!$L:$L,B3)</f>
        <v>288</v>
      </c>
      <c r="K3" s="239">
        <f>SUMIFS('$ Producto'!$J:$J,'$ Producto'!$H:$H,$K$1,'$ Producto'!$I:$I,$K$2,'$ Producto'!$L:$L,B3)</f>
        <v>288</v>
      </c>
      <c r="L3" s="239">
        <f>SUMIFS('$ Producto'!$J:$J,'$ Producto'!$H:$H,$L$1,'$ Producto'!$I:$I,$L$2,'$ Producto'!$L:$L,B3)</f>
        <v>288</v>
      </c>
      <c r="M3" s="239">
        <f>SUMIFS('$ Producto'!$J:$J,'$ Producto'!$H:$H,$M$1,'$ Producto'!$I:$I,$M$2,'$ Producto'!$L:$L,B3)</f>
        <v>288</v>
      </c>
      <c r="N3" s="239">
        <f>SUMIFS('$ Producto'!$J:$J,'$ Producto'!$H:$H,$N$1,'$ Producto'!$I:$I,$N$2,'$ Producto'!$L:$L,B3)</f>
        <v>288</v>
      </c>
      <c r="O3" s="239">
        <f>SUM(F3:N3)</f>
        <v>2400</v>
      </c>
      <c r="P3" s="240">
        <f t="shared" ref="P3:P19" si="0">ROUND((C3*O3)/E3,2)</f>
        <v>48</v>
      </c>
      <c r="Q3" s="226" t="str">
        <f t="shared" ref="Q3:Q19" si="1">+D3</f>
        <v>Litros</v>
      </c>
      <c r="R3" s="241">
        <f t="shared" ref="R3:R19" si="2">ROUND(ROUND((C3*O3)/E3,2)/C3,2)</f>
        <v>2.4</v>
      </c>
      <c r="S3" s="242">
        <f>IF(R3&lt;ROUND(R3+0.5,0),ROUND(R3+0.5,0),R3)</f>
        <v>3</v>
      </c>
      <c r="T3" s="243">
        <f>S3*_xlfn.XLOOKUP(B3,'C. Prod.'!D:D,'C. Prod.'!G:G)</f>
        <v>411000</v>
      </c>
      <c r="U3" s="244">
        <f>S3*E3</f>
        <v>3000</v>
      </c>
      <c r="V3" s="226">
        <f>+U3-O3</f>
        <v>600</v>
      </c>
      <c r="X3" s="453" t="s">
        <v>231</v>
      </c>
      <c r="Y3" s="226" t="s">
        <v>232</v>
      </c>
      <c r="Z3" s="332">
        <f>ROUND(O3/V3,0)</f>
        <v>4</v>
      </c>
      <c r="AA3" s="226" t="s">
        <v>233</v>
      </c>
      <c r="AB3" s="331">
        <f>-_xlfn.XLOOKUP(B3,'C. Prod.'!D:D,'C. Prod.'!G:G)</f>
        <v>-137000</v>
      </c>
      <c r="AC3" s="361">
        <f>IFERROR(12/Z3,0)</f>
        <v>3</v>
      </c>
      <c r="AD3" s="362">
        <f>+(T3*12)+AB3*AC3</f>
        <v>4521000</v>
      </c>
    </row>
    <row r="4" spans="2:30" ht="12.75" x14ac:dyDescent="0.25">
      <c r="B4" s="235" t="s">
        <v>64</v>
      </c>
      <c r="C4" s="236">
        <v>25</v>
      </c>
      <c r="D4" s="237" t="str">
        <f>_xlfn.XLOOKUP(B4,'C. Prod.'!D:D,'C. Prod.'!F:F)</f>
        <v>Kilogramos</v>
      </c>
      <c r="E4" s="238">
        <f>_xlfn.XLOOKUP(B4,'C. Prod.'!D:D,'C. Prod.'!H:H)</f>
        <v>750</v>
      </c>
      <c r="F4" s="239">
        <f>SUMIFS('$ Producto'!$J:$J,'$ Producto'!$H:$H,$F$1,'$ Producto'!$I:$I,$F$2,'$ Producto'!$L:$L,B4)</f>
        <v>240</v>
      </c>
      <c r="G4" s="239">
        <f>SUMIFS('$ Producto'!$J:$J,'$ Producto'!$H:$H,$G$1,'$ Producto'!$I:$I,$G$2,'$ Producto'!$L:$L,B4)</f>
        <v>240</v>
      </c>
      <c r="H4" s="239">
        <f>SUMIFS('$ Producto'!$J:$J,'$ Producto'!$H:$H,$H$1,'$ Producto'!$I:$I,$H$2,'$ Producto'!$L:$L,B4)</f>
        <v>240</v>
      </c>
      <c r="I4" s="239">
        <f>SUMIFS('$ Producto'!$J:$J,'$ Producto'!$H:$H,$I$1,'$ Producto'!$I:$I,$I$2,'$ Producto'!$L:$L,B4)</f>
        <v>240</v>
      </c>
      <c r="J4" s="239">
        <f>SUMIFS('$ Producto'!$J:$J,'$ Producto'!$H:$H,$J$1,'$ Producto'!$I:$I,$J$2,'$ Producto'!$L:$L,B4)</f>
        <v>288</v>
      </c>
      <c r="K4" s="239">
        <f>SUMIFS('$ Producto'!$J:$J,'$ Producto'!$H:$H,$K$1,'$ Producto'!$I:$I,$K$2,'$ Producto'!$L:$L,B4)</f>
        <v>288</v>
      </c>
      <c r="L4" s="239">
        <f>SUMIFS('$ Producto'!$J:$J,'$ Producto'!$H:$H,$L$1,'$ Producto'!$I:$I,$L$2,'$ Producto'!$L:$L,B4)</f>
        <v>288</v>
      </c>
      <c r="M4" s="239">
        <f>SUMIFS('$ Producto'!$J:$J,'$ Producto'!$H:$H,$M$1,'$ Producto'!$I:$I,$M$2,'$ Producto'!$L:$L,B4)</f>
        <v>288</v>
      </c>
      <c r="N4" s="239">
        <f>SUMIFS('$ Producto'!$J:$J,'$ Producto'!$H:$H,$N$1,'$ Producto'!$I:$I,$N$2,'$ Producto'!$L:$L,B4)</f>
        <v>288</v>
      </c>
      <c r="O4" s="239">
        <f t="shared" ref="O4:O19" si="3">SUM(F4:N4)</f>
        <v>2400</v>
      </c>
      <c r="P4" s="240">
        <f t="shared" si="0"/>
        <v>80</v>
      </c>
      <c r="Q4" s="226" t="str">
        <f t="shared" si="1"/>
        <v>Kilogramos</v>
      </c>
      <c r="R4" s="241">
        <f t="shared" si="2"/>
        <v>3.2</v>
      </c>
      <c r="S4" s="242">
        <f t="shared" ref="S4:S19" si="4">IF(R4&lt;ROUND(R4+0.5,0),ROUND(R4+0.5,0),R4)</f>
        <v>4</v>
      </c>
      <c r="T4" s="243">
        <f>S4*_xlfn.XLOOKUP(B4,'C. Prod.'!D:D,'C. Prod.'!G:G)</f>
        <v>1460000</v>
      </c>
      <c r="U4" s="244">
        <f t="shared" ref="U4:U19" si="5">S4*E4</f>
        <v>3000</v>
      </c>
      <c r="V4" s="226">
        <f t="shared" ref="V4:V19" si="6">+U4-O4</f>
        <v>600</v>
      </c>
      <c r="X4" s="453"/>
      <c r="Y4" s="226" t="s">
        <v>232</v>
      </c>
      <c r="Z4" s="332">
        <f t="shared" ref="Z4:Z19" si="7">ROUND(O4/V4,0)</f>
        <v>4</v>
      </c>
      <c r="AA4" s="226" t="s">
        <v>233</v>
      </c>
      <c r="AB4" s="331">
        <f>-_xlfn.XLOOKUP(B4,'C. Prod.'!D:D,'C. Prod.'!G:G)</f>
        <v>-365000</v>
      </c>
      <c r="AC4" s="361">
        <f t="shared" ref="AC4:AC19" si="8">IFERROR(12/Z4,0)</f>
        <v>3</v>
      </c>
      <c r="AD4" s="362">
        <f t="shared" ref="AD4:AD19" si="9">+(T4*12)+(AB4*AC4)</f>
        <v>16425000</v>
      </c>
    </row>
    <row r="5" spans="2:30" ht="12.75" x14ac:dyDescent="0.25">
      <c r="B5" s="235" t="s">
        <v>66</v>
      </c>
      <c r="C5" s="236">
        <v>0.5</v>
      </c>
      <c r="D5" s="237" t="str">
        <f>_xlfn.XLOOKUP(B5,'C. Prod.'!D:D,'C. Prod.'!F:F)</f>
        <v>Kilogramos</v>
      </c>
      <c r="E5" s="238">
        <f>_xlfn.XLOOKUP(B5,'C. Prod.'!D:D,'C. Prod.'!H:H)</f>
        <v>700</v>
      </c>
      <c r="F5" s="239">
        <f>SUMIFS('$ Producto'!$J:$J,'$ Producto'!$H:$H,$F$1,'$ Producto'!$I:$I,$F$2,'$ Producto'!$L:$L,B5)</f>
        <v>240</v>
      </c>
      <c r="G5" s="239">
        <f>SUMIFS('$ Producto'!$J:$J,'$ Producto'!$H:$H,$G$1,'$ Producto'!$I:$I,$G$2,'$ Producto'!$L:$L,B5)</f>
        <v>240</v>
      </c>
      <c r="H5" s="239">
        <f>SUMIFS('$ Producto'!$J:$J,'$ Producto'!$H:$H,$H$1,'$ Producto'!$I:$I,$H$2,'$ Producto'!$L:$L,B5)</f>
        <v>240</v>
      </c>
      <c r="I5" s="239">
        <f>SUMIFS('$ Producto'!$J:$J,'$ Producto'!$H:$H,$I$1,'$ Producto'!$I:$I,$I$2,'$ Producto'!$L:$L,B5)</f>
        <v>240</v>
      </c>
      <c r="J5" s="239">
        <f>SUMIFS('$ Producto'!$J:$J,'$ Producto'!$H:$H,$J$1,'$ Producto'!$I:$I,$J$2,'$ Producto'!$L:$L,B5)</f>
        <v>288</v>
      </c>
      <c r="K5" s="239">
        <f>SUMIFS('$ Producto'!$J:$J,'$ Producto'!$H:$H,$K$1,'$ Producto'!$I:$I,$K$2,'$ Producto'!$L:$L,B5)</f>
        <v>288</v>
      </c>
      <c r="L5" s="239">
        <f>SUMIFS('$ Producto'!$J:$J,'$ Producto'!$H:$H,$L$1,'$ Producto'!$I:$I,$L$2,'$ Producto'!$L:$L,B5)</f>
        <v>288</v>
      </c>
      <c r="M5" s="239">
        <f>SUMIFS('$ Producto'!$J:$J,'$ Producto'!$H:$H,$M$1,'$ Producto'!$I:$I,$M$2,'$ Producto'!$L:$L,B5)</f>
        <v>288</v>
      </c>
      <c r="N5" s="239">
        <f>SUMIFS('$ Producto'!$J:$J,'$ Producto'!$H:$H,$N$1,'$ Producto'!$I:$I,$N$2,'$ Producto'!$L:$L,B5)</f>
        <v>288</v>
      </c>
      <c r="O5" s="239">
        <f t="shared" si="3"/>
        <v>2400</v>
      </c>
      <c r="P5" s="240">
        <f t="shared" si="0"/>
        <v>1.71</v>
      </c>
      <c r="Q5" s="226" t="str">
        <f t="shared" si="1"/>
        <v>Kilogramos</v>
      </c>
      <c r="R5" s="241">
        <f t="shared" si="2"/>
        <v>3.42</v>
      </c>
      <c r="S5" s="242">
        <f t="shared" si="4"/>
        <v>4</v>
      </c>
      <c r="T5" s="243">
        <f>S5*_xlfn.XLOOKUP(B5,'C. Prod.'!D:D,'C. Prod.'!G:G)</f>
        <v>30400</v>
      </c>
      <c r="U5" s="244">
        <f t="shared" si="5"/>
        <v>2800</v>
      </c>
      <c r="V5" s="226">
        <f t="shared" si="6"/>
        <v>400</v>
      </c>
      <c r="X5" s="453"/>
      <c r="Y5" s="226" t="s">
        <v>232</v>
      </c>
      <c r="Z5" s="332">
        <f t="shared" si="7"/>
        <v>6</v>
      </c>
      <c r="AA5" s="226" t="s">
        <v>233</v>
      </c>
      <c r="AB5" s="331">
        <f>-_xlfn.XLOOKUP(B5,'C. Prod.'!D:D,'C. Prod.'!G:G)</f>
        <v>-7600</v>
      </c>
      <c r="AC5" s="361">
        <f t="shared" si="8"/>
        <v>2</v>
      </c>
      <c r="AD5" s="362">
        <f t="shared" si="9"/>
        <v>349600</v>
      </c>
    </row>
    <row r="6" spans="2:30" ht="12.75" x14ac:dyDescent="0.25">
      <c r="B6" s="235" t="s">
        <v>67</v>
      </c>
      <c r="C6" s="236">
        <v>0.5</v>
      </c>
      <c r="D6" s="237" t="str">
        <f>_xlfn.XLOOKUP(B6,'C. Prod.'!D:D,'C. Prod.'!F:F)</f>
        <v>Kilogramos</v>
      </c>
      <c r="E6" s="238">
        <f>_xlfn.XLOOKUP(B6,'C. Prod.'!D:D,'C. Prod.'!H:H)</f>
        <v>50</v>
      </c>
      <c r="F6" s="239">
        <f>SUMIFS('$ Producto'!$J:$J,'$ Producto'!$H:$H,$F$1,'$ Producto'!$I:$I,$F$2,'$ Producto'!$L:$L,B6)</f>
        <v>240</v>
      </c>
      <c r="G6" s="239">
        <f>SUMIFS('$ Producto'!$J:$J,'$ Producto'!$H:$H,$G$1,'$ Producto'!$I:$I,$G$2,'$ Producto'!$L:$L,B6)</f>
        <v>0</v>
      </c>
      <c r="H6" s="239">
        <f>SUMIFS('$ Producto'!$J:$J,'$ Producto'!$H:$H,$H$1,'$ Producto'!$I:$I,$H$2,'$ Producto'!$L:$L,B6)</f>
        <v>0</v>
      </c>
      <c r="I6" s="239">
        <f>SUMIFS('$ Producto'!$J:$J,'$ Producto'!$H:$H,$I$1,'$ Producto'!$I:$I,$I$2,'$ Producto'!$L:$L,B6)</f>
        <v>0</v>
      </c>
      <c r="J6" s="239">
        <f>SUMIFS('$ Producto'!$J:$J,'$ Producto'!$H:$H,$J$1,'$ Producto'!$I:$I,$J$2,'$ Producto'!$L:$L,B6)</f>
        <v>0</v>
      </c>
      <c r="K6" s="239">
        <f>SUMIFS('$ Producto'!$J:$J,'$ Producto'!$H:$H,$K$1,'$ Producto'!$I:$I,$K$2,'$ Producto'!$L:$L,B6)</f>
        <v>0</v>
      </c>
      <c r="L6" s="239">
        <f>SUMIFS('$ Producto'!$J:$J,'$ Producto'!$H:$H,$L$1,'$ Producto'!$I:$I,$L$2,'$ Producto'!$L:$L,B6)</f>
        <v>0</v>
      </c>
      <c r="M6" s="239">
        <f>SUMIFS('$ Producto'!$J:$J,'$ Producto'!$H:$H,$M$1,'$ Producto'!$I:$I,$M$2,'$ Producto'!$L:$L,B6)</f>
        <v>0</v>
      </c>
      <c r="N6" s="239">
        <f>SUMIFS('$ Producto'!$J:$J,'$ Producto'!$H:$H,$N$1,'$ Producto'!$I:$I,$N$2,'$ Producto'!$L:$L,B6)</f>
        <v>0</v>
      </c>
      <c r="O6" s="239">
        <f t="shared" si="3"/>
        <v>240</v>
      </c>
      <c r="P6" s="240">
        <f t="shared" si="0"/>
        <v>2.4</v>
      </c>
      <c r="Q6" s="226" t="str">
        <f t="shared" si="1"/>
        <v>Kilogramos</v>
      </c>
      <c r="R6" s="241">
        <f t="shared" si="2"/>
        <v>4.8</v>
      </c>
      <c r="S6" s="242">
        <f t="shared" si="4"/>
        <v>5</v>
      </c>
      <c r="T6" s="243">
        <f>S6*_xlfn.XLOOKUP(B6,'C. Prod.'!D:D,'C. Prod.'!G:G)</f>
        <v>39500</v>
      </c>
      <c r="U6" s="244">
        <f t="shared" si="5"/>
        <v>250</v>
      </c>
      <c r="V6" s="226">
        <f t="shared" si="6"/>
        <v>10</v>
      </c>
      <c r="X6" s="453"/>
      <c r="Y6" s="226" t="s">
        <v>232</v>
      </c>
      <c r="Z6" s="226">
        <f t="shared" si="7"/>
        <v>24</v>
      </c>
      <c r="AA6" s="226" t="s">
        <v>233</v>
      </c>
      <c r="AB6" s="331">
        <f>-_xlfn.XLOOKUP(B6,'C. Prod.'!D:D,'C. Prod.'!G:G)</f>
        <v>-7900</v>
      </c>
      <c r="AC6" s="361">
        <f t="shared" si="8"/>
        <v>0.5</v>
      </c>
      <c r="AD6" s="362">
        <f t="shared" si="9"/>
        <v>470050</v>
      </c>
    </row>
    <row r="7" spans="2:30" ht="12.75" x14ac:dyDescent="0.25">
      <c r="B7" s="235" t="s">
        <v>68</v>
      </c>
      <c r="C7" s="236">
        <v>2.5</v>
      </c>
      <c r="D7" s="237" t="str">
        <f>_xlfn.XLOOKUP(B7,'C. Prod.'!D:D,'C. Prod.'!F:F)</f>
        <v>Kilogramos</v>
      </c>
      <c r="E7" s="238">
        <f>_xlfn.XLOOKUP(B7,'C. Prod.'!D:D,'C. Prod.'!H:H)</f>
        <v>166</v>
      </c>
      <c r="F7" s="239">
        <f>SUMIFS('$ Producto'!$J:$J,'$ Producto'!$H:$H,$F$1,'$ Producto'!$I:$I,$F$2,'$ Producto'!$L:$L,B7)</f>
        <v>240</v>
      </c>
      <c r="G7" s="239">
        <f>SUMIFS('$ Producto'!$J:$J,'$ Producto'!$H:$H,$G$1,'$ Producto'!$I:$I,$G$2,'$ Producto'!$L:$L,B7)</f>
        <v>0</v>
      </c>
      <c r="H7" s="239">
        <f>SUMIFS('$ Producto'!$J:$J,'$ Producto'!$H:$H,$H$1,'$ Producto'!$I:$I,$H$2,'$ Producto'!$L:$L,B7)</f>
        <v>0</v>
      </c>
      <c r="I7" s="239">
        <f>SUMIFS('$ Producto'!$J:$J,'$ Producto'!$H:$H,$I$1,'$ Producto'!$I:$I,$I$2,'$ Producto'!$L:$L,B7)</f>
        <v>0</v>
      </c>
      <c r="J7" s="239">
        <f>SUMIFS('$ Producto'!$J:$J,'$ Producto'!$H:$H,$J$1,'$ Producto'!$I:$I,$J$2,'$ Producto'!$L:$L,B7)</f>
        <v>0</v>
      </c>
      <c r="K7" s="239">
        <f>SUMIFS('$ Producto'!$J:$J,'$ Producto'!$H:$H,$K$1,'$ Producto'!$I:$I,$K$2,'$ Producto'!$L:$L,B7)</f>
        <v>0</v>
      </c>
      <c r="L7" s="239">
        <f>SUMIFS('$ Producto'!$J:$J,'$ Producto'!$H:$H,$L$1,'$ Producto'!$I:$I,$L$2,'$ Producto'!$L:$L,B7)</f>
        <v>0</v>
      </c>
      <c r="M7" s="239">
        <f>SUMIFS('$ Producto'!$J:$J,'$ Producto'!$H:$H,$M$1,'$ Producto'!$I:$I,$M$2,'$ Producto'!$L:$L,B7)</f>
        <v>0</v>
      </c>
      <c r="N7" s="239">
        <f>SUMIFS('$ Producto'!$J:$J,'$ Producto'!$H:$H,$N$1,'$ Producto'!$I:$I,$N$2,'$ Producto'!$L:$L,B7)</f>
        <v>0</v>
      </c>
      <c r="O7" s="239">
        <f t="shared" si="3"/>
        <v>240</v>
      </c>
      <c r="P7" s="240">
        <f t="shared" si="0"/>
        <v>3.61</v>
      </c>
      <c r="Q7" s="226" t="str">
        <f t="shared" si="1"/>
        <v>Kilogramos</v>
      </c>
      <c r="R7" s="241">
        <f t="shared" si="2"/>
        <v>1.44</v>
      </c>
      <c r="S7" s="242">
        <f t="shared" si="4"/>
        <v>2</v>
      </c>
      <c r="T7" s="243">
        <f>S7*_xlfn.XLOOKUP(B7,'C. Prod.'!D:D,'C. Prod.'!G:G)</f>
        <v>77626</v>
      </c>
      <c r="U7" s="244">
        <f t="shared" si="5"/>
        <v>332</v>
      </c>
      <c r="V7" s="226">
        <f t="shared" si="6"/>
        <v>92</v>
      </c>
      <c r="X7" s="453"/>
      <c r="Y7" s="226" t="s">
        <v>232</v>
      </c>
      <c r="Z7" s="332">
        <f t="shared" si="7"/>
        <v>3</v>
      </c>
      <c r="AA7" s="226" t="s">
        <v>233</v>
      </c>
      <c r="AB7" s="331">
        <f>-_xlfn.XLOOKUP(B7,'C. Prod.'!D:D,'C. Prod.'!G:G)</f>
        <v>-38813</v>
      </c>
      <c r="AC7" s="361">
        <f t="shared" si="8"/>
        <v>4</v>
      </c>
      <c r="AD7" s="362">
        <f t="shared" si="9"/>
        <v>776260</v>
      </c>
    </row>
    <row r="8" spans="2:30" ht="12.75" x14ac:dyDescent="0.25">
      <c r="B8" s="235" t="s">
        <v>69</v>
      </c>
      <c r="C8" s="236">
        <v>2.5</v>
      </c>
      <c r="D8" s="237" t="str">
        <f>_xlfn.XLOOKUP(B8,'C. Prod.'!D:D,'C. Prod.'!F:F)</f>
        <v>Kilogramos</v>
      </c>
      <c r="E8" s="238">
        <f>_xlfn.XLOOKUP(B8,'C. Prod.'!D:D,'C. Prod.'!H:H)</f>
        <v>166</v>
      </c>
      <c r="F8" s="239">
        <f>SUMIFS('$ Producto'!$J:$J,'$ Producto'!$H:$H,$F$1,'$ Producto'!$I:$I,$F$2,'$ Producto'!$L:$L,B8)</f>
        <v>0</v>
      </c>
      <c r="G8" s="239">
        <f>SUMIFS('$ Producto'!$J:$J,'$ Producto'!$H:$H,$G$1,'$ Producto'!$I:$I,$G$2,'$ Producto'!$L:$L,B8)</f>
        <v>240</v>
      </c>
      <c r="H8" s="239">
        <f>SUMIFS('$ Producto'!$J:$J,'$ Producto'!$H:$H,$H$1,'$ Producto'!$I:$I,$H$2,'$ Producto'!$L:$L,B8)</f>
        <v>0</v>
      </c>
      <c r="I8" s="239">
        <f>SUMIFS('$ Producto'!$J:$J,'$ Producto'!$H:$H,$I$1,'$ Producto'!$I:$I,$I$2,'$ Producto'!$L:$L,B8)</f>
        <v>0</v>
      </c>
      <c r="J8" s="239">
        <f>SUMIFS('$ Producto'!$J:$J,'$ Producto'!$H:$H,$J$1,'$ Producto'!$I:$I,$J$2,'$ Producto'!$L:$L,B8)</f>
        <v>0</v>
      </c>
      <c r="K8" s="239">
        <f>SUMIFS('$ Producto'!$J:$J,'$ Producto'!$H:$H,$K$1,'$ Producto'!$I:$I,$K$2,'$ Producto'!$L:$L,B8)</f>
        <v>0</v>
      </c>
      <c r="L8" s="239">
        <f>SUMIFS('$ Producto'!$J:$J,'$ Producto'!$H:$H,$L$1,'$ Producto'!$I:$I,$L$2,'$ Producto'!$L:$L,B8)</f>
        <v>0</v>
      </c>
      <c r="M8" s="239">
        <f>SUMIFS('$ Producto'!$J:$J,'$ Producto'!$H:$H,$M$1,'$ Producto'!$I:$I,$M$2,'$ Producto'!$L:$L,B8)</f>
        <v>0</v>
      </c>
      <c r="N8" s="239">
        <f>SUMIFS('$ Producto'!$J:$J,'$ Producto'!$H:$H,$N$1,'$ Producto'!$I:$I,$N$2,'$ Producto'!$L:$L,B8)</f>
        <v>0</v>
      </c>
      <c r="O8" s="239">
        <f t="shared" si="3"/>
        <v>240</v>
      </c>
      <c r="P8" s="240">
        <f t="shared" si="0"/>
        <v>3.61</v>
      </c>
      <c r="Q8" s="226" t="str">
        <f t="shared" si="1"/>
        <v>Kilogramos</v>
      </c>
      <c r="R8" s="241">
        <f t="shared" si="2"/>
        <v>1.44</v>
      </c>
      <c r="S8" s="242">
        <f t="shared" si="4"/>
        <v>2</v>
      </c>
      <c r="T8" s="243">
        <f>S8*_xlfn.XLOOKUP(B8,'C. Prod.'!D:D,'C. Prod.'!G:G)</f>
        <v>77626</v>
      </c>
      <c r="U8" s="244">
        <f t="shared" si="5"/>
        <v>332</v>
      </c>
      <c r="V8" s="226">
        <f t="shared" si="6"/>
        <v>92</v>
      </c>
      <c r="X8" s="453"/>
      <c r="Y8" s="226" t="s">
        <v>232</v>
      </c>
      <c r="Z8" s="332">
        <f t="shared" si="7"/>
        <v>3</v>
      </c>
      <c r="AA8" s="226" t="s">
        <v>233</v>
      </c>
      <c r="AB8" s="331">
        <f>-_xlfn.XLOOKUP(B8,'C. Prod.'!D:D,'C. Prod.'!G:G)</f>
        <v>-38813</v>
      </c>
      <c r="AC8" s="361">
        <f t="shared" si="8"/>
        <v>4</v>
      </c>
      <c r="AD8" s="362">
        <f t="shared" si="9"/>
        <v>776260</v>
      </c>
    </row>
    <row r="9" spans="2:30" ht="12.75" x14ac:dyDescent="0.25">
      <c r="B9" s="235" t="s">
        <v>70</v>
      </c>
      <c r="C9" s="236">
        <v>2</v>
      </c>
      <c r="D9" s="237" t="str">
        <f>_xlfn.XLOOKUP(B9,'C. Prod.'!D:D,'C. Prod.'!F:F)</f>
        <v>Kilogramos</v>
      </c>
      <c r="E9" s="238">
        <f>_xlfn.XLOOKUP(B9,'C. Prod.'!D:D,'C. Prod.'!H:H)</f>
        <v>330</v>
      </c>
      <c r="F9" s="239">
        <f>SUMIFS('$ Producto'!$J:$J,'$ Producto'!$H:$H,$F$1,'$ Producto'!$I:$I,$F$2,'$ Producto'!$L:$L,B9)</f>
        <v>0</v>
      </c>
      <c r="G9" s="239">
        <f>SUMIFS('$ Producto'!$J:$J,'$ Producto'!$H:$H,$G$1,'$ Producto'!$I:$I,$G$2,'$ Producto'!$L:$L,B9)</f>
        <v>0</v>
      </c>
      <c r="H9" s="239">
        <f>SUMIFS('$ Producto'!$J:$J,'$ Producto'!$H:$H,$H$1,'$ Producto'!$I:$I,$H$2,'$ Producto'!$L:$L,B9)</f>
        <v>240</v>
      </c>
      <c r="I9" s="239">
        <f>SUMIFS('$ Producto'!$J:$J,'$ Producto'!$H:$H,$I$1,'$ Producto'!$I:$I,$I$2,'$ Producto'!$L:$L,B9)</f>
        <v>240</v>
      </c>
      <c r="J9" s="239">
        <f>SUMIFS('$ Producto'!$J:$J,'$ Producto'!$H:$H,$J$1,'$ Producto'!$I:$I,$J$2,'$ Producto'!$L:$L,B9)</f>
        <v>288</v>
      </c>
      <c r="K9" s="239">
        <f>SUMIFS('$ Producto'!$J:$J,'$ Producto'!$H:$H,$K$1,'$ Producto'!$I:$I,$K$2,'$ Producto'!$L:$L,B9)</f>
        <v>288</v>
      </c>
      <c r="L9" s="239">
        <f>SUMIFS('$ Producto'!$J:$J,'$ Producto'!$H:$H,$L$1,'$ Producto'!$I:$I,$L$2,'$ Producto'!$L:$L,B9)</f>
        <v>288</v>
      </c>
      <c r="M9" s="239">
        <f>SUMIFS('$ Producto'!$J:$J,'$ Producto'!$H:$H,$M$1,'$ Producto'!$I:$I,$M$2,'$ Producto'!$L:$L,B9)</f>
        <v>288</v>
      </c>
      <c r="N9" s="239">
        <f>SUMIFS('$ Producto'!$J:$J,'$ Producto'!$H:$H,$N$1,'$ Producto'!$I:$I,$N$2,'$ Producto'!$L:$L,B9)</f>
        <v>288</v>
      </c>
      <c r="O9" s="239">
        <f t="shared" si="3"/>
        <v>1920</v>
      </c>
      <c r="P9" s="240">
        <f t="shared" si="0"/>
        <v>11.64</v>
      </c>
      <c r="Q9" s="226" t="str">
        <f t="shared" si="1"/>
        <v>Kilogramos</v>
      </c>
      <c r="R9" s="241">
        <f t="shared" si="2"/>
        <v>5.82</v>
      </c>
      <c r="S9" s="242">
        <f t="shared" si="4"/>
        <v>6</v>
      </c>
      <c r="T9" s="243">
        <f>S9*_xlfn.XLOOKUP(B9,'C. Prod.'!D:D,'C. Prod.'!G:G)</f>
        <v>39000</v>
      </c>
      <c r="U9" s="244">
        <f t="shared" si="5"/>
        <v>1980</v>
      </c>
      <c r="V9" s="226">
        <f t="shared" si="6"/>
        <v>60</v>
      </c>
      <c r="X9" s="453"/>
      <c r="Y9" s="226" t="s">
        <v>232</v>
      </c>
      <c r="Z9" s="332">
        <f t="shared" si="7"/>
        <v>32</v>
      </c>
      <c r="AA9" s="226" t="s">
        <v>233</v>
      </c>
      <c r="AB9" s="331">
        <f>-_xlfn.XLOOKUP(B9,'C. Prod.'!D:D,'C. Prod.'!G:G)</f>
        <v>-6500</v>
      </c>
      <c r="AC9" s="361">
        <f t="shared" si="8"/>
        <v>0.375</v>
      </c>
      <c r="AD9" s="362">
        <f t="shared" si="9"/>
        <v>465562.5</v>
      </c>
    </row>
    <row r="10" spans="2:30" ht="12.75" x14ac:dyDescent="0.25">
      <c r="B10" s="235" t="s">
        <v>71</v>
      </c>
      <c r="C10" s="236">
        <v>350</v>
      </c>
      <c r="D10" s="237" t="str">
        <f>_xlfn.XLOOKUP(B10,'C. Prod.'!D:D,'C. Prod.'!F:F)</f>
        <v>Gramos</v>
      </c>
      <c r="E10" s="238">
        <f>_xlfn.XLOOKUP(B10,'C. Prod.'!D:D,'C. Prod.'!H:H)</f>
        <v>16</v>
      </c>
      <c r="F10" s="239">
        <f>SUMIFS('$ Producto'!$J:$J,'$ Producto'!$H:$H,$F$1,'$ Producto'!$I:$I,$F$2,'$ Producto'!$L:$L,B10)</f>
        <v>0</v>
      </c>
      <c r="G10" s="239">
        <f>SUMIFS('$ Producto'!$J:$J,'$ Producto'!$H:$H,$G$1,'$ Producto'!$I:$I,$G$2,'$ Producto'!$L:$L,B10)</f>
        <v>0</v>
      </c>
      <c r="H10" s="239">
        <f>SUMIFS('$ Producto'!$J:$J,'$ Producto'!$H:$H,$H$1,'$ Producto'!$I:$I,$H$2,'$ Producto'!$L:$L,B10)</f>
        <v>0</v>
      </c>
      <c r="I10" s="239">
        <f>SUMIFS('$ Producto'!$J:$J,'$ Producto'!$H:$H,$I$1,'$ Producto'!$I:$I,$I$2,'$ Producto'!$L:$L,B10)</f>
        <v>0</v>
      </c>
      <c r="J10" s="239">
        <f>SUMIFS('$ Producto'!$J:$J,'$ Producto'!$H:$H,$J$1,'$ Producto'!$I:$I,$J$2,'$ Producto'!$L:$L,B10)</f>
        <v>288</v>
      </c>
      <c r="K10" s="239">
        <f>SUMIFS('$ Producto'!$J:$J,'$ Producto'!$H:$H,$K$1,'$ Producto'!$I:$I,$K$2,'$ Producto'!$L:$L,B10)</f>
        <v>0</v>
      </c>
      <c r="L10" s="239">
        <f>SUMIFS('$ Producto'!$J:$J,'$ Producto'!$H:$H,$L$1,'$ Producto'!$I:$I,$L$2,'$ Producto'!$L:$L,B10)</f>
        <v>0</v>
      </c>
      <c r="M10" s="239">
        <f>SUMIFS('$ Producto'!$J:$J,'$ Producto'!$H:$H,$M$1,'$ Producto'!$I:$I,$M$2,'$ Producto'!$L:$L,B10)</f>
        <v>0</v>
      </c>
      <c r="N10" s="239">
        <f>SUMIFS('$ Producto'!$J:$J,'$ Producto'!$H:$H,$N$1,'$ Producto'!$I:$I,$N$2,'$ Producto'!$L:$L,B10)</f>
        <v>0</v>
      </c>
      <c r="O10" s="239">
        <f t="shared" si="3"/>
        <v>288</v>
      </c>
      <c r="P10" s="240">
        <f t="shared" si="0"/>
        <v>6300</v>
      </c>
      <c r="Q10" s="226" t="str">
        <f t="shared" si="1"/>
        <v>Gramos</v>
      </c>
      <c r="R10" s="241">
        <f t="shared" si="2"/>
        <v>18</v>
      </c>
      <c r="S10" s="242">
        <f t="shared" si="4"/>
        <v>19</v>
      </c>
      <c r="T10" s="243">
        <f>S10*_xlfn.XLOOKUP(B10,'C. Prod.'!D:D,'C. Prod.'!G:G)</f>
        <v>190000</v>
      </c>
      <c r="U10" s="244">
        <f t="shared" si="5"/>
        <v>304</v>
      </c>
      <c r="V10" s="226">
        <f t="shared" si="6"/>
        <v>16</v>
      </c>
      <c r="X10" s="453"/>
      <c r="Y10" s="226" t="s">
        <v>232</v>
      </c>
      <c r="Z10" s="226">
        <f t="shared" si="7"/>
        <v>18</v>
      </c>
      <c r="AA10" s="226" t="s">
        <v>233</v>
      </c>
      <c r="AB10" s="331">
        <f>-_xlfn.XLOOKUP(B10,'C. Prod.'!D:D,'C. Prod.'!G:G)</f>
        <v>-10000</v>
      </c>
      <c r="AC10" s="361">
        <f t="shared" si="8"/>
        <v>0.66666666666666663</v>
      </c>
      <c r="AD10" s="362">
        <f t="shared" si="9"/>
        <v>2273333.3333333335</v>
      </c>
    </row>
    <row r="11" spans="2:30" ht="12.75" x14ac:dyDescent="0.25">
      <c r="B11" s="235" t="s">
        <v>72</v>
      </c>
      <c r="C11" s="236">
        <v>5</v>
      </c>
      <c r="D11" s="237" t="str">
        <f>_xlfn.XLOOKUP(B11,'C. Prod.'!D:D,'C. Prod.'!F:F)</f>
        <v>Kilogramos</v>
      </c>
      <c r="E11" s="238">
        <f>_xlfn.XLOOKUP(B11,'C. Prod.'!D:D,'C. Prod.'!H:H)</f>
        <v>250</v>
      </c>
      <c r="F11" s="239">
        <f>SUMIFS('$ Producto'!$J:$J,'$ Producto'!$H:$H,$F$1,'$ Producto'!$I:$I,$F$2,'$ Producto'!$L:$L,B11)</f>
        <v>0</v>
      </c>
      <c r="G11" s="239">
        <f>SUMIFS('$ Producto'!$J:$J,'$ Producto'!$H:$H,$G$1,'$ Producto'!$I:$I,$G$2,'$ Producto'!$L:$L,B11)</f>
        <v>0</v>
      </c>
      <c r="H11" s="239">
        <f>SUMIFS('$ Producto'!$J:$J,'$ Producto'!$H:$H,$H$1,'$ Producto'!$I:$I,$H$2,'$ Producto'!$L:$L,B11)</f>
        <v>0</v>
      </c>
      <c r="I11" s="239">
        <f>SUMIFS('$ Producto'!$J:$J,'$ Producto'!$H:$H,$I$1,'$ Producto'!$I:$I,$I$2,'$ Producto'!$L:$L,B11)</f>
        <v>0</v>
      </c>
      <c r="J11" s="239">
        <f>SUMIFS('$ Producto'!$J:$J,'$ Producto'!$H:$H,$J$1,'$ Producto'!$I:$I,$J$2,'$ Producto'!$L:$L,B11)</f>
        <v>0</v>
      </c>
      <c r="K11" s="239">
        <f>SUMIFS('$ Producto'!$J:$J,'$ Producto'!$H:$H,$K$1,'$ Producto'!$I:$I,$K$2,'$ Producto'!$L:$L,B11)</f>
        <v>288</v>
      </c>
      <c r="L11" s="239">
        <f>SUMIFS('$ Producto'!$J:$J,'$ Producto'!$H:$H,$L$1,'$ Producto'!$I:$I,$L$2,'$ Producto'!$L:$L,B11)</f>
        <v>0</v>
      </c>
      <c r="M11" s="239">
        <f>SUMIFS('$ Producto'!$J:$J,'$ Producto'!$H:$H,$M$1,'$ Producto'!$I:$I,$M$2,'$ Producto'!$L:$L,B11)</f>
        <v>0</v>
      </c>
      <c r="N11" s="239">
        <f>SUMIFS('$ Producto'!$J:$J,'$ Producto'!$H:$H,$N$1,'$ Producto'!$I:$I,$N$2,'$ Producto'!$L:$L,B11)</f>
        <v>0</v>
      </c>
      <c r="O11" s="239">
        <f t="shared" si="3"/>
        <v>288</v>
      </c>
      <c r="P11" s="240">
        <f t="shared" si="0"/>
        <v>5.76</v>
      </c>
      <c r="Q11" s="226" t="str">
        <f t="shared" si="1"/>
        <v>Kilogramos</v>
      </c>
      <c r="R11" s="241">
        <f t="shared" si="2"/>
        <v>1.1499999999999999</v>
      </c>
      <c r="S11" s="242">
        <f t="shared" si="4"/>
        <v>2</v>
      </c>
      <c r="T11" s="243">
        <f>S11*_xlfn.XLOOKUP(B11,'C. Prod.'!D:D,'C. Prod.'!G:G)</f>
        <v>88000</v>
      </c>
      <c r="U11" s="244">
        <f t="shared" si="5"/>
        <v>500</v>
      </c>
      <c r="V11" s="226">
        <f t="shared" si="6"/>
        <v>212</v>
      </c>
      <c r="X11" s="453"/>
      <c r="Y11" s="226" t="s">
        <v>232</v>
      </c>
      <c r="Z11" s="332">
        <f t="shared" si="7"/>
        <v>1</v>
      </c>
      <c r="AA11" s="226" t="s">
        <v>233</v>
      </c>
      <c r="AB11" s="331">
        <f>-_xlfn.XLOOKUP(B11,'C. Prod.'!D:D,'C. Prod.'!G:G)</f>
        <v>-44000</v>
      </c>
      <c r="AC11" s="361">
        <f t="shared" si="8"/>
        <v>12</v>
      </c>
      <c r="AD11" s="362">
        <f t="shared" si="9"/>
        <v>528000</v>
      </c>
    </row>
    <row r="12" spans="2:30" ht="12.75" x14ac:dyDescent="0.25">
      <c r="B12" s="235" t="s">
        <v>73</v>
      </c>
      <c r="C12" s="236">
        <v>36</v>
      </c>
      <c r="D12" s="237" t="str">
        <f>_xlfn.XLOOKUP(B12,'C. Prod.'!D:D,'C. Prod.'!F:F)</f>
        <v>Unidades</v>
      </c>
      <c r="E12" s="238">
        <f>_xlfn.XLOOKUP(B12,'C. Prod.'!D:D,'C. Prod.'!H:H)</f>
        <v>36</v>
      </c>
      <c r="F12" s="239">
        <f>SUMIFS('$ Producto'!$J:$J,'$ Producto'!$H:$H,$F$1,'$ Producto'!$I:$I,$F$2,'$ Producto'!$L:$L,B12)</f>
        <v>0</v>
      </c>
      <c r="G12" s="239">
        <f>SUMIFS('$ Producto'!$J:$J,'$ Producto'!$H:$H,$G$1,'$ Producto'!$I:$I,$G$2,'$ Producto'!$L:$L,B12)</f>
        <v>240</v>
      </c>
      <c r="H12" s="239">
        <f>SUMIFS('$ Producto'!$J:$J,'$ Producto'!$H:$H,$H$1,'$ Producto'!$I:$I,$H$2,'$ Producto'!$L:$L,B12)</f>
        <v>0</v>
      </c>
      <c r="I12" s="239">
        <f>SUMIFS('$ Producto'!$J:$J,'$ Producto'!$H:$H,$I$1,'$ Producto'!$I:$I,$I$2,'$ Producto'!$L:$L,B12)</f>
        <v>0</v>
      </c>
      <c r="J12" s="239">
        <f>SUMIFS('$ Producto'!$J:$J,'$ Producto'!$H:$H,$J$1,'$ Producto'!$I:$I,$J$2,'$ Producto'!$L:$L,B12)</f>
        <v>0</v>
      </c>
      <c r="K12" s="239">
        <f>SUMIFS('$ Producto'!$J:$J,'$ Producto'!$H:$H,$K$1,'$ Producto'!$I:$I,$K$2,'$ Producto'!$L:$L,B12)</f>
        <v>0</v>
      </c>
      <c r="L12" s="239">
        <f>SUMIFS('$ Producto'!$J:$J,'$ Producto'!$H:$H,$L$1,'$ Producto'!$I:$I,$L$2,'$ Producto'!$L:$L,B12)</f>
        <v>0</v>
      </c>
      <c r="M12" s="239">
        <f>SUMIFS('$ Producto'!$J:$J,'$ Producto'!$H:$H,$M$1,'$ Producto'!$I:$I,$M$2,'$ Producto'!$L:$L,B12)</f>
        <v>0</v>
      </c>
      <c r="N12" s="239">
        <f>SUMIFS('$ Producto'!$J:$J,'$ Producto'!$H:$H,$N$1,'$ Producto'!$I:$I,$N$2,'$ Producto'!$L:$L,B12)</f>
        <v>0</v>
      </c>
      <c r="O12" s="239">
        <f t="shared" si="3"/>
        <v>240</v>
      </c>
      <c r="P12" s="240">
        <f t="shared" si="0"/>
        <v>240</v>
      </c>
      <c r="Q12" s="226" t="str">
        <f t="shared" si="1"/>
        <v>Unidades</v>
      </c>
      <c r="R12" s="241">
        <f t="shared" si="2"/>
        <v>6.67</v>
      </c>
      <c r="S12" s="242">
        <f t="shared" si="4"/>
        <v>7</v>
      </c>
      <c r="T12" s="243">
        <f>S12*_xlfn.XLOOKUP(B12,'C. Prod.'!D:D,'C. Prod.'!G:G)</f>
        <v>53900</v>
      </c>
      <c r="U12" s="244">
        <f t="shared" si="5"/>
        <v>252</v>
      </c>
      <c r="V12" s="226">
        <f t="shared" si="6"/>
        <v>12</v>
      </c>
      <c r="X12" s="453"/>
      <c r="Y12" s="226" t="s">
        <v>232</v>
      </c>
      <c r="Z12" s="332">
        <f t="shared" si="7"/>
        <v>20</v>
      </c>
      <c r="AA12" s="226" t="s">
        <v>233</v>
      </c>
      <c r="AB12" s="331">
        <f>-_xlfn.XLOOKUP(B12,'C. Prod.'!D:D,'C. Prod.'!G:G)</f>
        <v>-7700</v>
      </c>
      <c r="AC12" s="361">
        <f t="shared" si="8"/>
        <v>0.6</v>
      </c>
      <c r="AD12" s="362">
        <f t="shared" si="9"/>
        <v>642180</v>
      </c>
    </row>
    <row r="13" spans="2:30" ht="12.75" x14ac:dyDescent="0.25">
      <c r="B13" s="235" t="s">
        <v>75</v>
      </c>
      <c r="C13" s="236">
        <v>560</v>
      </c>
      <c r="D13" s="237" t="str">
        <f>_xlfn.XLOOKUP(B13,'C. Prod.'!D:D,'C. Prod.'!F:F)</f>
        <v>Unidades</v>
      </c>
      <c r="E13" s="238">
        <f>_xlfn.XLOOKUP(B13,'C. Prod.'!D:D,'C. Prod.'!H:H)</f>
        <v>440</v>
      </c>
      <c r="F13" s="239">
        <f>SUMIFS('$ Producto'!$J:$J,'$ Producto'!$H:$H,$F$1,'$ Producto'!$I:$I,$F$2,'$ Producto'!$L:$L,B13)</f>
        <v>0</v>
      </c>
      <c r="G13" s="239">
        <f>SUMIFS('$ Producto'!$J:$J,'$ Producto'!$H:$H,$G$1,'$ Producto'!$I:$I,$G$2,'$ Producto'!$L:$L,B13)</f>
        <v>0</v>
      </c>
      <c r="H13" s="239">
        <f>SUMIFS('$ Producto'!$J:$J,'$ Producto'!$H:$H,$H$1,'$ Producto'!$I:$I,$H$2,'$ Producto'!$L:$L,B13)</f>
        <v>240</v>
      </c>
      <c r="I13" s="239">
        <f>SUMIFS('$ Producto'!$J:$J,'$ Producto'!$H:$H,$I$1,'$ Producto'!$I:$I,$I$2,'$ Producto'!$L:$L,B13)</f>
        <v>0</v>
      </c>
      <c r="J13" s="239">
        <f>SUMIFS('$ Producto'!$J:$J,'$ Producto'!$H:$H,$J$1,'$ Producto'!$I:$I,$J$2,'$ Producto'!$L:$L,B13)</f>
        <v>0</v>
      </c>
      <c r="K13" s="239">
        <f>SUMIFS('$ Producto'!$J:$J,'$ Producto'!$H:$H,$K$1,'$ Producto'!$I:$I,$K$2,'$ Producto'!$L:$L,B13)</f>
        <v>0</v>
      </c>
      <c r="L13" s="239">
        <f>SUMIFS('$ Producto'!$J:$J,'$ Producto'!$H:$H,$L$1,'$ Producto'!$I:$I,$L$2,'$ Producto'!$L:$L,B13)</f>
        <v>0</v>
      </c>
      <c r="M13" s="239">
        <f>SUMIFS('$ Producto'!$J:$J,'$ Producto'!$H:$H,$M$1,'$ Producto'!$I:$I,$M$2,'$ Producto'!$L:$L,B13)</f>
        <v>0</v>
      </c>
      <c r="N13" s="239">
        <f>SUMIFS('$ Producto'!$J:$J,'$ Producto'!$H:$H,$N$1,'$ Producto'!$I:$I,$N$2,'$ Producto'!$L:$L,B13)</f>
        <v>0</v>
      </c>
      <c r="O13" s="239">
        <f t="shared" si="3"/>
        <v>240</v>
      </c>
      <c r="P13" s="240">
        <f t="shared" si="0"/>
        <v>305.45</v>
      </c>
      <c r="Q13" s="226" t="str">
        <f t="shared" si="1"/>
        <v>Unidades</v>
      </c>
      <c r="R13" s="241">
        <f t="shared" si="2"/>
        <v>0.55000000000000004</v>
      </c>
      <c r="S13" s="242">
        <f t="shared" si="4"/>
        <v>1</v>
      </c>
      <c r="T13" s="243">
        <f>S13*_xlfn.XLOOKUP(B13,'C. Prod.'!D:D,'C. Prod.'!G:G)</f>
        <v>28000</v>
      </c>
      <c r="U13" s="244">
        <f t="shared" si="5"/>
        <v>440</v>
      </c>
      <c r="V13" s="226">
        <f t="shared" si="6"/>
        <v>200</v>
      </c>
      <c r="X13" s="453"/>
      <c r="Y13" s="226" t="s">
        <v>232</v>
      </c>
      <c r="Z13" s="332">
        <f t="shared" si="7"/>
        <v>1</v>
      </c>
      <c r="AA13" s="226" t="s">
        <v>233</v>
      </c>
      <c r="AB13" s="331">
        <f>-_xlfn.XLOOKUP(B13,'C. Prod.'!D:D,'C. Prod.'!G:G)</f>
        <v>-28000</v>
      </c>
      <c r="AC13" s="361">
        <f t="shared" si="8"/>
        <v>12</v>
      </c>
      <c r="AD13" s="362">
        <f t="shared" si="9"/>
        <v>0</v>
      </c>
    </row>
    <row r="14" spans="2:30" ht="12.75" x14ac:dyDescent="0.25">
      <c r="B14" s="235" t="s">
        <v>76</v>
      </c>
      <c r="C14" s="236">
        <v>100</v>
      </c>
      <c r="D14" s="237" t="str">
        <f>_xlfn.XLOOKUP(B14,'C. Prod.'!D:D,'C. Prod.'!F:F)</f>
        <v>Unidades</v>
      </c>
      <c r="E14" s="238">
        <f>_xlfn.XLOOKUP(B14,'C. Prod.'!D:D,'C. Prod.'!H:H)</f>
        <v>100</v>
      </c>
      <c r="F14" s="239">
        <f>SUMIFS('$ Producto'!$J:$J,'$ Producto'!$H:$H,$F$1,'$ Producto'!$I:$I,$F$2,'$ Producto'!$L:$L,B14)</f>
        <v>0</v>
      </c>
      <c r="G14" s="239">
        <f>SUMIFS('$ Producto'!$J:$J,'$ Producto'!$H:$H,$G$1,'$ Producto'!$I:$I,$G$2,'$ Producto'!$L:$L,B14)</f>
        <v>0</v>
      </c>
      <c r="H14" s="239">
        <f>SUMIFS('$ Producto'!$J:$J,'$ Producto'!$H:$H,$H$1,'$ Producto'!$I:$I,$H$2,'$ Producto'!$L:$L,B14)</f>
        <v>0</v>
      </c>
      <c r="I14" s="239">
        <f>SUMIFS('$ Producto'!$J:$J,'$ Producto'!$H:$H,$I$1,'$ Producto'!$I:$I,$I$2,'$ Producto'!$L:$L,B14)</f>
        <v>240</v>
      </c>
      <c r="J14" s="239">
        <f>SUMIFS('$ Producto'!$J:$J,'$ Producto'!$H:$H,$J$1,'$ Producto'!$I:$I,$J$2,'$ Producto'!$L:$L,B14)</f>
        <v>0</v>
      </c>
      <c r="K14" s="239">
        <f>SUMIFS('$ Producto'!$J:$J,'$ Producto'!$H:$H,$K$1,'$ Producto'!$I:$I,$K$2,'$ Producto'!$L:$L,B14)</f>
        <v>0</v>
      </c>
      <c r="L14" s="239">
        <f>SUMIFS('$ Producto'!$J:$J,'$ Producto'!$H:$H,$L$1,'$ Producto'!$I:$I,$L$2,'$ Producto'!$L:$L,B14)</f>
        <v>0</v>
      </c>
      <c r="M14" s="239">
        <f>SUMIFS('$ Producto'!$J:$J,'$ Producto'!$H:$H,$M$1,'$ Producto'!$I:$I,$M$2,'$ Producto'!$L:$L,B14)</f>
        <v>0</v>
      </c>
      <c r="N14" s="239">
        <f>SUMIFS('$ Producto'!$J:$J,'$ Producto'!$H:$H,$N$1,'$ Producto'!$I:$I,$N$2,'$ Producto'!$L:$L,B14)</f>
        <v>0</v>
      </c>
      <c r="O14" s="239">
        <f t="shared" si="3"/>
        <v>240</v>
      </c>
      <c r="P14" s="240">
        <f t="shared" si="0"/>
        <v>240</v>
      </c>
      <c r="Q14" s="226" t="str">
        <f t="shared" si="1"/>
        <v>Unidades</v>
      </c>
      <c r="R14" s="241">
        <f t="shared" si="2"/>
        <v>2.4</v>
      </c>
      <c r="S14" s="242">
        <f t="shared" si="4"/>
        <v>3</v>
      </c>
      <c r="T14" s="243">
        <f>S14*_xlfn.XLOOKUP(B14,'C. Prod.'!D:D,'C. Prod.'!G:G)</f>
        <v>17100</v>
      </c>
      <c r="U14" s="244">
        <f t="shared" si="5"/>
        <v>300</v>
      </c>
      <c r="V14" s="226">
        <f t="shared" si="6"/>
        <v>60</v>
      </c>
      <c r="X14" s="453"/>
      <c r="Y14" s="226" t="s">
        <v>232</v>
      </c>
      <c r="Z14" s="226">
        <f t="shared" si="7"/>
        <v>4</v>
      </c>
      <c r="AA14" s="226" t="s">
        <v>233</v>
      </c>
      <c r="AB14" s="331">
        <f>-_xlfn.XLOOKUP(B14,'C. Prod.'!D:D,'C. Prod.'!G:G)</f>
        <v>-5700</v>
      </c>
      <c r="AC14" s="361">
        <f t="shared" si="8"/>
        <v>3</v>
      </c>
      <c r="AD14" s="362">
        <f t="shared" si="9"/>
        <v>188100</v>
      </c>
    </row>
    <row r="15" spans="2:30" ht="12.75" x14ac:dyDescent="0.25">
      <c r="B15" s="235" t="s">
        <v>77</v>
      </c>
      <c r="C15" s="236">
        <v>0.5</v>
      </c>
      <c r="D15" s="237" t="str">
        <f>_xlfn.XLOOKUP(B15,'C. Prod.'!D:D,'C. Prod.'!F:F)</f>
        <v>Kilogramos</v>
      </c>
      <c r="E15" s="238">
        <f>_xlfn.XLOOKUP(B15,'C. Prod.'!D:D,'C. Prod.'!H:H)</f>
        <v>100</v>
      </c>
      <c r="F15" s="239">
        <f>SUMIFS('$ Producto'!$J:$J,'$ Producto'!$H:$H,$F$1,'$ Producto'!$I:$I,$F$2,'$ Producto'!$L:$L,B15)</f>
        <v>0</v>
      </c>
      <c r="G15" s="239">
        <f>SUMIFS('$ Producto'!$J:$J,'$ Producto'!$H:$H,$G$1,'$ Producto'!$I:$I,$G$2,'$ Producto'!$L:$L,B15)</f>
        <v>0</v>
      </c>
      <c r="H15" s="239">
        <f>SUMIFS('$ Producto'!$J:$J,'$ Producto'!$H:$H,$H$1,'$ Producto'!$I:$I,$H$2,'$ Producto'!$L:$L,B15)</f>
        <v>240</v>
      </c>
      <c r="I15" s="239">
        <f>SUMIFS('$ Producto'!$J:$J,'$ Producto'!$H:$H,$I$1,'$ Producto'!$I:$I,$I$2,'$ Producto'!$L:$L,B15)</f>
        <v>0</v>
      </c>
      <c r="J15" s="239">
        <f>SUMIFS('$ Producto'!$J:$J,'$ Producto'!$H:$H,$J$1,'$ Producto'!$I:$I,$J$2,'$ Producto'!$L:$L,B15)</f>
        <v>0</v>
      </c>
      <c r="K15" s="239">
        <f>SUMIFS('$ Producto'!$J:$J,'$ Producto'!$H:$H,$K$1,'$ Producto'!$I:$I,$K$2,'$ Producto'!$L:$L,B15)</f>
        <v>0</v>
      </c>
      <c r="L15" s="239">
        <f>SUMIFS('$ Producto'!$J:$J,'$ Producto'!$H:$H,$L$1,'$ Producto'!$I:$I,$L$2,'$ Producto'!$L:$L,B15)</f>
        <v>0</v>
      </c>
      <c r="M15" s="239">
        <f>SUMIFS('$ Producto'!$J:$J,'$ Producto'!$H:$H,$M$1,'$ Producto'!$I:$I,$M$2,'$ Producto'!$L:$L,B15)</f>
        <v>0</v>
      </c>
      <c r="N15" s="239">
        <f>SUMIFS('$ Producto'!$J:$J,'$ Producto'!$H:$H,$N$1,'$ Producto'!$I:$I,$N$2,'$ Producto'!$L:$L,B15)</f>
        <v>0</v>
      </c>
      <c r="O15" s="239">
        <f t="shared" si="3"/>
        <v>240</v>
      </c>
      <c r="P15" s="240">
        <f t="shared" si="0"/>
        <v>1.2</v>
      </c>
      <c r="Q15" s="226" t="str">
        <f t="shared" si="1"/>
        <v>Kilogramos</v>
      </c>
      <c r="R15" s="241">
        <f t="shared" si="2"/>
        <v>2.4</v>
      </c>
      <c r="S15" s="242">
        <f t="shared" si="4"/>
        <v>3</v>
      </c>
      <c r="T15" s="243">
        <f>S15*_xlfn.XLOOKUP(B15,'C. Prod.'!D:D,'C. Prod.'!G:G)</f>
        <v>50400</v>
      </c>
      <c r="U15" s="244">
        <f t="shared" si="5"/>
        <v>300</v>
      </c>
      <c r="V15" s="226">
        <f t="shared" si="6"/>
        <v>60</v>
      </c>
      <c r="X15" s="453"/>
      <c r="Y15" s="226" t="s">
        <v>232</v>
      </c>
      <c r="Z15" s="226">
        <f t="shared" si="7"/>
        <v>4</v>
      </c>
      <c r="AA15" s="226" t="s">
        <v>233</v>
      </c>
      <c r="AB15" s="331">
        <f>-_xlfn.XLOOKUP(B15,'C. Prod.'!D:D,'C. Prod.'!G:G)</f>
        <v>-16800</v>
      </c>
      <c r="AC15" s="361">
        <f t="shared" si="8"/>
        <v>3</v>
      </c>
      <c r="AD15" s="362">
        <f t="shared" si="9"/>
        <v>554400</v>
      </c>
    </row>
    <row r="16" spans="2:30" ht="12.75" x14ac:dyDescent="0.25">
      <c r="B16" s="235" t="s">
        <v>78</v>
      </c>
      <c r="C16" s="236">
        <v>0.5</v>
      </c>
      <c r="D16" s="237" t="str">
        <f>_xlfn.XLOOKUP(B16,'C. Prod.'!D:D,'C. Prod.'!F:F)</f>
        <v>Kilogramos</v>
      </c>
      <c r="E16" s="238">
        <f>_xlfn.XLOOKUP(B16,'C. Prod.'!D:D,'C. Prod.'!H:H)</f>
        <v>250</v>
      </c>
      <c r="F16" s="239">
        <f>SUMIFS('$ Producto'!$J:$J,'$ Producto'!$H:$H,$F$1,'$ Producto'!$I:$I,$F$2,'$ Producto'!$L:$L,B16)</f>
        <v>0</v>
      </c>
      <c r="G16" s="239">
        <f>SUMIFS('$ Producto'!$J:$J,'$ Producto'!$H:$H,$G$1,'$ Producto'!$I:$I,$G$2,'$ Producto'!$L:$L,B16)</f>
        <v>0</v>
      </c>
      <c r="H16" s="239">
        <f>SUMIFS('$ Producto'!$J:$J,'$ Producto'!$H:$H,$H$1,'$ Producto'!$I:$I,$H$2,'$ Producto'!$L:$L,B16)</f>
        <v>0</v>
      </c>
      <c r="I16" s="239">
        <f>SUMIFS('$ Producto'!$J:$J,'$ Producto'!$H:$H,$I$1,'$ Producto'!$I:$I,$I$2,'$ Producto'!$L:$L,B16)</f>
        <v>0</v>
      </c>
      <c r="J16" s="239">
        <f>SUMIFS('$ Producto'!$J:$J,'$ Producto'!$H:$H,$J$1,'$ Producto'!$I:$I,$J$2,'$ Producto'!$L:$L,B16)</f>
        <v>0</v>
      </c>
      <c r="K16" s="239">
        <f>SUMIFS('$ Producto'!$J:$J,'$ Producto'!$H:$H,$K$1,'$ Producto'!$I:$I,$K$2,'$ Producto'!$L:$L,B16)</f>
        <v>0</v>
      </c>
      <c r="L16" s="239">
        <f>SUMIFS('$ Producto'!$J:$J,'$ Producto'!$H:$H,$L$1,'$ Producto'!$I:$I,$L$2,'$ Producto'!$L:$L,B16)</f>
        <v>0</v>
      </c>
      <c r="M16" s="239">
        <f>SUMIFS('$ Producto'!$J:$J,'$ Producto'!$H:$H,$M$1,'$ Producto'!$I:$I,$M$2,'$ Producto'!$L:$L,B16)</f>
        <v>0</v>
      </c>
      <c r="N16" s="239">
        <f>SUMIFS('$ Producto'!$J:$J,'$ Producto'!$H:$H,$N$1,'$ Producto'!$I:$I,$N$2,'$ Producto'!$L:$L,B16)</f>
        <v>0</v>
      </c>
      <c r="O16" s="239">
        <f t="shared" si="3"/>
        <v>0</v>
      </c>
      <c r="P16" s="240">
        <f t="shared" si="0"/>
        <v>0</v>
      </c>
      <c r="Q16" s="226" t="str">
        <f t="shared" si="1"/>
        <v>Kilogramos</v>
      </c>
      <c r="R16" s="241">
        <f t="shared" si="2"/>
        <v>0</v>
      </c>
      <c r="S16" s="242">
        <f t="shared" si="4"/>
        <v>1</v>
      </c>
      <c r="T16" s="243">
        <f>S16*_xlfn.XLOOKUP(B16,'C. Prod.'!D:D,'C. Prod.'!G:G)</f>
        <v>8900</v>
      </c>
      <c r="U16" s="244">
        <f t="shared" si="5"/>
        <v>250</v>
      </c>
      <c r="V16" s="226">
        <f t="shared" si="6"/>
        <v>250</v>
      </c>
      <c r="X16" s="453"/>
      <c r="Y16" s="226" t="s">
        <v>232</v>
      </c>
      <c r="Z16" s="332">
        <f t="shared" si="7"/>
        <v>0</v>
      </c>
      <c r="AA16" s="226" t="s">
        <v>233</v>
      </c>
      <c r="AB16" s="331">
        <f>-_xlfn.XLOOKUP(B16,'C. Prod.'!D:D,'C. Prod.'!G:G)</f>
        <v>-8900</v>
      </c>
      <c r="AC16" s="361">
        <f t="shared" si="8"/>
        <v>0</v>
      </c>
      <c r="AD16" s="362">
        <f t="shared" si="9"/>
        <v>106800</v>
      </c>
    </row>
    <row r="17" spans="2:30" ht="12.75" x14ac:dyDescent="0.25">
      <c r="B17" s="235" t="s">
        <v>79</v>
      </c>
      <c r="C17" s="236">
        <v>1</v>
      </c>
      <c r="D17" s="237" t="str">
        <f>_xlfn.XLOOKUP(B17,'C. Prod.'!D:D,'C. Prod.'!F:F)</f>
        <v>Kilogramos</v>
      </c>
      <c r="E17" s="238">
        <f>_xlfn.XLOOKUP(B17,'C. Prod.'!D:D,'C. Prod.'!H:H)</f>
        <v>50</v>
      </c>
      <c r="F17" s="239">
        <f>SUMIFS('$ Producto'!$J:$J,'$ Producto'!$H:$H,$F$1,'$ Producto'!$I:$I,$F$2,'$ Producto'!$L:$L,B17)</f>
        <v>0</v>
      </c>
      <c r="G17" s="239">
        <f>SUMIFS('$ Producto'!$J:$J,'$ Producto'!$H:$H,$G$1,'$ Producto'!$I:$I,$G$2,'$ Producto'!$L:$L,B17)</f>
        <v>0</v>
      </c>
      <c r="H17" s="239">
        <f>SUMIFS('$ Producto'!$J:$J,'$ Producto'!$H:$H,$H$1,'$ Producto'!$I:$I,$H$2,'$ Producto'!$L:$L,B17)</f>
        <v>0</v>
      </c>
      <c r="I17" s="239">
        <f>SUMIFS('$ Producto'!$J:$J,'$ Producto'!$H:$H,$I$1,'$ Producto'!$I:$I,$I$2,'$ Producto'!$L:$L,B17)</f>
        <v>0</v>
      </c>
      <c r="J17" s="239">
        <f>SUMIFS('$ Producto'!$J:$J,'$ Producto'!$H:$H,$J$1,'$ Producto'!$I:$I,$J$2,'$ Producto'!$L:$L,B17)</f>
        <v>0</v>
      </c>
      <c r="K17" s="239">
        <f>SUMIFS('$ Producto'!$J:$J,'$ Producto'!$H:$H,$K$1,'$ Producto'!$I:$I,$K$2,'$ Producto'!$L:$L,B17)</f>
        <v>0</v>
      </c>
      <c r="L17" s="239">
        <f>SUMIFS('$ Producto'!$J:$J,'$ Producto'!$H:$H,$L$1,'$ Producto'!$I:$I,$L$2,'$ Producto'!$L:$L,B17)</f>
        <v>288</v>
      </c>
      <c r="M17" s="239">
        <f>SUMIFS('$ Producto'!$J:$J,'$ Producto'!$H:$H,$M$1,'$ Producto'!$I:$I,$M$2,'$ Producto'!$L:$L,B17)</f>
        <v>0</v>
      </c>
      <c r="N17" s="239">
        <f>SUMIFS('$ Producto'!$J:$J,'$ Producto'!$H:$H,$N$1,'$ Producto'!$I:$I,$N$2,'$ Producto'!$L:$L,B17)</f>
        <v>0</v>
      </c>
      <c r="O17" s="239">
        <f t="shared" si="3"/>
        <v>288</v>
      </c>
      <c r="P17" s="240">
        <f t="shared" si="0"/>
        <v>5.76</v>
      </c>
      <c r="Q17" s="226" t="str">
        <f t="shared" si="1"/>
        <v>Kilogramos</v>
      </c>
      <c r="R17" s="241">
        <f t="shared" si="2"/>
        <v>5.76</v>
      </c>
      <c r="S17" s="242">
        <f t="shared" si="4"/>
        <v>6</v>
      </c>
      <c r="T17" s="243">
        <f>S17*_xlfn.XLOOKUP(B17,'C. Prod.'!D:D,'C. Prod.'!G:G)</f>
        <v>84000</v>
      </c>
      <c r="U17" s="244">
        <f t="shared" si="5"/>
        <v>300</v>
      </c>
      <c r="V17" s="226">
        <f t="shared" si="6"/>
        <v>12</v>
      </c>
      <c r="X17" s="453"/>
      <c r="Y17" s="226" t="s">
        <v>232</v>
      </c>
      <c r="Z17" s="332">
        <f t="shared" si="7"/>
        <v>24</v>
      </c>
      <c r="AA17" s="226" t="s">
        <v>233</v>
      </c>
      <c r="AB17" s="331">
        <f>-_xlfn.XLOOKUP(B17,'C. Prod.'!D:D,'C. Prod.'!G:G)</f>
        <v>-14000</v>
      </c>
      <c r="AC17" s="361">
        <f t="shared" si="8"/>
        <v>0.5</v>
      </c>
      <c r="AD17" s="362">
        <f t="shared" si="9"/>
        <v>1001000</v>
      </c>
    </row>
    <row r="18" spans="2:30" ht="12.75" x14ac:dyDescent="0.25">
      <c r="B18" s="235" t="s">
        <v>80</v>
      </c>
      <c r="C18" s="236">
        <v>1</v>
      </c>
      <c r="D18" s="237" t="str">
        <f>_xlfn.XLOOKUP(B18,'C. Prod.'!D:D,'C. Prod.'!F:F)</f>
        <v>Kilogramos</v>
      </c>
      <c r="E18" s="238">
        <f>_xlfn.XLOOKUP(B18,'C. Prod.'!D:D,'C. Prod.'!H:H)</f>
        <v>50</v>
      </c>
      <c r="F18" s="239">
        <f>SUMIFS('$ Producto'!$J:$J,'$ Producto'!$H:$H,$F$1,'$ Producto'!$I:$I,$F$2,'$ Producto'!$L:$L,B18)</f>
        <v>0</v>
      </c>
      <c r="G18" s="239">
        <f>SUMIFS('$ Producto'!$J:$J,'$ Producto'!$H:$H,$G$1,'$ Producto'!$I:$I,$G$2,'$ Producto'!$L:$L,B18)</f>
        <v>0</v>
      </c>
      <c r="H18" s="239">
        <f>SUMIFS('$ Producto'!$J:$J,'$ Producto'!$H:$H,$H$1,'$ Producto'!$I:$I,$H$2,'$ Producto'!$L:$L,B18)</f>
        <v>0</v>
      </c>
      <c r="I18" s="239">
        <f>SUMIFS('$ Producto'!$J:$J,'$ Producto'!$H:$H,$I$1,'$ Producto'!$I:$I,$I$2,'$ Producto'!$L:$L,B18)</f>
        <v>0</v>
      </c>
      <c r="J18" s="239">
        <f>SUMIFS('$ Producto'!$J:$J,'$ Producto'!$H:$H,$J$1,'$ Producto'!$I:$I,$J$2,'$ Producto'!$L:$L,B18)</f>
        <v>0</v>
      </c>
      <c r="K18" s="239">
        <f>SUMIFS('$ Producto'!$J:$J,'$ Producto'!$H:$H,$K$1,'$ Producto'!$I:$I,$K$2,'$ Producto'!$L:$L,B18)</f>
        <v>0</v>
      </c>
      <c r="L18" s="239">
        <f>SUMIFS('$ Producto'!$J:$J,'$ Producto'!$H:$H,$L$1,'$ Producto'!$I:$I,$L$2,'$ Producto'!$L:$L,B18)</f>
        <v>0</v>
      </c>
      <c r="M18" s="239">
        <f>SUMIFS('$ Producto'!$J:$J,'$ Producto'!$H:$H,$M$1,'$ Producto'!$I:$I,$M$2,'$ Producto'!$L:$L,B18)</f>
        <v>288</v>
      </c>
      <c r="N18" s="239">
        <f>SUMIFS('$ Producto'!$J:$J,'$ Producto'!$H:$H,$N$1,'$ Producto'!$I:$I,$N$2,'$ Producto'!$L:$L,B18)</f>
        <v>0</v>
      </c>
      <c r="O18" s="239">
        <f t="shared" si="3"/>
        <v>288</v>
      </c>
      <c r="P18" s="240">
        <f t="shared" si="0"/>
        <v>5.76</v>
      </c>
      <c r="Q18" s="226" t="str">
        <f t="shared" si="1"/>
        <v>Kilogramos</v>
      </c>
      <c r="R18" s="241">
        <f t="shared" si="2"/>
        <v>5.76</v>
      </c>
      <c r="S18" s="242">
        <f t="shared" si="4"/>
        <v>6</v>
      </c>
      <c r="T18" s="243">
        <f>S18*_xlfn.XLOOKUP(B18,'C. Prod.'!D:D,'C. Prod.'!G:G)</f>
        <v>80400</v>
      </c>
      <c r="U18" s="244">
        <f t="shared" si="5"/>
        <v>300</v>
      </c>
      <c r="V18" s="226">
        <f t="shared" si="6"/>
        <v>12</v>
      </c>
      <c r="X18" s="453"/>
      <c r="Y18" s="226" t="s">
        <v>232</v>
      </c>
      <c r="Z18" s="332">
        <f t="shared" si="7"/>
        <v>24</v>
      </c>
      <c r="AA18" s="226" t="s">
        <v>233</v>
      </c>
      <c r="AB18" s="331">
        <f>-_xlfn.XLOOKUP(B18,'C. Prod.'!D:D,'C. Prod.'!G:G)</f>
        <v>-13400</v>
      </c>
      <c r="AC18" s="361">
        <f t="shared" si="8"/>
        <v>0.5</v>
      </c>
      <c r="AD18" s="362">
        <f t="shared" si="9"/>
        <v>958100</v>
      </c>
    </row>
    <row r="19" spans="2:30" ht="12.75" x14ac:dyDescent="0.25">
      <c r="B19" s="245" t="s">
        <v>81</v>
      </c>
      <c r="C19" s="246">
        <v>1</v>
      </c>
      <c r="D19" s="247" t="str">
        <f>_xlfn.XLOOKUP(B19,'C. Prod.'!D:D,'C. Prod.'!F:F)</f>
        <v>Kilogramos</v>
      </c>
      <c r="E19" s="248">
        <f>_xlfn.XLOOKUP(B19,'C. Prod.'!D:D,'C. Prod.'!H:H)</f>
        <v>50</v>
      </c>
      <c r="F19" s="249">
        <f>SUMIFS('$ Producto'!$J:$J,'$ Producto'!$H:$H,$F$1,'$ Producto'!$I:$I,$F$2,'$ Producto'!$L:$L,B19)</f>
        <v>0</v>
      </c>
      <c r="G19" s="249">
        <f>SUMIFS('$ Producto'!$J:$J,'$ Producto'!$H:$H,$G$1,'$ Producto'!$I:$I,$G$2,'$ Producto'!$L:$L,B19)</f>
        <v>0</v>
      </c>
      <c r="H19" s="249">
        <f>SUMIFS('$ Producto'!$J:$J,'$ Producto'!$H:$H,$H$1,'$ Producto'!$I:$I,$H$2,'$ Producto'!$L:$L,B19)</f>
        <v>0</v>
      </c>
      <c r="I19" s="249">
        <f>SUMIFS('$ Producto'!$J:$J,'$ Producto'!$H:$H,$I$1,'$ Producto'!$I:$I,$I$2,'$ Producto'!$L:$L,B19)</f>
        <v>0</v>
      </c>
      <c r="J19" s="249">
        <f>SUMIFS('$ Producto'!$J:$J,'$ Producto'!$H:$H,$J$1,'$ Producto'!$I:$I,$J$2,'$ Producto'!$L:$L,B19)</f>
        <v>0</v>
      </c>
      <c r="K19" s="249">
        <f>SUMIFS('$ Producto'!$J:$J,'$ Producto'!$H:$H,$K$1,'$ Producto'!$I:$I,$K$2,'$ Producto'!$L:$L,B19)</f>
        <v>0</v>
      </c>
      <c r="L19" s="249">
        <f>SUMIFS('$ Producto'!$J:$J,'$ Producto'!$H:$H,$L$1,'$ Producto'!$I:$I,$L$2,'$ Producto'!$L:$L,B19)</f>
        <v>0</v>
      </c>
      <c r="M19" s="249">
        <f>SUMIFS('$ Producto'!$J:$J,'$ Producto'!$H:$H,$M$1,'$ Producto'!$I:$I,$M$2,'$ Producto'!$L:$L,B19)</f>
        <v>0</v>
      </c>
      <c r="N19" s="249">
        <f>SUMIFS('$ Producto'!$J:$J,'$ Producto'!$H:$H,$N$1,'$ Producto'!$I:$I,$N$2,'$ Producto'!$L:$L,B19)</f>
        <v>288</v>
      </c>
      <c r="O19" s="249">
        <f t="shared" si="3"/>
        <v>288</v>
      </c>
      <c r="P19" s="250">
        <f t="shared" si="0"/>
        <v>5.76</v>
      </c>
      <c r="Q19" s="251" t="str">
        <f t="shared" si="1"/>
        <v>Kilogramos</v>
      </c>
      <c r="R19" s="252">
        <f t="shared" si="2"/>
        <v>5.76</v>
      </c>
      <c r="S19" s="253">
        <f t="shared" si="4"/>
        <v>6</v>
      </c>
      <c r="T19" s="254">
        <f>S19*_xlfn.XLOOKUP(B19,'C. Prod.'!D:D,'C. Prod.'!G:G)</f>
        <v>96000</v>
      </c>
      <c r="U19" s="255">
        <f t="shared" si="5"/>
        <v>300</v>
      </c>
      <c r="V19" s="226">
        <f t="shared" si="6"/>
        <v>12</v>
      </c>
      <c r="X19" s="453"/>
      <c r="Y19" s="226" t="s">
        <v>232</v>
      </c>
      <c r="Z19" s="332">
        <f t="shared" si="7"/>
        <v>24</v>
      </c>
      <c r="AA19" s="226" t="s">
        <v>233</v>
      </c>
      <c r="AB19" s="331">
        <f>-_xlfn.XLOOKUP(B19,'C. Prod.'!D:D,'C. Prod.'!G:G)</f>
        <v>-16000</v>
      </c>
      <c r="AC19" s="361">
        <f t="shared" si="8"/>
        <v>0.5</v>
      </c>
      <c r="AD19" s="362">
        <f t="shared" si="9"/>
        <v>1144000</v>
      </c>
    </row>
    <row r="20" spans="2:30" x14ac:dyDescent="0.25">
      <c r="B20" s="237"/>
      <c r="C20" s="236"/>
      <c r="D20" s="237"/>
      <c r="E20" s="256"/>
      <c r="T20" s="257"/>
    </row>
    <row r="21" spans="2:30" s="352" customFormat="1" ht="14.25" thickBot="1" x14ac:dyDescent="0.3">
      <c r="B21" s="355"/>
      <c r="C21" s="356"/>
      <c r="D21" s="355"/>
      <c r="E21" s="357"/>
      <c r="F21" s="352">
        <f>+N1+1</f>
        <v>10</v>
      </c>
      <c r="G21" s="352">
        <f>+F21+1</f>
        <v>11</v>
      </c>
      <c r="H21" s="352">
        <f>+G21+1</f>
        <v>12</v>
      </c>
      <c r="S21" s="353"/>
      <c r="T21" s="358"/>
      <c r="Y21" s="354"/>
    </row>
    <row r="22" spans="2:30" x14ac:dyDescent="0.25">
      <c r="B22" s="310" t="s">
        <v>47</v>
      </c>
      <c r="C22" s="447" t="s">
        <v>160</v>
      </c>
      <c r="D22" s="447"/>
      <c r="E22" s="311" t="s">
        <v>162</v>
      </c>
      <c r="F22" s="312" t="str">
        <f>+'$ Producto'!C13</f>
        <v>Jugo lulo</v>
      </c>
      <c r="G22" s="312" t="str">
        <f>+'$ Producto'!C14</f>
        <v>Jugo mora</v>
      </c>
      <c r="H22" s="312" t="str">
        <f>+'$ Producto'!C15</f>
        <v>Taza de café</v>
      </c>
      <c r="I22" s="312"/>
      <c r="J22" s="312"/>
      <c r="K22" s="312"/>
      <c r="L22" s="312"/>
      <c r="M22" s="312"/>
      <c r="N22" s="312"/>
      <c r="O22" s="312" t="s">
        <v>226</v>
      </c>
      <c r="P22" s="448" t="s">
        <v>227</v>
      </c>
      <c r="Q22" s="449"/>
      <c r="R22" s="315" t="s">
        <v>228</v>
      </c>
      <c r="S22" s="313" t="s">
        <v>229</v>
      </c>
      <c r="T22" s="314" t="s">
        <v>211</v>
      </c>
      <c r="U22" s="315" t="s">
        <v>162</v>
      </c>
      <c r="V22" s="226" t="s">
        <v>230</v>
      </c>
    </row>
    <row r="23" spans="2:30" x14ac:dyDescent="0.25">
      <c r="B23" s="316" t="s">
        <v>166</v>
      </c>
      <c r="C23" s="317">
        <f>_xlfn.XLOOKUP(B23,'C. Prod.'!D:D,'C. Prod.'!E:E)</f>
        <v>1</v>
      </c>
      <c r="D23" s="318" t="str">
        <f>_xlfn.XLOOKUP(B23,'C. Prod.'!D:D,'C. Prod.'!F:F)</f>
        <v>Litros</v>
      </c>
      <c r="E23" s="319">
        <f>_xlfn.XLOOKUP(B23,'C. Prod.'!D:D,'C. Prod.'!H:H)</f>
        <v>4</v>
      </c>
      <c r="F23" s="320">
        <f>SUMIFS('$ Producto'!$J:$J,'$ Producto'!$H:$H,$F$21,'$ Producto'!$I:$I,$F$22,'$ Producto'!$L:$L,B23)</f>
        <v>168</v>
      </c>
      <c r="G23" s="320">
        <f>SUMIFS('$ Producto'!$J:$J,'$ Producto'!$H:$H,$G$21,'$ Producto'!$I:$I,$G$22,'$ Producto'!$L:$L,B23)</f>
        <v>168</v>
      </c>
      <c r="H23" s="320">
        <f>SUMIFS('$ Producto'!$J:$J,'$ Producto'!$H:$H,$H$21,'$ Producto'!$I:$I,$H$22,'$ Producto'!$L:$L,B23)</f>
        <v>100</v>
      </c>
      <c r="I23" s="321"/>
      <c r="J23" s="321"/>
      <c r="K23" s="321"/>
      <c r="L23" s="321"/>
      <c r="M23" s="321"/>
      <c r="N23" s="321"/>
      <c r="O23" s="320">
        <f>SUM(F23:N23)</f>
        <v>436</v>
      </c>
      <c r="P23" s="322">
        <f t="shared" ref="P23" si="10">ROUND((C23*O23)/E23,2)</f>
        <v>109</v>
      </c>
      <c r="Q23" s="321" t="str">
        <f t="shared" ref="Q23" si="11">+D23</f>
        <v>Litros</v>
      </c>
      <c r="R23" s="323">
        <f t="shared" ref="R23" si="12">ROUND(ROUND((C23*O23)/E23,2)/C23,2)</f>
        <v>109</v>
      </c>
      <c r="S23" s="324">
        <f>IF(R23&lt;ROUND(R23+0,0),ROUND(R23+0,0),R23)</f>
        <v>109</v>
      </c>
      <c r="T23" s="325">
        <f>S23*_xlfn.XLOOKUP(B23,'C. Prod.'!D:D,'C. Prod.'!G:G)</f>
        <v>545000</v>
      </c>
      <c r="U23" s="326">
        <f>S23*E23</f>
        <v>436</v>
      </c>
      <c r="V23" s="226">
        <f>+U23-O23</f>
        <v>0</v>
      </c>
      <c r="AD23" s="362">
        <f>+(T23*12)</f>
        <v>6540000</v>
      </c>
    </row>
    <row r="24" spans="2:30" x14ac:dyDescent="0.25">
      <c r="B24" s="235" t="s">
        <v>82</v>
      </c>
      <c r="C24" s="236">
        <f>_xlfn.XLOOKUP(B24,'C. Prod.'!D:D,'C. Prod.'!E:E)</f>
        <v>1</v>
      </c>
      <c r="D24" s="237" t="str">
        <f>_xlfn.XLOOKUP(B24,'C. Prod.'!D:D,'C. Prod.'!F:F)</f>
        <v>Unidades</v>
      </c>
      <c r="E24" s="256">
        <f>_xlfn.XLOOKUP(B24,'C. Prod.'!D:D,'C. Prod.'!H:H)</f>
        <v>1</v>
      </c>
      <c r="F24" s="239">
        <f>SUMIFS('$ Producto'!$J:$J,'$ Producto'!$H:$H,$F$21,'$ Producto'!$I:$I,$F$22,'$ Producto'!$L:$L,B24)</f>
        <v>168</v>
      </c>
      <c r="G24" s="239">
        <f>SUMIFS('$ Producto'!$J:$J,'$ Producto'!$H:$H,$G$21,'$ Producto'!$I:$I,$G$22,'$ Producto'!$L:$L,B24)</f>
        <v>0</v>
      </c>
      <c r="H24" s="239">
        <f>SUMIFS('$ Producto'!$J:$J,'$ Producto'!$H:$H,$H$21,'$ Producto'!$I:$I,$H$22,'$ Producto'!$L:$L,B24)</f>
        <v>0</v>
      </c>
      <c r="O24" s="239">
        <f t="shared" ref="O24:O27" si="13">SUM(F24:N24)</f>
        <v>168</v>
      </c>
      <c r="P24" s="240">
        <f t="shared" ref="P24:P27" si="14">ROUND((C24*O24)/E24,2)</f>
        <v>168</v>
      </c>
      <c r="Q24" s="226" t="str">
        <f t="shared" ref="Q24:Q27" si="15">+D24</f>
        <v>Unidades</v>
      </c>
      <c r="R24" s="241">
        <f t="shared" ref="R24:R27" si="16">ROUND(ROUND((C24*O24)/E24,2)/C24,2)</f>
        <v>168</v>
      </c>
      <c r="S24" s="242">
        <f t="shared" ref="S24:S27" si="17">IF(R24&lt;ROUND(R24+0,0),ROUND(R24+0,0),R24)</f>
        <v>168</v>
      </c>
      <c r="T24" s="243">
        <f>S24*_xlfn.XLOOKUP(B24,'C. Prod.'!D:D,'C. Prod.'!G:G)</f>
        <v>221760</v>
      </c>
      <c r="U24" s="244">
        <f t="shared" ref="U24:U27" si="18">S24*E24</f>
        <v>168</v>
      </c>
      <c r="V24" s="226">
        <f t="shared" ref="V24:V27" si="19">+U24-O24</f>
        <v>0</v>
      </c>
      <c r="AD24" s="362">
        <f t="shared" ref="AD24:AD27" si="20">+(T24*12)</f>
        <v>2661120</v>
      </c>
    </row>
    <row r="25" spans="2:30" x14ac:dyDescent="0.25">
      <c r="B25" s="235" t="s">
        <v>83</v>
      </c>
      <c r="C25" s="236">
        <f>_xlfn.XLOOKUP(B25,'C. Prod.'!D:D,'C. Prod.'!E:E)</f>
        <v>1</v>
      </c>
      <c r="D25" s="237" t="str">
        <f>_xlfn.XLOOKUP(B25,'C. Prod.'!D:D,'C. Prod.'!F:F)</f>
        <v>Unidades</v>
      </c>
      <c r="E25" s="256">
        <f>_xlfn.XLOOKUP(B25,'C. Prod.'!D:D,'C. Prod.'!H:H)</f>
        <v>1</v>
      </c>
      <c r="F25" s="239">
        <f>SUMIFS('$ Producto'!$J:$J,'$ Producto'!$H:$H,$F$21,'$ Producto'!$I:$I,$F$22,'$ Producto'!$L:$L,B25)</f>
        <v>0</v>
      </c>
      <c r="G25" s="239">
        <f>SUMIFS('$ Producto'!$J:$J,'$ Producto'!$H:$H,$G$21,'$ Producto'!$I:$I,$G$22,'$ Producto'!$L:$L,B25)</f>
        <v>168</v>
      </c>
      <c r="H25" s="239">
        <f>SUMIFS('$ Producto'!$J:$J,'$ Producto'!$H:$H,$H$21,'$ Producto'!$I:$I,$H$22,'$ Producto'!$L:$L,B25)</f>
        <v>0</v>
      </c>
      <c r="O25" s="239">
        <f t="shared" si="13"/>
        <v>168</v>
      </c>
      <c r="P25" s="240">
        <f t="shared" si="14"/>
        <v>168</v>
      </c>
      <c r="Q25" s="226" t="str">
        <f t="shared" si="15"/>
        <v>Unidades</v>
      </c>
      <c r="R25" s="241">
        <f t="shared" si="16"/>
        <v>168</v>
      </c>
      <c r="S25" s="242">
        <f t="shared" si="17"/>
        <v>168</v>
      </c>
      <c r="T25" s="243">
        <f>S25*_xlfn.XLOOKUP(B25,'C. Prod.'!D:D,'C. Prod.'!G:G)</f>
        <v>241920</v>
      </c>
      <c r="U25" s="244">
        <f t="shared" si="18"/>
        <v>168</v>
      </c>
      <c r="V25" s="226">
        <f t="shared" si="19"/>
        <v>0</v>
      </c>
      <c r="AD25" s="362">
        <f t="shared" si="20"/>
        <v>2903040</v>
      </c>
    </row>
    <row r="26" spans="2:30" x14ac:dyDescent="0.25">
      <c r="B26" s="235" t="s">
        <v>56</v>
      </c>
      <c r="C26" s="236">
        <f>_xlfn.XLOOKUP(B26,'C. Prod.'!D:D,'C. Prod.'!E:E)</f>
        <v>1</v>
      </c>
      <c r="D26" s="237" t="str">
        <f>_xlfn.XLOOKUP(B26,'C. Prod.'!D:D,'C. Prod.'!F:F)</f>
        <v>Kilogramos</v>
      </c>
      <c r="E26" s="256">
        <f>_xlfn.XLOOKUP(B26,'C. Prod.'!D:D,'C. Prod.'!H:H)</f>
        <v>100</v>
      </c>
      <c r="F26" s="239">
        <f>SUMIFS('$ Producto'!$J:$J,'$ Producto'!$H:$H,$F$21,'$ Producto'!$I:$I,$F$22,'$ Producto'!$L:$L,B26)</f>
        <v>0</v>
      </c>
      <c r="G26" s="239">
        <f>SUMIFS('$ Producto'!$J:$J,'$ Producto'!$H:$H,$G$21,'$ Producto'!$I:$I,$G$22,'$ Producto'!$L:$L,B26)</f>
        <v>0</v>
      </c>
      <c r="H26" s="239">
        <f>SUMIFS('$ Producto'!$J:$J,'$ Producto'!$H:$H,$H$21,'$ Producto'!$I:$I,$H$22,'$ Producto'!$L:$L,B26)</f>
        <v>100</v>
      </c>
      <c r="O26" s="239">
        <f t="shared" si="13"/>
        <v>100</v>
      </c>
      <c r="P26" s="240">
        <f t="shared" si="14"/>
        <v>1</v>
      </c>
      <c r="Q26" s="226" t="str">
        <f t="shared" si="15"/>
        <v>Kilogramos</v>
      </c>
      <c r="R26" s="241">
        <f t="shared" si="16"/>
        <v>1</v>
      </c>
      <c r="S26" s="242">
        <f t="shared" si="17"/>
        <v>1</v>
      </c>
      <c r="T26" s="243">
        <f>S26*_xlfn.XLOOKUP(B26,'C. Prod.'!D:D,'C. Prod.'!G:G)</f>
        <v>60000</v>
      </c>
      <c r="U26" s="244">
        <f t="shared" si="18"/>
        <v>100</v>
      </c>
      <c r="V26" s="226">
        <f t="shared" si="19"/>
        <v>0</v>
      </c>
      <c r="AD26" s="362">
        <f t="shared" si="20"/>
        <v>720000</v>
      </c>
    </row>
    <row r="27" spans="2:30" x14ac:dyDescent="0.25">
      <c r="B27" s="245" t="s">
        <v>95</v>
      </c>
      <c r="C27" s="246">
        <f>_xlfn.XLOOKUP(B27,'C. Prod.'!D:D,'C. Prod.'!E:E)</f>
        <v>1</v>
      </c>
      <c r="D27" s="247" t="str">
        <f>_xlfn.XLOOKUP(B27,'C. Prod.'!D:D,'C. Prod.'!F:F)</f>
        <v>Unidades</v>
      </c>
      <c r="E27" s="247">
        <f>_xlfn.XLOOKUP(B27,'C. Prod.'!D:D,'C. Prod.'!H:H)</f>
        <v>500</v>
      </c>
      <c r="F27" s="249">
        <f>SUMIFS('$ Producto'!$J:$J,'$ Producto'!$H:$H,$F$21,'$ Producto'!$I:$I,$F$22,'$ Producto'!$L:$L,B27)</f>
        <v>168</v>
      </c>
      <c r="G27" s="249">
        <f>SUMIFS('$ Producto'!$J:$J,'$ Producto'!$H:$H,$G$21,'$ Producto'!$I:$I,$G$22,'$ Producto'!$L:$L,B27)</f>
        <v>168</v>
      </c>
      <c r="H27" s="249">
        <f>SUMIFS('$ Producto'!$J:$J,'$ Producto'!$H:$H,$H$21,'$ Producto'!$I:$I,$H$22,'$ Producto'!$L:$L,B27)</f>
        <v>100</v>
      </c>
      <c r="I27" s="251"/>
      <c r="J27" s="251"/>
      <c r="K27" s="251"/>
      <c r="L27" s="251"/>
      <c r="M27" s="251"/>
      <c r="N27" s="251"/>
      <c r="O27" s="249">
        <f t="shared" si="13"/>
        <v>436</v>
      </c>
      <c r="P27" s="250">
        <f t="shared" si="14"/>
        <v>0.87</v>
      </c>
      <c r="Q27" s="251" t="str">
        <f t="shared" si="15"/>
        <v>Unidades</v>
      </c>
      <c r="R27" s="252">
        <f t="shared" si="16"/>
        <v>0.87</v>
      </c>
      <c r="S27" s="253">
        <f t="shared" si="17"/>
        <v>1</v>
      </c>
      <c r="T27" s="254">
        <f>S27*_xlfn.XLOOKUP(B27,'C. Prod.'!D:D,'C. Prod.'!G:G)</f>
        <v>5000</v>
      </c>
      <c r="U27" s="255">
        <f t="shared" si="18"/>
        <v>500</v>
      </c>
      <c r="V27" s="226">
        <f t="shared" si="19"/>
        <v>64</v>
      </c>
      <c r="AD27" s="362">
        <f t="shared" si="20"/>
        <v>60000</v>
      </c>
    </row>
    <row r="28" spans="2:30" x14ac:dyDescent="0.25">
      <c r="O28" s="239"/>
      <c r="P28" s="240"/>
      <c r="R28" s="241"/>
      <c r="S28" s="242"/>
      <c r="T28" s="243"/>
      <c r="U28" s="228"/>
    </row>
    <row r="29" spans="2:30" s="352" customFormat="1" ht="14.25" thickBot="1" x14ac:dyDescent="0.3">
      <c r="B29" s="355"/>
      <c r="C29" s="356"/>
      <c r="D29" s="355"/>
      <c r="E29" s="357"/>
      <c r="F29" s="352">
        <f>+H21+1</f>
        <v>13</v>
      </c>
      <c r="G29" s="352">
        <f>+F29+1</f>
        <v>14</v>
      </c>
      <c r="H29" s="352">
        <f>+G29+1</f>
        <v>15</v>
      </c>
      <c r="I29" s="352">
        <f>+H29+1</f>
        <v>16</v>
      </c>
      <c r="S29" s="353"/>
      <c r="T29" s="358"/>
      <c r="Y29" s="354"/>
    </row>
    <row r="30" spans="2:30" x14ac:dyDescent="0.25">
      <c r="B30" s="310" t="s">
        <v>47</v>
      </c>
      <c r="C30" s="447" t="s">
        <v>160</v>
      </c>
      <c r="D30" s="447"/>
      <c r="E30" s="311" t="s">
        <v>162</v>
      </c>
      <c r="F30" s="312" t="str">
        <f>+'$ Producto'!C16</f>
        <v>Coca-cola</v>
      </c>
      <c r="G30" s="312" t="str">
        <f>+'$ Producto'!C17</f>
        <v>Ginger</v>
      </c>
      <c r="H30" s="312" t="str">
        <f>+'$ Producto'!C18</f>
        <v>Manzana</v>
      </c>
      <c r="I30" s="312" t="str">
        <f>+'$ Producto'!C19</f>
        <v>Agua botella</v>
      </c>
      <c r="J30" s="312"/>
      <c r="K30" s="312"/>
      <c r="L30" s="312"/>
      <c r="M30" s="312"/>
      <c r="N30" s="312"/>
      <c r="O30" s="312" t="s">
        <v>226</v>
      </c>
      <c r="P30" s="448" t="s">
        <v>227</v>
      </c>
      <c r="Q30" s="449"/>
      <c r="R30" s="315" t="s">
        <v>228</v>
      </c>
      <c r="S30" s="313" t="s">
        <v>229</v>
      </c>
      <c r="T30" s="314" t="s">
        <v>211</v>
      </c>
      <c r="U30" s="315" t="s">
        <v>162</v>
      </c>
      <c r="V30" s="226" t="s">
        <v>230</v>
      </c>
    </row>
    <row r="31" spans="2:30" x14ac:dyDescent="0.25">
      <c r="B31" s="327" t="s">
        <v>170</v>
      </c>
      <c r="C31" s="317">
        <f>_xlfn.XLOOKUP(B31,'C. Prod.'!D:D,'C. Prod.'!E:E)</f>
        <v>1</v>
      </c>
      <c r="D31" s="318" t="str">
        <f>_xlfn.XLOOKUP(B31,'C. Prod.'!D:D,'C. Prod.'!F:F)</f>
        <v>Unidades</v>
      </c>
      <c r="E31" s="319">
        <f>_xlfn.XLOOKUP(B31,'C. Prod.'!D:D,'C. Prod.'!H:H)</f>
        <v>1</v>
      </c>
      <c r="F31" s="320">
        <f>SUMIFS('$ Producto'!$J:$J,'$ Producto'!$H:$H,$F$29,'$ Producto'!$I:$I,$F$30,'$ Producto'!$L:$L,B31)</f>
        <v>168</v>
      </c>
      <c r="G31" s="320">
        <f>SUMIFS('$ Producto'!$J:$J,'$ Producto'!$H:$H,$G$29,'$ Producto'!$I:$I,$G$30,'$ Producto'!$L:$L,B31)</f>
        <v>0</v>
      </c>
      <c r="H31" s="320">
        <f>SUMIFS('$ Producto'!$J:$J,'$ Producto'!$H:$H,$H$29,'$ Producto'!$I:$I,$H$30,'$ Producto'!$L:$L,B31)</f>
        <v>0</v>
      </c>
      <c r="I31" s="320">
        <f>SUMIFS('$ Producto'!$J:$J,'$ Producto'!$H:$H,$I$29,'$ Producto'!$I:$I,$I$30,'$ Producto'!$L:$L,B31)</f>
        <v>0</v>
      </c>
      <c r="J31" s="321"/>
      <c r="K31" s="321"/>
      <c r="L31" s="321"/>
      <c r="M31" s="321"/>
      <c r="N31" s="321"/>
      <c r="O31" s="320">
        <f>SUM(F31:N31)</f>
        <v>168</v>
      </c>
      <c r="P31" s="322">
        <f t="shared" ref="P31" si="21">ROUND((C31*O31)/E31,2)</f>
        <v>168</v>
      </c>
      <c r="Q31" s="321" t="str">
        <f t="shared" ref="Q31" si="22">+D31</f>
        <v>Unidades</v>
      </c>
      <c r="R31" s="323">
        <f t="shared" ref="R31" si="23">ROUND(ROUND((C31*O31)/E31,2)/C31,2)</f>
        <v>168</v>
      </c>
      <c r="S31" s="324">
        <f>IF(R31&lt;ROUND(R31+0,0),ROUND(R31+0,0),R31)</f>
        <v>168</v>
      </c>
      <c r="T31" s="325">
        <f>S31*_xlfn.XLOOKUP(B31,'C. Prod.'!D:D,'C. Prod.'!G:G)</f>
        <v>478800</v>
      </c>
      <c r="U31" s="326">
        <f>S31*E31</f>
        <v>168</v>
      </c>
      <c r="V31" s="226">
        <f>+U31-O31</f>
        <v>0</v>
      </c>
      <c r="AD31" s="362">
        <f t="shared" ref="AD31:AD34" si="24">+(T31*12)</f>
        <v>5745600</v>
      </c>
    </row>
    <row r="32" spans="2:30" x14ac:dyDescent="0.25">
      <c r="B32" s="328" t="s">
        <v>171</v>
      </c>
      <c r="C32" s="236">
        <f>_xlfn.XLOOKUP(B32,'C. Prod.'!D:D,'C. Prod.'!E:E)</f>
        <v>1</v>
      </c>
      <c r="D32" s="237" t="str">
        <f>_xlfn.XLOOKUP(B32,'C. Prod.'!D:D,'C. Prod.'!F:F)</f>
        <v>Unidades</v>
      </c>
      <c r="E32" s="256">
        <f>_xlfn.XLOOKUP(B32,'C. Prod.'!D:D,'C. Prod.'!H:H)</f>
        <v>1</v>
      </c>
      <c r="F32" s="239">
        <f>SUMIFS('$ Producto'!$J:$J,'$ Producto'!$H:$H,$F$29,'$ Producto'!$I:$I,$F$30,'$ Producto'!$L:$L,B32)</f>
        <v>0</v>
      </c>
      <c r="G32" s="239">
        <f>SUMIFS('$ Producto'!$J:$J,'$ Producto'!$H:$H,$G$29,'$ Producto'!$I:$I,$G$30,'$ Producto'!$L:$L,B32)</f>
        <v>120</v>
      </c>
      <c r="H32" s="239">
        <f>SUMIFS('$ Producto'!$J:$J,'$ Producto'!$H:$H,$H$29,'$ Producto'!$I:$I,$H$30,'$ Producto'!$L:$L,B32)</f>
        <v>0</v>
      </c>
      <c r="I32" s="239">
        <f>SUMIFS('$ Producto'!$J:$J,'$ Producto'!$H:$H,$I$29,'$ Producto'!$I:$I,$I$30,'$ Producto'!$L:$L,B32)</f>
        <v>0</v>
      </c>
      <c r="O32" s="239">
        <f t="shared" ref="O32:O34" si="25">SUM(F32:N32)</f>
        <v>120</v>
      </c>
      <c r="P32" s="240">
        <f t="shared" ref="P32:P34" si="26">ROUND((C32*O32)/E32,2)</f>
        <v>120</v>
      </c>
      <c r="Q32" s="226" t="str">
        <f t="shared" ref="Q32:Q34" si="27">+D32</f>
        <v>Unidades</v>
      </c>
      <c r="R32" s="241">
        <f t="shared" ref="R32:R34" si="28">ROUND(ROUND((C32*O32)/E32,2)/C32,2)</f>
        <v>120</v>
      </c>
      <c r="S32" s="242">
        <f t="shared" ref="S32:S34" si="29">IF(R32&lt;ROUND(R32+0,0),ROUND(R32+0,0),R32)</f>
        <v>120</v>
      </c>
      <c r="T32" s="243">
        <f>S32*_xlfn.XLOOKUP(B32,'C. Prod.'!D:D,'C. Prod.'!G:G)</f>
        <v>300000</v>
      </c>
      <c r="U32" s="244">
        <f t="shared" ref="U32:U34" si="30">S32*E32</f>
        <v>120</v>
      </c>
      <c r="V32" s="226">
        <f t="shared" ref="V32:V34" si="31">+U32-O32</f>
        <v>0</v>
      </c>
      <c r="AD32" s="362">
        <f t="shared" si="24"/>
        <v>3600000</v>
      </c>
    </row>
    <row r="33" spans="2:30" x14ac:dyDescent="0.25">
      <c r="B33" s="328" t="s">
        <v>172</v>
      </c>
      <c r="C33" s="236">
        <f>_xlfn.XLOOKUP(B33,'C. Prod.'!D:D,'C. Prod.'!E:E)</f>
        <v>1</v>
      </c>
      <c r="D33" s="237" t="str">
        <f>_xlfn.XLOOKUP(B33,'C. Prod.'!D:D,'C. Prod.'!F:F)</f>
        <v>Unidades</v>
      </c>
      <c r="E33" s="256">
        <f>_xlfn.XLOOKUP(B33,'C. Prod.'!D:D,'C. Prod.'!H:H)</f>
        <v>1</v>
      </c>
      <c r="F33" s="239">
        <f>SUMIFS('$ Producto'!$J:$J,'$ Producto'!$H:$H,$F$29,'$ Producto'!$I:$I,$F$30,'$ Producto'!$L:$L,B33)</f>
        <v>0</v>
      </c>
      <c r="G33" s="239">
        <f>SUMIFS('$ Producto'!$J:$J,'$ Producto'!$H:$H,$G$29,'$ Producto'!$I:$I,$G$30,'$ Producto'!$L:$L,B33)</f>
        <v>0</v>
      </c>
      <c r="H33" s="239">
        <f>SUMIFS('$ Producto'!$J:$J,'$ Producto'!$H:$H,$H$29,'$ Producto'!$I:$I,$H$30,'$ Producto'!$L:$L,B33)</f>
        <v>120</v>
      </c>
      <c r="I33" s="239">
        <f>SUMIFS('$ Producto'!$J:$J,'$ Producto'!$H:$H,$I$29,'$ Producto'!$I:$I,$I$30,'$ Producto'!$L:$L,B33)</f>
        <v>0</v>
      </c>
      <c r="O33" s="239">
        <f t="shared" si="25"/>
        <v>120</v>
      </c>
      <c r="P33" s="240">
        <f t="shared" si="26"/>
        <v>120</v>
      </c>
      <c r="Q33" s="226" t="str">
        <f t="shared" si="27"/>
        <v>Unidades</v>
      </c>
      <c r="R33" s="241">
        <f t="shared" si="28"/>
        <v>120</v>
      </c>
      <c r="S33" s="242">
        <f t="shared" si="29"/>
        <v>120</v>
      </c>
      <c r="T33" s="243">
        <f>S33*_xlfn.XLOOKUP(B33,'C. Prod.'!D:D,'C. Prod.'!G:G)</f>
        <v>264000</v>
      </c>
      <c r="U33" s="244">
        <f t="shared" si="30"/>
        <v>120</v>
      </c>
      <c r="V33" s="226">
        <f t="shared" si="31"/>
        <v>0</v>
      </c>
      <c r="AD33" s="362">
        <f t="shared" si="24"/>
        <v>3168000</v>
      </c>
    </row>
    <row r="34" spans="2:30" x14ac:dyDescent="0.25">
      <c r="B34" s="329" t="s">
        <v>173</v>
      </c>
      <c r="C34" s="246">
        <f>_xlfn.XLOOKUP(B34,'C. Prod.'!D:D,'C. Prod.'!E:E)</f>
        <v>1</v>
      </c>
      <c r="D34" s="247" t="str">
        <f>_xlfn.XLOOKUP(B34,'C. Prod.'!D:D,'C. Prod.'!F:F)</f>
        <v>Unidades</v>
      </c>
      <c r="E34" s="330">
        <f>_xlfn.XLOOKUP(B34,'C. Prod.'!D:D,'C. Prod.'!H:H)</f>
        <v>1</v>
      </c>
      <c r="F34" s="249">
        <f>SUMIFS('$ Producto'!$J:$J,'$ Producto'!$H:$H,$F$29,'$ Producto'!$I:$I,$F$30,'$ Producto'!$L:$L,B34)</f>
        <v>0</v>
      </c>
      <c r="G34" s="249">
        <f>SUMIFS('$ Producto'!$J:$J,'$ Producto'!$H:$H,$G$29,'$ Producto'!$I:$I,$G$30,'$ Producto'!$L:$L,B34)</f>
        <v>0</v>
      </c>
      <c r="H34" s="249">
        <f>SUMIFS('$ Producto'!$J:$J,'$ Producto'!$H:$H,$H$29,'$ Producto'!$I:$I,$H$30,'$ Producto'!$L:$L,B34)</f>
        <v>0</v>
      </c>
      <c r="I34" s="249">
        <f>SUMIFS('$ Producto'!$J:$J,'$ Producto'!$H:$H,$I$29,'$ Producto'!$I:$I,$I$30,'$ Producto'!$L:$L,B34)</f>
        <v>120</v>
      </c>
      <c r="J34" s="251"/>
      <c r="K34" s="251"/>
      <c r="L34" s="251"/>
      <c r="M34" s="251"/>
      <c r="N34" s="251"/>
      <c r="O34" s="249">
        <f t="shared" si="25"/>
        <v>120</v>
      </c>
      <c r="P34" s="250">
        <f t="shared" si="26"/>
        <v>120</v>
      </c>
      <c r="Q34" s="251" t="str">
        <f t="shared" si="27"/>
        <v>Unidades</v>
      </c>
      <c r="R34" s="252">
        <f t="shared" si="28"/>
        <v>120</v>
      </c>
      <c r="S34" s="253">
        <f t="shared" si="29"/>
        <v>120</v>
      </c>
      <c r="T34" s="254">
        <f>S34*_xlfn.XLOOKUP(B34,'C. Prod.'!D:D,'C. Prod.'!G:G)</f>
        <v>84000</v>
      </c>
      <c r="U34" s="255">
        <f t="shared" si="30"/>
        <v>120</v>
      </c>
      <c r="V34" s="226">
        <f t="shared" si="31"/>
        <v>0</v>
      </c>
      <c r="AD34" s="362">
        <f t="shared" si="24"/>
        <v>1008000</v>
      </c>
    </row>
    <row r="35" spans="2:30" x14ac:dyDescent="0.25">
      <c r="O35" s="239"/>
      <c r="P35" s="240"/>
      <c r="R35" s="241"/>
      <c r="S35" s="242"/>
      <c r="T35" s="243"/>
      <c r="U35" s="228"/>
      <c r="AD35" s="331"/>
    </row>
    <row r="37" spans="2:30" x14ac:dyDescent="0.25">
      <c r="B37" s="226" t="s">
        <v>234</v>
      </c>
    </row>
    <row r="38" spans="2:30" x14ac:dyDescent="0.25">
      <c r="B38" s="226" t="s">
        <v>235</v>
      </c>
    </row>
  </sheetData>
  <sheetProtection algorithmName="SHA-512" hashValue="B15oT98F97qXcSuTunbyeqgiuK1tzjKU6w8KbxmRZNfNlhrCiDcP4YwVAiO8ba2i+JCNSiT9KPp2dDoSZxtv1Q==" saltValue="7FB+2+cGFxyusfJama3XcQ==" spinCount="100000" sheet="1" formatCells="0" formatColumns="0" formatRows="0" insertColumns="0" insertRows="0" insertHyperlinks="0" deleteColumns="0" deleteRows="0" autoFilter="0" pivotTables="0"/>
  <mergeCells count="7">
    <mergeCell ref="C30:D30"/>
    <mergeCell ref="P30:Q30"/>
    <mergeCell ref="C2:D2"/>
    <mergeCell ref="P2:Q2"/>
    <mergeCell ref="X3:X19"/>
    <mergeCell ref="C22:D22"/>
    <mergeCell ref="P22:Q22"/>
  </mergeCells>
  <conditionalFormatting sqref="F23:H27">
    <cfRule type="cellIs" dxfId="4" priority="2" operator="equal">
      <formula>0</formula>
    </cfRule>
  </conditionalFormatting>
  <conditionalFormatting sqref="F31:I34">
    <cfRule type="cellIs" dxfId="3" priority="1" operator="equal">
      <formula>0</formula>
    </cfRule>
  </conditionalFormatting>
  <conditionalFormatting sqref="F3:N19">
    <cfRule type="cellIs" dxfId="2" priority="3" operator="equal">
      <formula>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A5C9E18-7562-49B4-9D9C-6BFF57571179}">
          <x14:formula1>
            <xm:f>Datos!$B$3:$B$12</xm:f>
          </x14:formula1>
          <xm:sqref>D20:D21 D29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0E788-EFBE-4A63-84ED-149EED4C7694}">
  <dimension ref="B1:L45"/>
  <sheetViews>
    <sheetView showGridLines="0" topLeftCell="D1" zoomScale="114" zoomScaleNormal="70" workbookViewId="0">
      <selection activeCell="H26" sqref="H26:K26"/>
    </sheetView>
  </sheetViews>
  <sheetFormatPr baseColWidth="10" defaultColWidth="3" defaultRowHeight="13.5" x14ac:dyDescent="0.25"/>
  <cols>
    <col min="1" max="1" width="3" style="210"/>
    <col min="2" max="2" width="3.28515625" style="210" bestFit="1" customWidth="1"/>
    <col min="3" max="3" width="27.5703125" style="210" bestFit="1" customWidth="1"/>
    <col min="4" max="4" width="6.85546875" style="210" bestFit="1" customWidth="1"/>
    <col min="5" max="5" width="14.7109375" style="210" bestFit="1" customWidth="1"/>
    <col min="6" max="7" width="17.85546875" style="210" bestFit="1" customWidth="1"/>
    <col min="8" max="11" width="16.5703125" style="210" bestFit="1" customWidth="1"/>
    <col min="12" max="12" width="16" style="210" bestFit="1" customWidth="1"/>
    <col min="13" max="16384" width="3" style="210"/>
  </cols>
  <sheetData>
    <row r="1" spans="2:11" x14ac:dyDescent="0.25">
      <c r="F1" s="212"/>
      <c r="G1" s="261">
        <v>2025</v>
      </c>
      <c r="H1" s="261">
        <f>+G1+1</f>
        <v>2026</v>
      </c>
      <c r="I1" s="261">
        <f>+H1+1</f>
        <v>2027</v>
      </c>
      <c r="J1" s="261">
        <f>+I1+1</f>
        <v>2028</v>
      </c>
      <c r="K1" s="261">
        <f>+J1+1</f>
        <v>2029</v>
      </c>
    </row>
    <row r="2" spans="2:11" ht="12.95" customHeight="1" x14ac:dyDescent="0.25">
      <c r="D2" s="455" t="s">
        <v>236</v>
      </c>
      <c r="E2" s="455"/>
      <c r="F2" s="456"/>
      <c r="G2" s="262">
        <v>0.09</v>
      </c>
      <c r="H2" s="262">
        <f>+G2</f>
        <v>0.09</v>
      </c>
      <c r="I2" s="262">
        <f>+H2</f>
        <v>0.09</v>
      </c>
      <c r="J2" s="262">
        <f>+I2</f>
        <v>0.09</v>
      </c>
      <c r="K2" s="262">
        <f>+J2</f>
        <v>0.09</v>
      </c>
    </row>
    <row r="3" spans="2:11" ht="12.95" customHeight="1" x14ac:dyDescent="0.25">
      <c r="D3" s="455" t="s">
        <v>237</v>
      </c>
      <c r="E3" s="455"/>
      <c r="F3" s="456"/>
      <c r="G3" s="262">
        <v>1.2E-2</v>
      </c>
      <c r="H3" s="262">
        <f>+G3</f>
        <v>1.2E-2</v>
      </c>
      <c r="I3" s="262">
        <f t="shared" ref="I3:K3" si="0">+H3</f>
        <v>1.2E-2</v>
      </c>
      <c r="J3" s="262">
        <f t="shared" si="0"/>
        <v>1.2E-2</v>
      </c>
      <c r="K3" s="262">
        <f t="shared" si="0"/>
        <v>1.2E-2</v>
      </c>
    </row>
    <row r="4" spans="2:11" ht="12.95" customHeight="1" x14ac:dyDescent="0.25">
      <c r="D4" s="455" t="s">
        <v>238</v>
      </c>
      <c r="E4" s="455"/>
      <c r="F4" s="456"/>
      <c r="G4" s="262">
        <f t="shared" ref="G4:K4" si="1">G2+G3+G2*G3</f>
        <v>0.10307999999999999</v>
      </c>
      <c r="H4" s="262">
        <f t="shared" si="1"/>
        <v>0.10307999999999999</v>
      </c>
      <c r="I4" s="262">
        <f t="shared" si="1"/>
        <v>0.10307999999999999</v>
      </c>
      <c r="J4" s="262">
        <f t="shared" si="1"/>
        <v>0.10307999999999999</v>
      </c>
      <c r="K4" s="262">
        <f t="shared" si="1"/>
        <v>0.10307999999999999</v>
      </c>
    </row>
    <row r="5" spans="2:11" ht="14.25" thickBot="1" x14ac:dyDescent="0.3"/>
    <row r="6" spans="2:11" ht="12.95" customHeight="1" x14ac:dyDescent="0.25">
      <c r="B6" s="263"/>
      <c r="C6" s="263"/>
      <c r="D6" s="458" t="s">
        <v>11</v>
      </c>
      <c r="E6" s="458"/>
      <c r="F6" s="457" t="s">
        <v>239</v>
      </c>
      <c r="G6" s="458"/>
      <c r="H6" s="458"/>
      <c r="I6" s="458"/>
      <c r="J6" s="458"/>
      <c r="K6" s="459"/>
    </row>
    <row r="7" spans="2:11" ht="14.25" thickBot="1" x14ac:dyDescent="0.3">
      <c r="B7" s="264" t="s">
        <v>201</v>
      </c>
      <c r="C7" s="264" t="s">
        <v>44</v>
      </c>
      <c r="D7" s="264" t="s">
        <v>240</v>
      </c>
      <c r="E7" s="264" t="s">
        <v>202</v>
      </c>
      <c r="F7" s="265">
        <v>0</v>
      </c>
      <c r="G7" s="266">
        <v>2025</v>
      </c>
      <c r="H7" s="266">
        <f>+G7+1</f>
        <v>2026</v>
      </c>
      <c r="I7" s="266">
        <f>+H7+1</f>
        <v>2027</v>
      </c>
      <c r="J7" s="266">
        <f>+I7+1</f>
        <v>2028</v>
      </c>
      <c r="K7" s="267">
        <f>+J7+1</f>
        <v>2029</v>
      </c>
    </row>
    <row r="8" spans="2:11" hidden="1" x14ac:dyDescent="0.25">
      <c r="B8" s="210" cm="1">
        <f t="array" ref="B8:B23">_xlfn.SEQUENCE(16)</f>
        <v>1</v>
      </c>
      <c r="C8" s="210" t="str">
        <f>_xlfn.XLOOKUP(B8,'$ Producto'!O:O,'$ Producto'!I:I)</f>
        <v>Choco maní</v>
      </c>
      <c r="D8" s="211">
        <f>_xlfn.XLOOKUP(B8,'$ Producto'!O:O,'$ Producto'!J:J)</f>
        <v>240</v>
      </c>
      <c r="E8" s="258">
        <f>_xlfn.XLOOKUP(B8,'$ Producto'!O:O,'$ Producto'!N:N)</f>
        <v>3500</v>
      </c>
      <c r="F8" s="259"/>
      <c r="G8" s="258">
        <f t="shared" ref="G8:G23" si="2">(D8*E8)*12</f>
        <v>10080000</v>
      </c>
      <c r="H8" s="258">
        <f t="shared" ref="H8:H23" si="3">ROUND(G8*(1+$H$4),0)</f>
        <v>11119046</v>
      </c>
      <c r="I8" s="258">
        <f t="shared" ref="I8:I23" si="4">ROUND(H8*(1+$I$4),0)</f>
        <v>12265197</v>
      </c>
      <c r="J8" s="258">
        <f t="shared" ref="J8:J23" si="5">ROUND(I8*(1+$J$4),0)</f>
        <v>13529494</v>
      </c>
      <c r="K8" s="260">
        <f t="shared" ref="K8:K23" si="6">ROUND(J8*(1+$K$4),0)</f>
        <v>14924114</v>
      </c>
    </row>
    <row r="9" spans="2:11" hidden="1" x14ac:dyDescent="0.25">
      <c r="B9" s="210">
        <v>2</v>
      </c>
      <c r="C9" s="210" t="str">
        <f>_xlfn.XLOOKUP(B9,'$ Producto'!O:O,'$ Producto'!I:I)</f>
        <v>Oreo</v>
      </c>
      <c r="D9" s="211">
        <f>_xlfn.XLOOKUP(B9,'$ Producto'!O:O,'$ Producto'!J:J)</f>
        <v>240</v>
      </c>
      <c r="E9" s="258">
        <f>_xlfn.XLOOKUP(B9,'$ Producto'!O:O,'$ Producto'!N:N)</f>
        <v>3500</v>
      </c>
      <c r="F9" s="259"/>
      <c r="G9" s="258">
        <f t="shared" si="2"/>
        <v>10080000</v>
      </c>
      <c r="H9" s="258">
        <f t="shared" si="3"/>
        <v>11119046</v>
      </c>
      <c r="I9" s="258">
        <f t="shared" si="4"/>
        <v>12265197</v>
      </c>
      <c r="J9" s="258">
        <f t="shared" si="5"/>
        <v>13529494</v>
      </c>
      <c r="K9" s="260">
        <f t="shared" si="6"/>
        <v>14924114</v>
      </c>
    </row>
    <row r="10" spans="2:11" hidden="1" x14ac:dyDescent="0.25">
      <c r="B10" s="210">
        <v>3</v>
      </c>
      <c r="C10" s="210" t="str">
        <f>_xlfn.XLOOKUP(B10,'$ Producto'!O:O,'$ Producto'!I:I)</f>
        <v>Homero S</v>
      </c>
      <c r="D10" s="211">
        <f>_xlfn.XLOOKUP(B10,'$ Producto'!O:O,'$ Producto'!J:J)</f>
        <v>240</v>
      </c>
      <c r="E10" s="258">
        <f>_xlfn.XLOOKUP(B10,'$ Producto'!O:O,'$ Producto'!N:N)</f>
        <v>3500</v>
      </c>
      <c r="F10" s="259"/>
      <c r="G10" s="258">
        <f t="shared" si="2"/>
        <v>10080000</v>
      </c>
      <c r="H10" s="258">
        <f t="shared" si="3"/>
        <v>11119046</v>
      </c>
      <c r="I10" s="258">
        <f t="shared" si="4"/>
        <v>12265197</v>
      </c>
      <c r="J10" s="258">
        <f t="shared" si="5"/>
        <v>13529494</v>
      </c>
      <c r="K10" s="260">
        <f t="shared" si="6"/>
        <v>14924114</v>
      </c>
    </row>
    <row r="11" spans="2:11" hidden="1" x14ac:dyDescent="0.25">
      <c r="B11" s="210">
        <v>4</v>
      </c>
      <c r="C11" s="210" t="str">
        <f>_xlfn.XLOOKUP(B11,'$ Producto'!O:O,'$ Producto'!I:I)</f>
        <v>Morita</v>
      </c>
      <c r="D11" s="211">
        <f>_xlfn.XLOOKUP(B11,'$ Producto'!O:O,'$ Producto'!J:J)</f>
        <v>240</v>
      </c>
      <c r="E11" s="258">
        <f>_xlfn.XLOOKUP(B11,'$ Producto'!O:O,'$ Producto'!N:N)</f>
        <v>3500</v>
      </c>
      <c r="F11" s="259"/>
      <c r="G11" s="258">
        <f t="shared" si="2"/>
        <v>10080000</v>
      </c>
      <c r="H11" s="258">
        <f t="shared" si="3"/>
        <v>11119046</v>
      </c>
      <c r="I11" s="258">
        <f t="shared" si="4"/>
        <v>12265197</v>
      </c>
      <c r="J11" s="258">
        <f t="shared" si="5"/>
        <v>13529494</v>
      </c>
      <c r="K11" s="260">
        <f t="shared" si="6"/>
        <v>14924114</v>
      </c>
    </row>
    <row r="12" spans="2:11" hidden="1" x14ac:dyDescent="0.25">
      <c r="B12" s="210">
        <v>5</v>
      </c>
      <c r="C12" s="210" t="str">
        <f>_xlfn.XLOOKUP(B12,'$ Producto'!O:O,'$ Producto'!I:I)</f>
        <v>R. avellana</v>
      </c>
      <c r="D12" s="211">
        <f>_xlfn.XLOOKUP(B12,'$ Producto'!O:O,'$ Producto'!J:J)</f>
        <v>288</v>
      </c>
      <c r="E12" s="258">
        <f>_xlfn.XLOOKUP(B12,'$ Producto'!O:O,'$ Producto'!N:N)</f>
        <v>4500</v>
      </c>
      <c r="F12" s="259"/>
      <c r="G12" s="258">
        <f t="shared" si="2"/>
        <v>15552000</v>
      </c>
      <c r="H12" s="258">
        <f t="shared" si="3"/>
        <v>17155100</v>
      </c>
      <c r="I12" s="258">
        <f t="shared" si="4"/>
        <v>18923448</v>
      </c>
      <c r="J12" s="258">
        <f t="shared" si="5"/>
        <v>20874077</v>
      </c>
      <c r="K12" s="260">
        <f t="shared" si="6"/>
        <v>23025777</v>
      </c>
    </row>
    <row r="13" spans="2:11" hidden="1" x14ac:dyDescent="0.25">
      <c r="B13" s="210">
        <v>6</v>
      </c>
      <c r="C13" s="210" t="str">
        <f>_xlfn.XLOOKUP(B13,'$ Producto'!O:O,'$ Producto'!I:I)</f>
        <v>R. arequipe</v>
      </c>
      <c r="D13" s="211">
        <f>_xlfn.XLOOKUP(B13,'$ Producto'!O:O,'$ Producto'!J:J)</f>
        <v>288</v>
      </c>
      <c r="E13" s="258">
        <f>_xlfn.XLOOKUP(B13,'$ Producto'!O:O,'$ Producto'!N:N)</f>
        <v>4000</v>
      </c>
      <c r="F13" s="259"/>
      <c r="G13" s="258">
        <f t="shared" si="2"/>
        <v>13824000</v>
      </c>
      <c r="H13" s="258">
        <f t="shared" si="3"/>
        <v>15248978</v>
      </c>
      <c r="I13" s="258">
        <f t="shared" si="4"/>
        <v>16820843</v>
      </c>
      <c r="J13" s="258">
        <f t="shared" si="5"/>
        <v>18554735</v>
      </c>
      <c r="K13" s="260">
        <f t="shared" si="6"/>
        <v>20467357</v>
      </c>
    </row>
    <row r="14" spans="2:11" hidden="1" x14ac:dyDescent="0.25">
      <c r="B14" s="210">
        <v>7</v>
      </c>
      <c r="C14" s="210" t="str">
        <f>_xlfn.XLOOKUP(B14,'$ Producto'!O:O,'$ Producto'!I:I)</f>
        <v>R. fresa</v>
      </c>
      <c r="D14" s="211">
        <f>_xlfn.XLOOKUP(B14,'$ Producto'!O:O,'$ Producto'!J:J)</f>
        <v>288</v>
      </c>
      <c r="E14" s="258">
        <f>_xlfn.XLOOKUP(B14,'$ Producto'!O:O,'$ Producto'!N:N)</f>
        <v>4000</v>
      </c>
      <c r="F14" s="259"/>
      <c r="G14" s="258">
        <f t="shared" si="2"/>
        <v>13824000</v>
      </c>
      <c r="H14" s="258">
        <f t="shared" si="3"/>
        <v>15248978</v>
      </c>
      <c r="I14" s="258">
        <f t="shared" si="4"/>
        <v>16820843</v>
      </c>
      <c r="J14" s="258">
        <f t="shared" si="5"/>
        <v>18554735</v>
      </c>
      <c r="K14" s="260">
        <f t="shared" si="6"/>
        <v>20467357</v>
      </c>
    </row>
    <row r="15" spans="2:11" hidden="1" x14ac:dyDescent="0.25">
      <c r="B15" s="210">
        <v>8</v>
      </c>
      <c r="C15" s="210" t="str">
        <f>_xlfn.XLOOKUP(B15,'$ Producto'!O:O,'$ Producto'!I:I)</f>
        <v>R. mora</v>
      </c>
      <c r="D15" s="211">
        <f>_xlfn.XLOOKUP(B15,'$ Producto'!O:O,'$ Producto'!J:J)</f>
        <v>288</v>
      </c>
      <c r="E15" s="258">
        <f>_xlfn.XLOOKUP(B15,'$ Producto'!O:O,'$ Producto'!N:N)</f>
        <v>4000</v>
      </c>
      <c r="F15" s="259"/>
      <c r="G15" s="258">
        <f t="shared" si="2"/>
        <v>13824000</v>
      </c>
      <c r="H15" s="258">
        <f t="shared" si="3"/>
        <v>15248978</v>
      </c>
      <c r="I15" s="258">
        <f t="shared" si="4"/>
        <v>16820843</v>
      </c>
      <c r="J15" s="258">
        <f t="shared" si="5"/>
        <v>18554735</v>
      </c>
      <c r="K15" s="260">
        <f t="shared" si="6"/>
        <v>20467357</v>
      </c>
    </row>
    <row r="16" spans="2:11" hidden="1" x14ac:dyDescent="0.25">
      <c r="B16" s="210">
        <v>9</v>
      </c>
      <c r="C16" s="210" t="str">
        <f>_xlfn.XLOOKUP(B16,'$ Producto'!O:O,'$ Producto'!I:I)</f>
        <v>R. frutos amarillos</v>
      </c>
      <c r="D16" s="211">
        <f>_xlfn.XLOOKUP(B16,'$ Producto'!O:O,'$ Producto'!J:J)</f>
        <v>288</v>
      </c>
      <c r="E16" s="258">
        <f>_xlfn.XLOOKUP(B16,'$ Producto'!O:O,'$ Producto'!N:N)</f>
        <v>4000</v>
      </c>
      <c r="F16" s="259"/>
      <c r="G16" s="258">
        <f t="shared" si="2"/>
        <v>13824000</v>
      </c>
      <c r="H16" s="258">
        <f t="shared" si="3"/>
        <v>15248978</v>
      </c>
      <c r="I16" s="258">
        <f t="shared" si="4"/>
        <v>16820843</v>
      </c>
      <c r="J16" s="258">
        <f t="shared" si="5"/>
        <v>18554735</v>
      </c>
      <c r="K16" s="260">
        <f t="shared" si="6"/>
        <v>20467357</v>
      </c>
    </row>
    <row r="17" spans="2:12" hidden="1" x14ac:dyDescent="0.25">
      <c r="B17" s="210">
        <v>10</v>
      </c>
      <c r="C17" s="210" t="str">
        <f>_xlfn.XLOOKUP(B17,'$ Producto'!O:O,'$ Producto'!I:I)</f>
        <v>Jugo lulo</v>
      </c>
      <c r="D17" s="211">
        <f>_xlfn.XLOOKUP(B17,'$ Producto'!O:O,'$ Producto'!J:J)</f>
        <v>168</v>
      </c>
      <c r="E17" s="258">
        <f>_xlfn.XLOOKUP(B17,'$ Producto'!O:O,'$ Producto'!N:N)</f>
        <v>6500</v>
      </c>
      <c r="F17" s="259"/>
      <c r="G17" s="258">
        <f t="shared" si="2"/>
        <v>13104000</v>
      </c>
      <c r="H17" s="258">
        <f t="shared" si="3"/>
        <v>14454760</v>
      </c>
      <c r="I17" s="258">
        <f t="shared" si="4"/>
        <v>15944757</v>
      </c>
      <c r="J17" s="258">
        <f t="shared" si="5"/>
        <v>17588343</v>
      </c>
      <c r="K17" s="260">
        <f t="shared" si="6"/>
        <v>19401349</v>
      </c>
    </row>
    <row r="18" spans="2:12" hidden="1" x14ac:dyDescent="0.25">
      <c r="B18" s="210">
        <v>11</v>
      </c>
      <c r="C18" s="210" t="str">
        <f>_xlfn.XLOOKUP(B18,'$ Producto'!O:O,'$ Producto'!I:I)</f>
        <v>Jugo mora</v>
      </c>
      <c r="D18" s="211">
        <f>_xlfn.XLOOKUP(B18,'$ Producto'!O:O,'$ Producto'!J:J)</f>
        <v>168</v>
      </c>
      <c r="E18" s="258">
        <f>_xlfn.XLOOKUP(B18,'$ Producto'!O:O,'$ Producto'!N:N)</f>
        <v>6500</v>
      </c>
      <c r="F18" s="259"/>
      <c r="G18" s="258">
        <f t="shared" si="2"/>
        <v>13104000</v>
      </c>
      <c r="H18" s="258">
        <f t="shared" si="3"/>
        <v>14454760</v>
      </c>
      <c r="I18" s="258">
        <f t="shared" si="4"/>
        <v>15944757</v>
      </c>
      <c r="J18" s="258">
        <f t="shared" si="5"/>
        <v>17588343</v>
      </c>
      <c r="K18" s="260">
        <f t="shared" si="6"/>
        <v>19401349</v>
      </c>
    </row>
    <row r="19" spans="2:12" hidden="1" x14ac:dyDescent="0.25">
      <c r="B19" s="210">
        <v>12</v>
      </c>
      <c r="C19" s="210" t="str">
        <f>_xlfn.XLOOKUP(B19,'$ Producto'!O:O,'$ Producto'!I:I)</f>
        <v>Taza de café</v>
      </c>
      <c r="D19" s="211">
        <f>_xlfn.XLOOKUP(B19,'$ Producto'!O:O,'$ Producto'!J:J)</f>
        <v>100</v>
      </c>
      <c r="E19" s="258">
        <f>_xlfn.XLOOKUP(B19,'$ Producto'!O:O,'$ Producto'!N:N)</f>
        <v>3500</v>
      </c>
      <c r="F19" s="259"/>
      <c r="G19" s="258">
        <f t="shared" si="2"/>
        <v>4200000</v>
      </c>
      <c r="H19" s="258">
        <f t="shared" si="3"/>
        <v>4632936</v>
      </c>
      <c r="I19" s="258">
        <f t="shared" si="4"/>
        <v>5110499</v>
      </c>
      <c r="J19" s="258">
        <f t="shared" si="5"/>
        <v>5637289</v>
      </c>
      <c r="K19" s="260">
        <f t="shared" si="6"/>
        <v>6218381</v>
      </c>
    </row>
    <row r="20" spans="2:12" hidden="1" x14ac:dyDescent="0.25">
      <c r="B20" s="210">
        <v>13</v>
      </c>
      <c r="C20" s="210" t="str">
        <f>_xlfn.XLOOKUP(B20,'$ Producto'!O:O,'$ Producto'!I:I)</f>
        <v>Coca-cola</v>
      </c>
      <c r="D20" s="211">
        <f>_xlfn.XLOOKUP(B20,'$ Producto'!O:O,'$ Producto'!J:J)</f>
        <v>168</v>
      </c>
      <c r="E20" s="258">
        <f>_xlfn.XLOOKUP(B20,'$ Producto'!O:O,'$ Producto'!N:N)</f>
        <v>4500</v>
      </c>
      <c r="F20" s="259"/>
      <c r="G20" s="258">
        <f t="shared" si="2"/>
        <v>9072000</v>
      </c>
      <c r="H20" s="258">
        <f t="shared" si="3"/>
        <v>10007142</v>
      </c>
      <c r="I20" s="258">
        <f t="shared" si="4"/>
        <v>11038678</v>
      </c>
      <c r="J20" s="258">
        <f t="shared" si="5"/>
        <v>12176545</v>
      </c>
      <c r="K20" s="260">
        <f t="shared" si="6"/>
        <v>13431703</v>
      </c>
    </row>
    <row r="21" spans="2:12" hidden="1" x14ac:dyDescent="0.25">
      <c r="B21" s="210">
        <v>14</v>
      </c>
      <c r="C21" s="210" t="str">
        <f>_xlfn.XLOOKUP(B21,'$ Producto'!O:O,'$ Producto'!I:I)</f>
        <v>Ginger</v>
      </c>
      <c r="D21" s="211">
        <f>_xlfn.XLOOKUP(B21,'$ Producto'!O:O,'$ Producto'!J:J)</f>
        <v>120</v>
      </c>
      <c r="E21" s="258">
        <f>_xlfn.XLOOKUP(B21,'$ Producto'!O:O,'$ Producto'!N:N)</f>
        <v>4000</v>
      </c>
      <c r="F21" s="259"/>
      <c r="G21" s="258">
        <f t="shared" si="2"/>
        <v>5760000</v>
      </c>
      <c r="H21" s="258">
        <f t="shared" si="3"/>
        <v>6353741</v>
      </c>
      <c r="I21" s="258">
        <f t="shared" si="4"/>
        <v>7008685</v>
      </c>
      <c r="J21" s="258">
        <f t="shared" si="5"/>
        <v>7731140</v>
      </c>
      <c r="K21" s="260">
        <f t="shared" si="6"/>
        <v>8528066</v>
      </c>
    </row>
    <row r="22" spans="2:12" hidden="1" x14ac:dyDescent="0.25">
      <c r="B22" s="210">
        <v>15</v>
      </c>
      <c r="C22" s="210" t="str">
        <f>_xlfn.XLOOKUP(B22,'$ Producto'!O:O,'$ Producto'!I:I)</f>
        <v>Manzana</v>
      </c>
      <c r="D22" s="211">
        <f>_xlfn.XLOOKUP(B22,'$ Producto'!O:O,'$ Producto'!J:J)</f>
        <v>120</v>
      </c>
      <c r="E22" s="258">
        <f>_xlfn.XLOOKUP(B22,'$ Producto'!O:O,'$ Producto'!N:N)</f>
        <v>4000</v>
      </c>
      <c r="F22" s="259"/>
      <c r="G22" s="258">
        <f t="shared" si="2"/>
        <v>5760000</v>
      </c>
      <c r="H22" s="258">
        <f t="shared" si="3"/>
        <v>6353741</v>
      </c>
      <c r="I22" s="258">
        <f t="shared" si="4"/>
        <v>7008685</v>
      </c>
      <c r="J22" s="258">
        <f t="shared" si="5"/>
        <v>7731140</v>
      </c>
      <c r="K22" s="260">
        <f t="shared" si="6"/>
        <v>8528066</v>
      </c>
    </row>
    <row r="23" spans="2:12" hidden="1" x14ac:dyDescent="0.25">
      <c r="B23" s="210">
        <v>16</v>
      </c>
      <c r="C23" s="210" t="str">
        <f>_xlfn.XLOOKUP(B23,'$ Producto'!O:O,'$ Producto'!I:I)</f>
        <v>Agua botella</v>
      </c>
      <c r="D23" s="211">
        <f>_xlfn.XLOOKUP(B23,'$ Producto'!O:O,'$ Producto'!J:J)</f>
        <v>120</v>
      </c>
      <c r="E23" s="258">
        <f>_xlfn.XLOOKUP(B23,'$ Producto'!O:O,'$ Producto'!N:N)</f>
        <v>3000</v>
      </c>
      <c r="F23" s="259"/>
      <c r="G23" s="258">
        <f t="shared" si="2"/>
        <v>4320000</v>
      </c>
      <c r="H23" s="258">
        <f t="shared" si="3"/>
        <v>4765306</v>
      </c>
      <c r="I23" s="258">
        <f t="shared" si="4"/>
        <v>5256514</v>
      </c>
      <c r="J23" s="258">
        <f t="shared" si="5"/>
        <v>5798355</v>
      </c>
      <c r="K23" s="260">
        <f t="shared" si="6"/>
        <v>6396049</v>
      </c>
    </row>
    <row r="24" spans="2:12" x14ac:dyDescent="0.25">
      <c r="F24" s="268"/>
      <c r="G24" s="269"/>
      <c r="H24" s="269"/>
      <c r="I24" s="269"/>
      <c r="J24" s="269"/>
      <c r="K24" s="270"/>
      <c r="L24" s="269"/>
    </row>
    <row r="25" spans="2:12" ht="14.25" thickBot="1" x14ac:dyDescent="0.3">
      <c r="B25" s="454" t="s">
        <v>241</v>
      </c>
      <c r="C25" s="454"/>
      <c r="D25" s="454"/>
      <c r="E25" s="454"/>
      <c r="F25" s="272"/>
      <c r="G25" s="273">
        <f t="shared" ref="G25:K25" si="7">SUM(G8:G24)</f>
        <v>166488000</v>
      </c>
      <c r="H25" s="273">
        <f t="shared" si="7"/>
        <v>183649582</v>
      </c>
      <c r="I25" s="273">
        <f t="shared" si="7"/>
        <v>202580183</v>
      </c>
      <c r="J25" s="273">
        <f t="shared" si="7"/>
        <v>223462148</v>
      </c>
      <c r="K25" s="274">
        <f t="shared" si="7"/>
        <v>246496624</v>
      </c>
    </row>
    <row r="26" spans="2:12" ht="14.25" thickBot="1" x14ac:dyDescent="0.3">
      <c r="H26" s="302">
        <f>(H25/G25)-1</f>
        <v>0.10307999375330357</v>
      </c>
      <c r="I26" s="302">
        <f t="shared" ref="I26:K26" si="8">(I25/H25)-1</f>
        <v>0.10308001136642941</v>
      </c>
      <c r="J26" s="302">
        <f t="shared" si="8"/>
        <v>0.1030799986985893</v>
      </c>
      <c r="K26" s="302">
        <f t="shared" si="8"/>
        <v>0.10307999008404778</v>
      </c>
    </row>
    <row r="27" spans="2:12" ht="13.5" customHeight="1" x14ac:dyDescent="0.25">
      <c r="B27" s="263"/>
      <c r="C27" s="263"/>
      <c r="D27" s="458" t="s">
        <v>11</v>
      </c>
      <c r="E27" s="458"/>
      <c r="F27" s="457" t="s">
        <v>242</v>
      </c>
      <c r="G27" s="458"/>
      <c r="H27" s="458"/>
      <c r="I27" s="458"/>
      <c r="J27" s="458"/>
      <c r="K27" s="459"/>
      <c r="L27" s="276"/>
    </row>
    <row r="28" spans="2:12" ht="41.25" thickBot="1" x14ac:dyDescent="0.3">
      <c r="B28" s="275" t="s">
        <v>201</v>
      </c>
      <c r="C28" s="277" t="s">
        <v>243</v>
      </c>
      <c r="D28" s="264"/>
      <c r="E28" s="264"/>
      <c r="F28" s="265">
        <v>0</v>
      </c>
      <c r="G28" s="266">
        <v>2025</v>
      </c>
      <c r="H28" s="266">
        <f>+G28+1</f>
        <v>2026</v>
      </c>
      <c r="I28" s="266">
        <f>+H28+1</f>
        <v>2027</v>
      </c>
      <c r="J28" s="266">
        <f>+I28+1</f>
        <v>2028</v>
      </c>
      <c r="K28" s="267">
        <f>+J28+1</f>
        <v>2029</v>
      </c>
      <c r="L28" s="276" t="s">
        <v>244</v>
      </c>
    </row>
    <row r="29" spans="2:12" ht="12.95" customHeight="1" x14ac:dyDescent="0.25">
      <c r="B29" s="434">
        <v>1</v>
      </c>
      <c r="C29" s="434" t="s">
        <v>197</v>
      </c>
      <c r="E29" s="258"/>
      <c r="F29" s="259">
        <f>SUM(Inver.!G:G)</f>
        <v>49483000</v>
      </c>
      <c r="G29" s="258">
        <f>(D29*E29)*12</f>
        <v>0</v>
      </c>
      <c r="H29" s="258">
        <f>ROUND(G29*(1+$H$4),0)</f>
        <v>0</v>
      </c>
      <c r="I29" s="258">
        <f>ROUND(H29*(1+$I$4),0)</f>
        <v>0</v>
      </c>
      <c r="J29" s="258">
        <f>ROUND(I29*(1+$J$4),0)</f>
        <v>0</v>
      </c>
      <c r="K29" s="260">
        <f>ROUND(J29*(1+$K$4),0)</f>
        <v>0</v>
      </c>
      <c r="L29" s="276"/>
    </row>
    <row r="30" spans="2:12" ht="12.95" customHeight="1" x14ac:dyDescent="0.25">
      <c r="B30" s="210">
        <v>2</v>
      </c>
      <c r="C30" s="210" t="s">
        <v>61</v>
      </c>
      <c r="E30" s="258">
        <f>SUM(Presu.!T:T)</f>
        <v>5032332</v>
      </c>
      <c r="F30" s="276"/>
      <c r="G30" s="258">
        <f>SUM(Presu.!AD:AD)</f>
        <v>57585405.833333328</v>
      </c>
      <c r="H30" s="258">
        <f>ROUND(G30*(1+$H$4),0)</f>
        <v>63521309</v>
      </c>
      <c r="I30" s="258">
        <f>ROUND(H30*(1+$I$4),0)</f>
        <v>70069086</v>
      </c>
      <c r="J30" s="258">
        <f>ROUND(I30*(1+$J$4),0)</f>
        <v>77291807</v>
      </c>
      <c r="K30" s="258">
        <f>ROUND(J30*(1+$K$4),0)</f>
        <v>85259046</v>
      </c>
      <c r="L30" s="276"/>
    </row>
    <row r="31" spans="2:12" ht="12.95" customHeight="1" x14ac:dyDescent="0.25">
      <c r="B31" s="210">
        <v>3</v>
      </c>
      <c r="C31" s="210" t="s">
        <v>89</v>
      </c>
      <c r="E31" s="258">
        <f>SUMIF('C. Prod.'!C:C,C31,'C. Prod.'!G:G)</f>
        <v>2050789</v>
      </c>
      <c r="F31" s="276"/>
      <c r="G31" s="258">
        <f>SUMIF('C. Prod.'!C:C,"Cf",'C. Prod.'!J:J)*12</f>
        <v>24609468</v>
      </c>
      <c r="H31" s="258">
        <f t="shared" ref="H31:H32" si="9">ROUND(G31*(1+$H$4),0)</f>
        <v>27146212</v>
      </c>
      <c r="I31" s="258">
        <f t="shared" ref="I31:I32" si="10">ROUND(H31*(1+$I$4),0)</f>
        <v>29944444</v>
      </c>
      <c r="J31" s="258">
        <f t="shared" ref="J31:J32" si="11">ROUND(I31*(1+$J$4),0)</f>
        <v>33031117</v>
      </c>
      <c r="K31" s="258">
        <f t="shared" ref="K31:K32" si="12">ROUND(J31*(1+$K$4),0)</f>
        <v>36435965</v>
      </c>
      <c r="L31" s="276"/>
    </row>
    <row r="32" spans="2:12" ht="12.95" customHeight="1" x14ac:dyDescent="0.25">
      <c r="B32" s="210">
        <v>4</v>
      </c>
      <c r="C32" s="210" t="s">
        <v>103</v>
      </c>
      <c r="E32" s="258">
        <f>SUM('G. AyV'!G:G)</f>
        <v>5428590.7272727275</v>
      </c>
      <c r="F32" s="276"/>
      <c r="G32" s="258">
        <f t="shared" ref="G32" si="13">+E32*12</f>
        <v>65143088.727272734</v>
      </c>
      <c r="H32" s="258">
        <f t="shared" si="9"/>
        <v>71858038</v>
      </c>
      <c r="I32" s="258">
        <f t="shared" si="10"/>
        <v>79265165</v>
      </c>
      <c r="J32" s="258">
        <f t="shared" si="11"/>
        <v>87435818</v>
      </c>
      <c r="K32" s="258">
        <f t="shared" si="12"/>
        <v>96448702</v>
      </c>
      <c r="L32" s="276"/>
    </row>
    <row r="33" spans="2:12" ht="12.95" customHeight="1" x14ac:dyDescent="0.25">
      <c r="F33" s="276"/>
      <c r="G33" s="276"/>
      <c r="H33" s="276"/>
      <c r="I33" s="276"/>
      <c r="J33" s="276"/>
      <c r="K33" s="276"/>
      <c r="L33" s="276"/>
    </row>
    <row r="34" spans="2:12" ht="12.95" customHeight="1" thickBot="1" x14ac:dyDescent="0.3">
      <c r="B34" s="454" t="s">
        <v>245</v>
      </c>
      <c r="C34" s="454"/>
      <c r="D34" s="454"/>
      <c r="E34" s="454"/>
      <c r="F34" s="273">
        <f>SUM(F29:F32)</f>
        <v>49483000</v>
      </c>
      <c r="G34" s="273">
        <f t="shared" ref="G34:K34" si="14">SUM(G29:G32)</f>
        <v>147337962.56060606</v>
      </c>
      <c r="H34" s="273">
        <f t="shared" si="14"/>
        <v>162525559</v>
      </c>
      <c r="I34" s="273">
        <f t="shared" si="14"/>
        <v>179278695</v>
      </c>
      <c r="J34" s="273">
        <f t="shared" si="14"/>
        <v>197758742</v>
      </c>
      <c r="K34" s="273">
        <f t="shared" si="14"/>
        <v>218143713</v>
      </c>
      <c r="L34" s="276"/>
    </row>
    <row r="35" spans="2:12" ht="12.95" customHeight="1" x14ac:dyDescent="0.25">
      <c r="F35" s="276"/>
      <c r="G35" s="276"/>
      <c r="H35" s="276"/>
      <c r="I35" s="276"/>
      <c r="J35" s="276"/>
      <c r="K35" s="276"/>
      <c r="L35" s="276"/>
    </row>
    <row r="36" spans="2:12" ht="12.95" customHeight="1" thickBot="1" x14ac:dyDescent="0.3">
      <c r="B36" s="454" t="s">
        <v>246</v>
      </c>
      <c r="C36" s="454"/>
      <c r="D36" s="454"/>
      <c r="E36" s="454"/>
      <c r="F36" s="273">
        <f>+F25-F34</f>
        <v>-49483000</v>
      </c>
      <c r="G36" s="273">
        <f t="shared" ref="G36:K36" si="15">+G25-G34</f>
        <v>19150037.439393938</v>
      </c>
      <c r="H36" s="273">
        <f t="shared" si="15"/>
        <v>21124023</v>
      </c>
      <c r="I36" s="273">
        <f t="shared" si="15"/>
        <v>23301488</v>
      </c>
      <c r="J36" s="273">
        <f t="shared" si="15"/>
        <v>25703406</v>
      </c>
      <c r="K36" s="273">
        <f t="shared" si="15"/>
        <v>28352911</v>
      </c>
      <c r="L36" s="276"/>
    </row>
    <row r="37" spans="2:12" ht="12.95" customHeight="1" x14ac:dyDescent="0.25">
      <c r="F37" s="276"/>
      <c r="G37" s="432"/>
      <c r="H37" s="432"/>
      <c r="I37" s="432"/>
      <c r="J37" s="432"/>
      <c r="K37" s="432"/>
      <c r="L37" s="276"/>
    </row>
    <row r="38" spans="2:12" ht="12.95" customHeight="1" x14ac:dyDescent="0.25">
      <c r="F38" s="276"/>
      <c r="G38" s="435">
        <f>(K36/G36)-1</f>
        <v>0.48056687041638058</v>
      </c>
      <c r="H38" s="432"/>
      <c r="I38" s="432"/>
      <c r="J38" s="432"/>
      <c r="K38" s="432"/>
      <c r="L38" s="276"/>
    </row>
    <row r="39" spans="2:12" ht="12.95" customHeight="1" x14ac:dyDescent="0.25">
      <c r="F39" s="276"/>
      <c r="G39" s="276"/>
      <c r="H39" s="276">
        <f>150*0.6</f>
        <v>90</v>
      </c>
      <c r="I39" s="276">
        <f>+H39/5</f>
        <v>18</v>
      </c>
      <c r="J39" s="276"/>
      <c r="K39" s="276"/>
      <c r="L39" s="276"/>
    </row>
    <row r="40" spans="2:12" ht="12.95" customHeight="1" x14ac:dyDescent="0.25">
      <c r="F40" s="276"/>
      <c r="G40" s="276"/>
      <c r="H40" s="276">
        <f>150-H39</f>
        <v>60</v>
      </c>
      <c r="I40" s="276">
        <f>+H40/4</f>
        <v>15</v>
      </c>
      <c r="J40" s="276"/>
      <c r="K40" s="276"/>
      <c r="L40" s="276"/>
    </row>
    <row r="41" spans="2:12" ht="12.95" customHeight="1" x14ac:dyDescent="0.25">
      <c r="F41" s="276"/>
      <c r="G41" s="276"/>
      <c r="H41" s="276"/>
      <c r="I41" s="276"/>
      <c r="J41" s="276"/>
      <c r="K41" s="276"/>
      <c r="L41" s="276"/>
    </row>
    <row r="42" spans="2:12" ht="12.95" customHeight="1" x14ac:dyDescent="0.25">
      <c r="F42" s="276"/>
      <c r="G42" s="276"/>
      <c r="H42" s="276"/>
      <c r="I42" s="276"/>
      <c r="J42" s="276"/>
      <c r="K42" s="276"/>
      <c r="L42" s="276"/>
    </row>
    <row r="43" spans="2:12" ht="12.95" customHeight="1" x14ac:dyDescent="0.25">
      <c r="F43" s="276"/>
      <c r="G43" s="276"/>
      <c r="H43" s="276"/>
      <c r="I43" s="276"/>
      <c r="J43" s="276"/>
      <c r="K43" s="276"/>
      <c r="L43" s="276"/>
    </row>
    <row r="44" spans="2:12" ht="12.95" customHeight="1" x14ac:dyDescent="0.25">
      <c r="F44" s="276"/>
      <c r="G44" s="276"/>
      <c r="H44" s="276"/>
      <c r="I44" s="276"/>
      <c r="J44" s="276"/>
      <c r="K44" s="276"/>
      <c r="L44" s="276"/>
    </row>
    <row r="45" spans="2:12" ht="12.95" customHeight="1" x14ac:dyDescent="0.25">
      <c r="C45" s="210" t="s">
        <v>247</v>
      </c>
      <c r="F45" s="276"/>
      <c r="G45" s="276"/>
      <c r="H45" s="276"/>
      <c r="I45" s="276"/>
      <c r="J45" s="276"/>
      <c r="K45" s="276"/>
      <c r="L45" s="276"/>
    </row>
  </sheetData>
  <sheetProtection algorithmName="SHA-512" hashValue="TimBDV89PhOtFKvm81ex7U0jM4N2T4Q+Pyif0Dz01G9YjgEmyqdqtPhLGCJWLW0BjhpSE/lCiezhM4zmCLtsPQ==" saltValue="HVhy/3uqzvuslYUzqP/YUQ==" spinCount="100000" sheet="1" formatCells="0" formatColumns="0" formatRows="0" insertColumns="0" insertRows="0" insertHyperlinks="0" deleteColumns="0" deleteRows="0" sort="0" pivotTables="0"/>
  <mergeCells count="10">
    <mergeCell ref="B36:E36"/>
    <mergeCell ref="D4:F4"/>
    <mergeCell ref="D3:F3"/>
    <mergeCell ref="D2:F2"/>
    <mergeCell ref="B25:E25"/>
    <mergeCell ref="F6:K6"/>
    <mergeCell ref="D6:E6"/>
    <mergeCell ref="D27:E27"/>
    <mergeCell ref="F27:K27"/>
    <mergeCell ref="B34:E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Datos</vt:lpstr>
      <vt:lpstr>índice</vt:lpstr>
      <vt:lpstr>Egresos</vt:lpstr>
      <vt:lpstr>C. Prod.</vt:lpstr>
      <vt:lpstr>G. AyV</vt:lpstr>
      <vt:lpstr>Inver.</vt:lpstr>
      <vt:lpstr>$ Producto</vt:lpstr>
      <vt:lpstr>Presu.</vt:lpstr>
      <vt:lpstr>Flujo</vt:lpstr>
      <vt:lpstr>Estados finan.</vt:lpstr>
      <vt:lpstr>Indicadores</vt:lpstr>
      <vt:lpstr>Razones</vt:lpstr>
      <vt:lpstr>Pto. Equi.</vt:lpstr>
      <vt:lpstr>Resumen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Harold Leonardo Ariza Pinilla</dc:creator>
  <cp:keywords/>
  <dc:description/>
  <cp:lastModifiedBy>Jefferson Zapata Moreno</cp:lastModifiedBy>
  <cp:revision/>
  <dcterms:created xsi:type="dcterms:W3CDTF">2025-05-16T13:39:54Z</dcterms:created>
  <dcterms:modified xsi:type="dcterms:W3CDTF">2026-01-14T14:37:10Z</dcterms:modified>
  <cp:category/>
  <cp:contentStatus/>
</cp:coreProperties>
</file>