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cer\Documents\Plan de mejora\"/>
    </mc:Choice>
  </mc:AlternateContent>
  <xr:revisionPtr revIDLastSave="0" documentId="13_ncr:1_{751947F3-1F35-42F0-8F01-DF022FB0FCBA}" xr6:coauthVersionLast="47" xr6:coauthVersionMax="47" xr10:uidLastSave="{00000000-0000-0000-0000-000000000000}"/>
  <bookViews>
    <workbookView xWindow="-108" yWindow="-108" windowWidth="23256" windowHeight="12456" activeTab="1" xr2:uid="{239B40C1-9D04-40D0-B1A7-1178FBAF35F2}"/>
  </bookViews>
  <sheets>
    <sheet name="Analisis" sheetId="1" r:id="rId1"/>
    <sheet name="Propuesta 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" i="2" l="1"/>
  <c r="J25" i="2" a="1"/>
  <c r="J25" i="2"/>
  <c r="I25" i="2" a="1"/>
  <c r="I25" i="2" s="1"/>
  <c r="W14" i="2"/>
  <c r="E26" i="2"/>
  <c r="E25" i="2"/>
  <c r="E24" i="2"/>
  <c r="E23" i="2"/>
  <c r="K22" i="2"/>
  <c r="L22" i="2" s="1"/>
  <c r="I22" i="2"/>
  <c r="E22" i="2"/>
  <c r="E21" i="2"/>
  <c r="E20" i="2"/>
  <c r="E19" i="2"/>
  <c r="E18" i="2"/>
  <c r="E17" i="2"/>
  <c r="E16" i="2"/>
  <c r="E15" i="2"/>
  <c r="E14" i="2"/>
  <c r="J13" i="2"/>
  <c r="L13" i="2" s="1"/>
  <c r="E13" i="2"/>
  <c r="L12" i="2"/>
  <c r="E12" i="2"/>
  <c r="J11" i="2"/>
  <c r="L11" i="2" s="1"/>
  <c r="E11" i="2"/>
  <c r="O10" i="2"/>
  <c r="E10" i="2"/>
  <c r="E9" i="2"/>
  <c r="V8" i="2"/>
  <c r="S8" i="2"/>
  <c r="R8" i="2"/>
  <c r="T8" i="2" s="1"/>
  <c r="V7" i="2"/>
  <c r="S7" i="2"/>
  <c r="R7" i="2"/>
  <c r="T7" i="2" s="1"/>
  <c r="V6" i="2"/>
  <c r="S6" i="2"/>
  <c r="R6" i="2"/>
  <c r="V5" i="2"/>
  <c r="S5" i="2"/>
  <c r="R5" i="2"/>
  <c r="T5" i="2" s="1"/>
  <c r="E5" i="2"/>
  <c r="W4" i="2"/>
  <c r="V4" i="2"/>
  <c r="S4" i="2"/>
  <c r="T4" i="2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J10" i="1"/>
  <c r="J11" i="1" s="1"/>
  <c r="E10" i="1"/>
  <c r="E9" i="1"/>
  <c r="Q8" i="1"/>
  <c r="R8" i="1" s="1"/>
  <c r="N8" i="1"/>
  <c r="O8" i="1" s="1"/>
  <c r="Q7" i="1"/>
  <c r="R7" i="1" s="1"/>
  <c r="N7" i="1"/>
  <c r="O7" i="1" s="1"/>
  <c r="Q6" i="1"/>
  <c r="R6" i="1" s="1"/>
  <c r="N6" i="1"/>
  <c r="M6" i="1"/>
  <c r="O6" i="1" s="1"/>
  <c r="J6" i="1"/>
  <c r="Q5" i="1"/>
  <c r="R5" i="1" s="1"/>
  <c r="N5" i="1"/>
  <c r="M5" i="1"/>
  <c r="O5" i="1" s="1"/>
  <c r="J5" i="1"/>
  <c r="E5" i="1"/>
  <c r="Q4" i="1"/>
  <c r="R4" i="1" s="1"/>
  <c r="O4" i="1"/>
  <c r="N4" i="1"/>
  <c r="M4" i="1"/>
  <c r="J4" i="1"/>
  <c r="W7" i="2" l="1"/>
  <c r="W5" i="2"/>
  <c r="T6" i="2"/>
  <c r="W8" i="2"/>
  <c r="W6" i="2"/>
  <c r="W10" i="2"/>
  <c r="W15" i="2" s="1"/>
  <c r="W16" i="2" s="1"/>
  <c r="R10" i="1"/>
  <c r="R11" i="1" l="1"/>
  <c r="W11" i="2"/>
  <c r="J14" i="2"/>
  <c r="L14" i="2" s="1"/>
  <c r="L16" i="2" s="1"/>
  <c r="L17" i="2" l="1"/>
  <c r="J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<sst xmlns="http://schemas.openxmlformats.org/spreadsheetml/2006/main" count="334" uniqueCount="104">
  <si>
    <t xml:space="preserve">Actividades </t>
  </si>
  <si>
    <t>Tiempo Promedio invertido por colaboradores
Para la ejecución de las actividades</t>
  </si>
  <si>
    <t>Inversion de tiempo y Capital en la ejecucion de Actividades</t>
  </si>
  <si>
    <t>Naturaleza</t>
  </si>
  <si>
    <t>Actividad</t>
  </si>
  <si>
    <t>Periodicidad</t>
  </si>
  <si>
    <t>Tiempo Requerido
(min).</t>
  </si>
  <si>
    <t>Responsable(s)</t>
  </si>
  <si>
    <t>Sector</t>
  </si>
  <si>
    <t>Colaborador</t>
  </si>
  <si>
    <t>Horas invertidas</t>
  </si>
  <si>
    <t>Horas mensuales</t>
  </si>
  <si>
    <t>Horas laborales Mensuales</t>
  </si>
  <si>
    <t>Peso Actividades</t>
  </si>
  <si>
    <t>Salario Mensual</t>
  </si>
  <si>
    <t>Salario Hora</t>
  </si>
  <si>
    <t>Inversion en Actividades</t>
  </si>
  <si>
    <t>Administrativa DC</t>
  </si>
  <si>
    <t>Programación de visitas a unidades Comerciales</t>
  </si>
  <si>
    <t>Trimestral</t>
  </si>
  <si>
    <t xml:space="preserve">DC 100 </t>
  </si>
  <si>
    <t>COM</t>
  </si>
  <si>
    <t>DC 100</t>
  </si>
  <si>
    <t xml:space="preserve">DC </t>
  </si>
  <si>
    <t>Compra de pasajes Aereos</t>
  </si>
  <si>
    <t>Mensual</t>
  </si>
  <si>
    <t>ACF</t>
  </si>
  <si>
    <t>Compra de alojamientos</t>
  </si>
  <si>
    <t>CV DP</t>
  </si>
  <si>
    <t>Aprobación/correccion de TRM</t>
  </si>
  <si>
    <t>Diaria</t>
  </si>
  <si>
    <t>COM | FIN</t>
  </si>
  <si>
    <t>CO FIN</t>
  </si>
  <si>
    <t>Creación Links de pago WOMPI</t>
  </si>
  <si>
    <t>DC 100 | CO FIN</t>
  </si>
  <si>
    <t>Ce Unidad</t>
  </si>
  <si>
    <t>CE Unidad</t>
  </si>
  <si>
    <t>Administrativa MH</t>
  </si>
  <si>
    <t>Estudios de mercado para nuevas aperturas</t>
  </si>
  <si>
    <t>Semestral/Anual</t>
  </si>
  <si>
    <t>Busqueda y cotización de inmuebles para aperturas</t>
  </si>
  <si>
    <t xml:space="preserve">COM </t>
  </si>
  <si>
    <t xml:space="preserve">Promedio de horas invertidas </t>
  </si>
  <si>
    <t>Promedio de inversion Mensual</t>
  </si>
  <si>
    <t>Busqueda y cotización de mobiliario para aperturas</t>
  </si>
  <si>
    <t>Promedio de dias invertidos</t>
  </si>
  <si>
    <t>Promedio de inversion Anual</t>
  </si>
  <si>
    <t>Trade</t>
  </si>
  <si>
    <t>Organización y Gestion de evento de Trade</t>
  </si>
  <si>
    <t>DC 100 | ACF</t>
  </si>
  <si>
    <t>COM | CPV</t>
  </si>
  <si>
    <t>Gestion de material con el aliado</t>
  </si>
  <si>
    <t>Inventario de material Egali para el evento</t>
  </si>
  <si>
    <t>DC 100 | CE Unidad</t>
  </si>
  <si>
    <t>Compra de vuelos Mentores y Mentoreados</t>
  </si>
  <si>
    <t>Semestral</t>
  </si>
  <si>
    <t>Compra de alojamientos Mentores y Mentoreados</t>
  </si>
  <si>
    <t>Reserva de Salones para entrenamientos</t>
  </si>
  <si>
    <t>Reserva de Catering</t>
  </si>
  <si>
    <t>Validación de QLP validado para Entrenamiento</t>
  </si>
  <si>
    <t>Gestion de Materiales para Entrenamientos</t>
  </si>
  <si>
    <t>Compra de vuelos para Entrenamientos</t>
  </si>
  <si>
    <t>Reserva de alojamientos para Entrenamientos</t>
  </si>
  <si>
    <t>Gestion de Pagos a Proveedores</t>
  </si>
  <si>
    <t>DC 100 | CE Trade | CO FIN</t>
  </si>
  <si>
    <t>COM | CPV | FIN</t>
  </si>
  <si>
    <t>Gestion de Creacion/actualizacion de Materiales impresos</t>
  </si>
  <si>
    <t>CPV</t>
  </si>
  <si>
    <t>Afiliaciones/Desafiliaciones de colaboradores</t>
  </si>
  <si>
    <t>DP</t>
  </si>
  <si>
    <t>Apoyo al crecimiento y desarrollo del banco de Talentos MH</t>
  </si>
  <si>
    <t>DC 100 | CV DP</t>
  </si>
  <si>
    <t>Control de Cajas Menores Unidades Colombia</t>
  </si>
  <si>
    <t>FIN</t>
  </si>
  <si>
    <t>Consultor Operacional Administrativo
CA1</t>
  </si>
  <si>
    <t>Tiempo Promedio invertido por colaboradores
Para la supervision de las actividades</t>
  </si>
  <si>
    <t>Tipo</t>
  </si>
  <si>
    <t>Valor</t>
  </si>
  <si>
    <t>CO ADM</t>
  </si>
  <si>
    <t>Grade</t>
  </si>
  <si>
    <t>-</t>
  </si>
  <si>
    <t>A</t>
  </si>
  <si>
    <t>Salario Fijo</t>
  </si>
  <si>
    <t>CE Trade</t>
  </si>
  <si>
    <t>Ticked Cluste TB</t>
  </si>
  <si>
    <t>PPLR 100%</t>
  </si>
  <si>
    <t>Investment  Projection</t>
  </si>
  <si>
    <t>Concepto</t>
  </si>
  <si>
    <t>Cantidad</t>
  </si>
  <si>
    <t>TT</t>
  </si>
  <si>
    <t>Fijo</t>
  </si>
  <si>
    <t>Ticket Cluster TB</t>
  </si>
  <si>
    <t>Gestion de material con las oficinas</t>
  </si>
  <si>
    <t>PPLR Año</t>
  </si>
  <si>
    <t>Tiempo de Supervicion</t>
  </si>
  <si>
    <t>TT Año</t>
  </si>
  <si>
    <t>P. Mensual</t>
  </si>
  <si>
    <t>Distribucion de recursos para ejecucion de actividades</t>
  </si>
  <si>
    <t>Inversion anual Actual</t>
  </si>
  <si>
    <t>Inversion Anual CO Adm</t>
  </si>
  <si>
    <t>Ahorro Mensual</t>
  </si>
  <si>
    <t>Ahorro Anual</t>
  </si>
  <si>
    <t>Promedio de de ahorro 16 meses de analisis</t>
  </si>
  <si>
    <t>Promedio de inversion 6 meses de analisis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</si>
</sst>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\ * #,##0.00_-;\-&quot;$&quot;\ * #,##0.00_-;_-&quot;$&quot;\ * &quot;-&quot;??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i/>
      <u/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6">
    <xf numFmtId="0" fontId="0" fillId="0" borderId="0" xfId="0"/>
    <xf numFmtId="44" fontId="0" fillId="0" borderId="0" xfId="1" applyFont="1"/>
    <xf numFmtId="0" fontId="0" fillId="0" borderId="0" xfId="0" applyAlignment="1">
      <alignment horizontal="left"/>
    </xf>
    <xf numFmtId="0" fontId="0" fillId="2" borderId="13" xfId="0" applyFill="1" applyBorder="1"/>
    <xf numFmtId="0" fontId="0" fillId="2" borderId="19" xfId="0" applyFill="1" applyBorder="1"/>
    <xf numFmtId="0" fontId="0" fillId="2" borderId="0" xfId="0" applyFill="1"/>
    <xf numFmtId="0" fontId="3" fillId="2" borderId="18" xfId="0" applyFont="1" applyFill="1" applyBorder="1" applyAlignment="1">
      <alignment horizontal="center"/>
    </xf>
    <xf numFmtId="44" fontId="3" fillId="2" borderId="18" xfId="0" applyNumberFormat="1" applyFont="1" applyFill="1" applyBorder="1"/>
    <xf numFmtId="0" fontId="3" fillId="2" borderId="21" xfId="0" applyFont="1" applyFill="1" applyBorder="1" applyAlignment="1">
      <alignment horizontal="center" vertical="center"/>
    </xf>
    <xf numFmtId="44" fontId="3" fillId="2" borderId="0" xfId="0" applyNumberFormat="1" applyFont="1" applyFill="1"/>
    <xf numFmtId="0" fontId="3" fillId="2" borderId="18" xfId="0" applyFont="1" applyFill="1" applyBorder="1" applyAlignment="1">
      <alignment horizontal="center" vertical="center"/>
    </xf>
    <xf numFmtId="44" fontId="3" fillId="2" borderId="18" xfId="1" applyFont="1" applyFill="1" applyBorder="1"/>
    <xf numFmtId="0" fontId="0" fillId="2" borderId="0" xfId="0" applyFill="1" applyBorder="1"/>
    <xf numFmtId="44" fontId="3" fillId="2" borderId="0" xfId="0" applyNumberFormat="1" applyFont="1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44" fontId="3" fillId="2" borderId="8" xfId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/>
    <xf numFmtId="0" fontId="0" fillId="2" borderId="13" xfId="0" applyFill="1" applyBorder="1" applyAlignment="1">
      <alignment horizontal="center" vertical="center"/>
    </xf>
    <xf numFmtId="44" fontId="0" fillId="2" borderId="13" xfId="1" applyFont="1" applyFill="1" applyBorder="1"/>
    <xf numFmtId="0" fontId="0" fillId="2" borderId="14" xfId="0" applyFill="1" applyBorder="1"/>
    <xf numFmtId="0" fontId="0" fillId="2" borderId="0" xfId="0" applyFill="1" applyAlignment="1">
      <alignment horizontal="center" vertical="center"/>
    </xf>
    <xf numFmtId="0" fontId="0" fillId="2" borderId="10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0" fontId="0" fillId="2" borderId="10" xfId="0" applyFill="1" applyBorder="1"/>
    <xf numFmtId="0" fontId="0" fillId="2" borderId="0" xfId="0" applyFill="1" applyAlignment="1">
      <alignment horizontal="left"/>
    </xf>
    <xf numFmtId="9" fontId="6" fillId="2" borderId="0" xfId="2" applyFont="1" applyFill="1" applyBorder="1" applyAlignment="1">
      <alignment horizontal="center"/>
    </xf>
    <xf numFmtId="44" fontId="0" fillId="2" borderId="0" xfId="1" applyFont="1" applyFill="1" applyBorder="1"/>
    <xf numFmtId="44" fontId="0" fillId="2" borderId="0" xfId="0" applyNumberFormat="1" applyFill="1"/>
    <xf numFmtId="44" fontId="0" fillId="2" borderId="11" xfId="0" applyNumberFormat="1" applyFill="1" applyBorder="1"/>
    <xf numFmtId="44" fontId="0" fillId="2" borderId="11" xfId="1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44" fontId="0" fillId="2" borderId="17" xfId="1" applyFont="1" applyFill="1" applyBorder="1" applyAlignment="1">
      <alignment horizontal="center" vertical="center"/>
    </xf>
    <xf numFmtId="0" fontId="0" fillId="2" borderId="15" xfId="0" applyFill="1" applyBorder="1"/>
    <xf numFmtId="0" fontId="0" fillId="2" borderId="16" xfId="0" applyFill="1" applyBorder="1" applyAlignment="1">
      <alignment horizontal="left"/>
    </xf>
    <xf numFmtId="9" fontId="6" fillId="2" borderId="16" xfId="2" applyFont="1" applyFill="1" applyBorder="1" applyAlignment="1">
      <alignment horizontal="center"/>
    </xf>
    <xf numFmtId="44" fontId="0" fillId="2" borderId="16" xfId="1" applyFont="1" applyFill="1" applyBorder="1"/>
    <xf numFmtId="44" fontId="0" fillId="2" borderId="16" xfId="0" applyNumberFormat="1" applyFill="1" applyBorder="1"/>
    <xf numFmtId="44" fontId="0" fillId="2" borderId="17" xfId="0" applyNumberFormat="1" applyFill="1" applyBorder="1"/>
    <xf numFmtId="0" fontId="0" fillId="2" borderId="11" xfId="0" applyFill="1" applyBorder="1"/>
    <xf numFmtId="0" fontId="3" fillId="2" borderId="15" xfId="0" applyFont="1" applyFill="1" applyBorder="1"/>
    <xf numFmtId="0" fontId="3" fillId="2" borderId="17" xfId="0" applyFont="1" applyFill="1" applyBorder="1" applyAlignment="1">
      <alignment horizontal="right"/>
    </xf>
    <xf numFmtId="44" fontId="0" fillId="2" borderId="0" xfId="0" applyNumberFormat="1" applyFill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44" fontId="0" fillId="2" borderId="17" xfId="0" applyNumberForma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3" fillId="2" borderId="18" xfId="0" applyFont="1" applyFill="1" applyBorder="1"/>
    <xf numFmtId="0" fontId="0" fillId="2" borderId="19" xfId="0" applyFill="1" applyBorder="1" applyAlignment="1">
      <alignment horizontal="left"/>
    </xf>
    <xf numFmtId="44" fontId="0" fillId="2" borderId="15" xfId="0" applyNumberFormat="1" applyFill="1" applyBorder="1"/>
    <xf numFmtId="44" fontId="3" fillId="2" borderId="16" xfId="0" applyNumberFormat="1" applyFont="1" applyFill="1" applyBorder="1"/>
    <xf numFmtId="44" fontId="3" fillId="2" borderId="17" xfId="0" applyNumberFormat="1" applyFont="1" applyFill="1" applyBorder="1"/>
    <xf numFmtId="0" fontId="0" fillId="2" borderId="20" xfId="0" applyFill="1" applyBorder="1"/>
    <xf numFmtId="0" fontId="7" fillId="2" borderId="0" xfId="0" applyFont="1" applyFill="1" applyAlignment="1">
      <alignment horizontal="right"/>
    </xf>
    <xf numFmtId="0" fontId="8" fillId="2" borderId="0" xfId="0" applyFont="1" applyFill="1" applyAlignment="1">
      <alignment horizontal="left"/>
    </xf>
    <xf numFmtId="44" fontId="0" fillId="2" borderId="0" xfId="1" applyFont="1" applyFill="1"/>
    <xf numFmtId="0" fontId="4" fillId="2" borderId="0" xfId="0" applyFont="1" applyFill="1" applyAlignment="1">
      <alignment horizontal="center" vertical="center" wrapText="1"/>
    </xf>
    <xf numFmtId="9" fontId="4" fillId="2" borderId="0" xfId="2" applyFont="1" applyFill="1" applyBorder="1" applyAlignment="1">
      <alignment horizontal="center"/>
    </xf>
    <xf numFmtId="9" fontId="4" fillId="2" borderId="16" xfId="2" applyFont="1" applyFill="1" applyBorder="1" applyAlignment="1">
      <alignment horizontal="center"/>
    </xf>
    <xf numFmtId="0" fontId="0" fillId="2" borderId="15" xfId="0" applyFill="1" applyBorder="1" applyAlignment="1">
      <alignment horizontal="left"/>
    </xf>
    <xf numFmtId="1" fontId="0" fillId="2" borderId="17" xfId="0" applyNumberFormat="1" applyFill="1" applyBorder="1" applyAlignment="1">
      <alignment horizontal="left"/>
    </xf>
    <xf numFmtId="44" fontId="0" fillId="2" borderId="19" xfId="1" applyFont="1" applyFill="1" applyBorder="1"/>
    <xf numFmtId="2" fontId="0" fillId="2" borderId="0" xfId="1" applyNumberFormat="1" applyFont="1" applyFill="1"/>
  </cellXfs>
  <cellStyles count="3">
    <cellStyle name="Moneda" xfId="1" builtinId="4"/>
    <cellStyle name="Normal" xfId="0" builtinId="0"/>
    <cellStyle name="Porcentaje" xfId="2" builtinId="5"/>
  </cellStyles>
  <dxfs count="65">
    <dxf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numFmt numFmtId="34" formatCode="_-&quot;$&quot;\ * #,##0.00_-;\-&quot;$&quot;\ * #,##0.00_-;_-&quot;$&quot;\ * &quot;-&quot;??_-;_-@_-"/>
      <fill>
        <patternFill patternType="solid">
          <fgColor indexed="64"/>
          <bgColor theme="0"/>
        </patternFill>
      </fill>
    </dxf>
    <dxf>
      <numFmt numFmtId="34" formatCode="_-&quot;$&quot;\ * #,##0.00_-;\-&quot;$&quot;\ * #,##0.00_-;_-&quot;$&quot;\ * &quot;-&quot;??_-;_-@_-"/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C00000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i/>
      </font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numFmt numFmtId="34" formatCode="_-&quot;$&quot;\ * #,##0.00_-;\-&quot;$&quot;\ * #,##0.00_-;_-&quot;$&quot;\ * &quot;-&quot;??_-;_-@_-"/>
      <fill>
        <patternFill patternType="none">
          <fgColor indexed="64"/>
          <bgColor theme="0"/>
        </patternFill>
      </fill>
    </dxf>
    <dxf>
      <numFmt numFmtId="34" formatCode="_-&quot;$&quot;\ * #,##0.00_-;\-&quot;$&quot;\ * #,##0.00_-;_-&quot;$&quot;\ * &quot;-&quot;??_-;_-@_-"/>
      <fill>
        <patternFill patternType="none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B050"/>
        <name val="Aptos Narrow"/>
        <family val="2"/>
        <scheme val="minor"/>
      </font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theme="0"/>
        </patternFill>
      </fill>
    </dxf>
    <dxf>
      <fill>
        <patternFill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ill>
        <patternFill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ill>
        <patternFill>
          <fgColor indexed="64"/>
          <bgColor theme="0"/>
        </patternFill>
      </fill>
    </dxf>
    <dxf>
      <fill>
        <patternFill>
          <fgColor indexed="64"/>
          <bgColor theme="0"/>
        </patternFill>
      </fill>
    </dxf>
    <dxf>
      <font>
        <b/>
        <i/>
      </font>
      <numFmt numFmtId="34" formatCode="_-&quot;$&quot;\ * #,##0.00_-;\-&quot;$&quot;\ * #,##0.00_-;_-&quot;$&quot;\ * &quot;-&quot;??_-;_-@_-"/>
      <fill>
        <patternFill>
          <fgColor indexed="64"/>
          <bgColor theme="0"/>
        </patternFill>
      </fill>
    </dxf>
    <dxf>
      <font>
        <b/>
        <i/>
      </font>
      <numFmt numFmtId="34" formatCode="_-&quot;$&quot;\ * #,##0.00_-;\-&quot;$&quot;\ * #,##0.00_-;_-&quot;$&quot;\ * &quot;-&quot;??_-;_-@_-"/>
      <fill>
        <patternFill>
          <fgColor indexed="64"/>
          <bgColor theme="0"/>
        </patternFill>
      </fill>
    </dxf>
    <dxf>
      <numFmt numFmtId="34" formatCode="_-&quot;$&quot;\ * #,##0.00_-;\-&quot;$&quot;\ * #,##0.00_-;_-&quot;$&quot;\ * &quot;-&quot;??_-;_-@_-"/>
      <fill>
        <patternFill>
          <fgColor indexed="64"/>
          <bgColor theme="0"/>
        </patternFill>
      </fill>
    </dxf>
    <dxf>
      <numFmt numFmtId="34" formatCode="_-&quot;$&quot;\ * #,##0.00_-;\-&quot;$&quot;\ * #,##0.00_-;_-&quot;$&quot;\ * &quot;-&quot;??_-;_-@_-"/>
      <fill>
        <patternFill>
          <fgColor indexed="64"/>
          <bgColor theme="0"/>
        </patternFill>
      </fill>
    </dxf>
    <dxf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&quot;$&quot;\ * #,##0.00_-;\-&quot;$&quot;\ * #,##0.00_-;_-&quot;$&quot;\ * &quot;-&quot;??_-;_-@_-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&quot;$&quot;\ * #,##0.00_-;\-&quot;$&quot;\ * #,##0.00_-;_-&quot;$&quot;\ * &quot;-&quot;??_-;_-@_-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>
          <fgColor indexed="64"/>
          <bgColor theme="0"/>
        </patternFill>
      </fill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>
          <fgColor indexed="64"/>
          <bgColor theme="0"/>
        </patternFill>
      </fill>
    </dxf>
    <dxf>
      <fill>
        <patternFill>
          <fgColor indexed="64"/>
          <bgColor theme="0"/>
        </patternFill>
      </fill>
    </dxf>
    <dxf>
      <fill>
        <patternFill>
          <fgColor indexed="64"/>
          <bgColor theme="0"/>
        </patternFill>
      </fill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i/>
      </font>
      <fill>
        <patternFill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cer\Downloads\PLAN%20DE%20MEJORA%20(1).xlsx" TargetMode="External"/><Relationship Id="rId1" Type="http://schemas.openxmlformats.org/officeDocument/2006/relationships/externalLinkPath" Target="/Users/Acer/Downloads/PLAN%20DE%20MEJORA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alisis"/>
      <sheetName val="Propuesta"/>
    </sheetNames>
    <sheetDataSet>
      <sheetData sheetId="0">
        <row r="10">
          <cell r="R10">
            <v>11926897.727272728</v>
          </cell>
        </row>
        <row r="11">
          <cell r="R11">
            <v>143122772.72727275</v>
          </cell>
        </row>
      </sheetData>
      <sheetData sheetId="1">
        <row r="17">
          <cell r="L17">
            <v>5478596.5909090908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C938FE3-36AA-4F57-A215-9DDE5B5A73F8}" name="Tabla2" displayName="Tabla2" ref="B3:G27" totalsRowShown="0" headerRowDxfId="14" dataDxfId="13" headerRowBorderDxfId="64" tableBorderDxfId="63" totalsRowBorderDxfId="62" headerRowCellStyle="Moneda">
  <autoFilter ref="B3:G27" xr:uid="{3C938FE3-36AA-4F57-A215-9DDE5B5A73F8}"/>
  <tableColumns count="6">
    <tableColumn id="1" xr3:uid="{BEFEA5A5-B5A3-46EC-8255-6EDB3D492B88}" name="Naturaleza" dataDxfId="20"/>
    <tableColumn id="2" xr3:uid="{E89F5604-8465-42DA-A9EE-362D029D18F1}" name="Actividad" dataDxfId="19"/>
    <tableColumn id="6" xr3:uid="{216B1652-D644-4F37-9A9A-42AE78F5CBA7}" name="Periodicidad" dataDxfId="18"/>
    <tableColumn id="3" xr3:uid="{91D0C88B-D7B4-48DD-8FC7-FB0FA1B42D67}" name="Tiempo Requerido_x000a_(min)." dataDxfId="17">
      <calculatedColumnFormula>60*5</calculatedColumnFormula>
    </tableColumn>
    <tableColumn id="4" xr3:uid="{4CE512CD-2C25-40DD-B8B6-864C0E116589}" name="Responsable(s)" dataDxfId="16" dataCellStyle="Moneda"/>
    <tableColumn id="5" xr3:uid="{D6AE94C0-FFE1-46A6-B83A-F87B2BFCF2C2}" name="Sector" dataDxfId="15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A50051B-FBBC-4E66-AC95-746B8CA31D26}" name="Tabla3" displayName="Tabla3" ref="I3:J11" totalsRowShown="0" headerRowDxfId="10" dataDxfId="9">
  <autoFilter ref="I3:J11" xr:uid="{DA50051B-FBBC-4E66-AC95-746B8CA31D26}"/>
  <tableColumns count="2">
    <tableColumn id="1" xr3:uid="{F50702A0-19AB-446B-B1FB-630B551C3358}" name="Colaborador" dataDxfId="12"/>
    <tableColumn id="2" xr3:uid="{1B6D56DD-79AD-4A66-AC17-77F81D9D9C8E}" name="Horas invertidas" dataDxfId="11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F30373-E043-4696-AD5D-AA7E87483A3B}" name="Tabla4" displayName="Tabla4" ref="L3:R8" totalsRowShown="0" headerRowDxfId="1" dataDxfId="0">
  <autoFilter ref="L3:R8" xr:uid="{B7F30373-E043-4696-AD5D-AA7E87483A3B}"/>
  <tableColumns count="7">
    <tableColumn id="1" xr3:uid="{2B5517ED-BE45-44AE-BB9B-D13C5CAE05D6}" name="Colaborador" dataDxfId="8"/>
    <tableColumn id="2" xr3:uid="{4CA4C15D-D684-4733-B275-6D3F8030AAAC}" name="Horas mensuales" dataDxfId="7"/>
    <tableColumn id="3" xr3:uid="{0F4021F8-8333-4668-B95C-0F2A11BE479C}" name="Horas laborales Mensuales" dataDxfId="6">
      <calculatedColumnFormula>22*8</calculatedColumnFormula>
    </tableColumn>
    <tableColumn id="4" xr3:uid="{64CFEF77-2F99-49A8-A59E-E6816ADFAE87}" name="Peso Actividades" dataDxfId="5" dataCellStyle="Porcentaje">
      <calculatedColumnFormula>M4/N4</calculatedColumnFormula>
    </tableColumn>
    <tableColumn id="5" xr3:uid="{6062325D-2AA2-4D0C-A2E7-47F2C8DCBB88}" name="Salario Mensual" dataDxfId="4" dataCellStyle="Moneda"/>
    <tableColumn id="6" xr3:uid="{60D676D1-E763-4ABC-9691-448F72CC2B01}" name="Salario Hora" dataDxfId="3">
      <calculatedColumnFormula>P4/(22*8)</calculatedColumnFormula>
    </tableColumn>
    <tableColumn id="7" xr3:uid="{F97203AC-35CB-45BE-ADE3-0D77221087DA}" name="Inversion en Actividades" dataDxfId="2">
      <calculatedColumnFormula>Q4*M4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DB0EAFE-AFBE-453B-B67C-2370C79A8D2B}" name="Tabla26" displayName="Tabla26" ref="B3:G27" totalsRowShown="0" headerRowDxfId="52" dataDxfId="51" headerRowBorderDxfId="61" tableBorderDxfId="60" totalsRowBorderDxfId="59" headerRowCellStyle="Moneda">
  <autoFilter ref="B3:G27" xr:uid="{8DB0EAFE-AFBE-453B-B67C-2370C79A8D2B}"/>
  <tableColumns count="6">
    <tableColumn id="1" xr3:uid="{9E7E4062-9391-45FB-B1B8-DB4159414C11}" name="Naturaleza" dataDxfId="58"/>
    <tableColumn id="2" xr3:uid="{BAC409A1-9686-4D77-A713-22F1A013C6D0}" name="Actividad" dataDxfId="57"/>
    <tableColumn id="6" xr3:uid="{79525D2B-6293-4C38-9F34-5671FFF8DF00}" name="Periodicidad" dataDxfId="56"/>
    <tableColumn id="3" xr3:uid="{37C51561-31D7-4A14-8281-FF3D2DE91D4F}" name="Tiempo Requerido_x000a_(min)." dataDxfId="55">
      <calculatedColumnFormula>60*5</calculatedColumnFormula>
    </tableColumn>
    <tableColumn id="4" xr3:uid="{26F65AD8-1B68-4895-AF3E-DAA447F027F5}" name="Responsable(s)" dataDxfId="54" dataCellStyle="Moneda"/>
    <tableColumn id="5" xr3:uid="{0A22BED8-CFC3-4696-91A0-FA636D971821}" name="Sector" dataDxfId="53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E8B9AEE-46B6-478C-BBE1-693B7FD52B90}" name="Tabla6" displayName="Tabla6" ref="I3:K7" totalsRowShown="0" headerRowDxfId="47" dataDxfId="46">
  <autoFilter ref="I3:K7" xr:uid="{CE8B9AEE-46B6-478C-BBE1-693B7FD52B90}"/>
  <tableColumns count="3">
    <tableColumn id="1" xr3:uid="{3141116F-FA7F-45E9-9D6F-B690F6438A63}" name="Tipo" dataDxfId="50"/>
    <tableColumn id="2" xr3:uid="{21B1C1C2-C918-4FE1-A302-1C5340B53224}" name="Periodicidad" dataDxfId="49"/>
    <tableColumn id="3" xr3:uid="{545DE4A4-1FFC-4FFA-AB24-594197A4AE13}" name="Valor" dataDxfId="48" dataCellStyle="Moneda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E544A7E-29D2-4D9C-A1E4-0C1230C2F748}" name="Tabla7" displayName="Tabla7" ref="I10:L14" totalsRowShown="0" headerRowDxfId="41" dataDxfId="40">
  <autoFilter ref="I10:L14" xr:uid="{DE544A7E-29D2-4D9C-A1E4-0C1230C2F748}"/>
  <tableColumns count="4">
    <tableColumn id="1" xr3:uid="{116455A0-14BA-484F-BE8E-5B823BA770FD}" name="Concepto" dataDxfId="45"/>
    <tableColumn id="2" xr3:uid="{F394ADA7-3817-49BD-8689-ECEF6090180B}" name="Valor" dataDxfId="44">
      <calculatedColumnFormula>K5</calculatedColumnFormula>
    </tableColumn>
    <tableColumn id="3" xr3:uid="{570610BD-2D23-4305-811A-F6C93D1234D3}" name="Cantidad" dataDxfId="43"/>
    <tableColumn id="4" xr3:uid="{3F3C7A72-55BB-4F6F-9D28-52C916DA1811}" name="TT" dataDxfId="42">
      <calculatedColumnFormula>Tabla7[[#This Row],[Cantidad]]*Tabla7[[#This Row],[Valor]]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7946711-7508-4952-95BB-CFBA6CC46BA9}" name="Tabla8" displayName="Tabla8" ref="I21:L22" totalsRowShown="0" headerRowDxfId="35" dataDxfId="34">
  <autoFilter ref="I21:L22" xr:uid="{D7946711-7508-4952-95BB-CFBA6CC46BA9}"/>
  <tableColumns count="4">
    <tableColumn id="1" xr3:uid="{B5A9679E-2B9B-4788-B653-C9EB8D41F34D}" name="Inversion anual Actual" dataDxfId="39">
      <calculatedColumnFormula>[1]Analisis!R11</calculatedColumnFormula>
    </tableColumn>
    <tableColumn id="2" xr3:uid="{C61AE002-681F-40E2-A164-15F0C0210811}" name="Inversion Anual CO Adm" dataDxfId="38">
      <calculatedColumnFormula>L16</calculatedColumnFormula>
    </tableColumn>
    <tableColumn id="3" xr3:uid="{6455308A-1E33-481D-81C6-3CC6AC470A79}" name="Ahorro Mensual" dataDxfId="37">
      <calculatedColumnFormula>[1]Analisis!R10-[1]Propuesta!L17</calculatedColumnFormula>
    </tableColumn>
    <tableColumn id="4" xr3:uid="{FB016832-FC75-420C-8CC1-A1270EA189FF}" name="Ahorro Anual" dataDxfId="36">
      <calculatedColumnFormula>(Tabla8[[#This Row],[Ahorro Mensual]]*12)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79AF492-1560-4B84-A17F-2C6C3106DD14}" name="Tabla310" displayName="Tabla310" ref="N3:O10" totalsRowShown="0" headerRowDxfId="31" dataDxfId="30">
  <autoFilter ref="N3:O10" xr:uid="{F79AF492-1560-4B84-A17F-2C6C3106DD14}"/>
  <tableColumns count="2">
    <tableColumn id="1" xr3:uid="{377B9E91-ACCE-4305-8CAC-0495AD153F4E}" name="Colaborador" dataDxfId="33"/>
    <tableColumn id="2" xr3:uid="{8BCA0AC0-24C3-41ED-A0C2-2D06BD97015E}" name="Horas invertidas" dataDxfId="32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4D97ADD-2571-4670-8071-20177BF37151}" name="Tabla411" displayName="Tabla411" ref="Q3:W8" totalsRowShown="0" headerRowDxfId="22" dataDxfId="21">
  <autoFilter ref="Q3:W8" xr:uid="{B4D97ADD-2571-4670-8071-20177BF37151}"/>
  <tableColumns count="7">
    <tableColumn id="1" xr3:uid="{BA4C78B4-B1F0-4BE0-9F33-0FA4D4F96E8A}" name="Colaborador" dataDxfId="29"/>
    <tableColumn id="2" xr3:uid="{7803A416-7C39-4C7A-AA7E-7E1540E3FA25}" name="Horas mensuales" dataDxfId="28">
      <calculatedColumnFormula>Tabla310[[#This Row],[Horas invertidas]]</calculatedColumnFormula>
    </tableColumn>
    <tableColumn id="3" xr3:uid="{3EF796AB-DE70-4FCF-96E1-74B9C58651F8}" name="Horas laborales Mensuales" dataDxfId="27">
      <calculatedColumnFormula>22*8</calculatedColumnFormula>
    </tableColumn>
    <tableColumn id="4" xr3:uid="{EC632B4E-497F-45D9-BD18-7F05C9E46EDA}" name="Peso Actividades" dataDxfId="26" dataCellStyle="Porcentaje">
      <calculatedColumnFormula>R4/S4</calculatedColumnFormula>
    </tableColumn>
    <tableColumn id="5" xr3:uid="{DABD9669-65B0-43C9-96B7-E0B7225E56CA}" name="Salario Mensual" dataDxfId="25" dataCellStyle="Moneda"/>
    <tableColumn id="6" xr3:uid="{039D221B-18CB-4DE6-B837-6B7A2BB6010C}" name="Salario Hora" dataDxfId="24">
      <calculatedColumnFormula>U4/(22*8)</calculatedColumnFormula>
    </tableColumn>
    <tableColumn id="7" xr3:uid="{E2D91D3A-3EED-4602-A549-86A5D9D3A9EC}" name="Inversion en Actividades" dataDxfId="23">
      <calculatedColumnFormula>V4*R4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table" Target="../tables/table4.xml"/><Relationship Id="rId6" Type="http://schemas.openxmlformats.org/officeDocument/2006/relationships/table" Target="../tables/table9.xml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8F7B5-FA1F-476F-A2F5-B31BBF68F440}">
  <dimension ref="A1:T34"/>
  <sheetViews>
    <sheetView workbookViewId="0">
      <selection activeCell="T10" sqref="T10"/>
    </sheetView>
  </sheetViews>
  <sheetFormatPr baseColWidth="10" defaultColWidth="11.44140625" defaultRowHeight="14.4" x14ac:dyDescent="0.3"/>
  <cols>
    <col min="2" max="2" width="17.5546875" bestFit="1" customWidth="1"/>
    <col min="3" max="3" width="54.88671875" bestFit="1" customWidth="1"/>
    <col min="4" max="4" width="17.33203125" bestFit="1" customWidth="1"/>
    <col min="5" max="5" width="19.44140625" customWidth="1"/>
    <col min="6" max="6" width="25.88671875" style="1" bestFit="1" customWidth="1"/>
    <col min="7" max="7" width="21.6640625" customWidth="1"/>
    <col min="8" max="8" width="17.6640625" customWidth="1"/>
    <col min="9" max="9" width="32.88671875" bestFit="1" customWidth="1"/>
    <col min="10" max="10" width="31.6640625" bestFit="1" customWidth="1"/>
    <col min="12" max="12" width="29.5546875" bestFit="1" customWidth="1"/>
    <col min="13" max="13" width="18.109375" customWidth="1"/>
    <col min="14" max="14" width="21.6640625" customWidth="1"/>
    <col min="15" max="15" width="20.6640625" bestFit="1" customWidth="1"/>
    <col min="16" max="16" width="18.6640625" customWidth="1"/>
    <col min="17" max="17" width="16.44140625" customWidth="1"/>
    <col min="18" max="18" width="24.88671875" customWidth="1"/>
  </cols>
  <sheetData>
    <row r="1" spans="1:20" ht="15" thickBot="1" x14ac:dyDescent="0.35">
      <c r="A1" s="5"/>
      <c r="B1" s="5"/>
      <c r="C1" s="5"/>
      <c r="D1" s="5"/>
      <c r="E1" s="5"/>
      <c r="F1" s="78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ht="15" thickBot="1" x14ac:dyDescent="0.35">
      <c r="A2" s="5"/>
      <c r="B2" s="14" t="s">
        <v>0</v>
      </c>
      <c r="C2" s="15"/>
      <c r="D2" s="15"/>
      <c r="E2" s="15"/>
      <c r="F2" s="15"/>
      <c r="G2" s="16"/>
      <c r="H2" s="5"/>
      <c r="I2" s="20" t="s">
        <v>1</v>
      </c>
      <c r="J2" s="21"/>
      <c r="K2" s="5"/>
      <c r="L2" s="22" t="s">
        <v>2</v>
      </c>
      <c r="M2" s="23"/>
      <c r="N2" s="23"/>
      <c r="O2" s="23"/>
      <c r="P2" s="23"/>
      <c r="Q2" s="23"/>
      <c r="R2" s="24"/>
      <c r="S2" s="5"/>
      <c r="T2" s="5"/>
    </row>
    <row r="3" spans="1:20" ht="28.8" x14ac:dyDescent="0.3">
      <c r="A3" s="5"/>
      <c r="B3" s="25" t="s">
        <v>3</v>
      </c>
      <c r="C3" s="26" t="s">
        <v>4</v>
      </c>
      <c r="D3" s="26" t="s">
        <v>5</v>
      </c>
      <c r="E3" s="27" t="s">
        <v>6</v>
      </c>
      <c r="F3" s="28" t="s">
        <v>7</v>
      </c>
      <c r="G3" s="29" t="s">
        <v>8</v>
      </c>
      <c r="H3" s="5"/>
      <c r="I3" s="33" t="s">
        <v>9</v>
      </c>
      <c r="J3" s="34" t="s">
        <v>10</v>
      </c>
      <c r="K3" s="5"/>
      <c r="L3" s="35" t="s">
        <v>9</v>
      </c>
      <c r="M3" s="36" t="s">
        <v>11</v>
      </c>
      <c r="N3" s="36" t="s">
        <v>12</v>
      </c>
      <c r="O3" s="79" t="s">
        <v>13</v>
      </c>
      <c r="P3" s="36" t="s">
        <v>14</v>
      </c>
      <c r="Q3" s="36" t="s">
        <v>15</v>
      </c>
      <c r="R3" s="38" t="s">
        <v>16</v>
      </c>
      <c r="S3" s="5"/>
      <c r="T3" s="5"/>
    </row>
    <row r="4" spans="1:20" x14ac:dyDescent="0.3">
      <c r="A4" s="5"/>
      <c r="B4" s="39" t="s">
        <v>17</v>
      </c>
      <c r="C4" s="3" t="s">
        <v>18</v>
      </c>
      <c r="D4" s="3" t="s">
        <v>19</v>
      </c>
      <c r="E4" s="40">
        <v>240</v>
      </c>
      <c r="F4" s="41" t="s">
        <v>20</v>
      </c>
      <c r="G4" s="42" t="s">
        <v>21</v>
      </c>
      <c r="H4" s="5"/>
      <c r="I4" s="44" t="s">
        <v>22</v>
      </c>
      <c r="J4" s="45">
        <f>7260/60</f>
        <v>121</v>
      </c>
      <c r="K4" s="5"/>
      <c r="L4" s="46" t="s">
        <v>23</v>
      </c>
      <c r="M4" s="47">
        <f>7260/60</f>
        <v>121</v>
      </c>
      <c r="N4" s="47">
        <f>22*8</f>
        <v>176</v>
      </c>
      <c r="O4" s="80">
        <f>M4/N4</f>
        <v>0.6875</v>
      </c>
      <c r="P4" s="49">
        <v>15078000</v>
      </c>
      <c r="Q4" s="50">
        <f>P4/(22*8)</f>
        <v>85670.454545454544</v>
      </c>
      <c r="R4" s="51">
        <f>Q4*M4</f>
        <v>10366125</v>
      </c>
      <c r="S4" s="5"/>
      <c r="T4" s="5"/>
    </row>
    <row r="5" spans="1:20" x14ac:dyDescent="0.3">
      <c r="A5" s="5"/>
      <c r="B5" s="39" t="s">
        <v>17</v>
      </c>
      <c r="C5" s="3" t="s">
        <v>24</v>
      </c>
      <c r="D5" s="3" t="s">
        <v>25</v>
      </c>
      <c r="E5" s="40">
        <f t="shared" ref="E5" si="0">60*5</f>
        <v>300</v>
      </c>
      <c r="F5" s="41" t="s">
        <v>20</v>
      </c>
      <c r="G5" s="42" t="s">
        <v>21</v>
      </c>
      <c r="H5" s="5"/>
      <c r="I5" s="44" t="s">
        <v>26</v>
      </c>
      <c r="J5" s="45">
        <f>2580/60</f>
        <v>43</v>
      </c>
      <c r="K5" s="5"/>
      <c r="L5" s="46" t="s">
        <v>26</v>
      </c>
      <c r="M5" s="47">
        <f>2580/60</f>
        <v>43</v>
      </c>
      <c r="N5" s="47">
        <f t="shared" ref="N5:N8" si="1">22*8</f>
        <v>176</v>
      </c>
      <c r="O5" s="80">
        <f t="shared" ref="O5:O8" si="2">M5/N5</f>
        <v>0.24431818181818182</v>
      </c>
      <c r="P5" s="49">
        <v>5652000</v>
      </c>
      <c r="Q5" s="50">
        <f t="shared" ref="Q5:Q8" si="3">P5/(22*8)</f>
        <v>32113.636363636364</v>
      </c>
      <c r="R5" s="51">
        <f t="shared" ref="R5:R8" si="4">Q5*M5</f>
        <v>1380886.3636363638</v>
      </c>
      <c r="S5" s="5"/>
      <c r="T5" s="5"/>
    </row>
    <row r="6" spans="1:20" x14ac:dyDescent="0.3">
      <c r="A6" s="5"/>
      <c r="B6" s="39" t="s">
        <v>17</v>
      </c>
      <c r="C6" s="3" t="s">
        <v>27</v>
      </c>
      <c r="D6" s="3" t="s">
        <v>25</v>
      </c>
      <c r="E6" s="40">
        <v>300</v>
      </c>
      <c r="F6" s="41" t="s">
        <v>20</v>
      </c>
      <c r="G6" s="42" t="s">
        <v>21</v>
      </c>
      <c r="H6" s="5"/>
      <c r="I6" s="44" t="s">
        <v>28</v>
      </c>
      <c r="J6" s="45">
        <f>240/60</f>
        <v>4</v>
      </c>
      <c r="K6" s="5"/>
      <c r="L6" s="46" t="s">
        <v>28</v>
      </c>
      <c r="M6" s="47">
        <f>240/60</f>
        <v>4</v>
      </c>
      <c r="N6" s="47">
        <f t="shared" si="1"/>
        <v>176</v>
      </c>
      <c r="O6" s="80">
        <f t="shared" si="2"/>
        <v>2.2727272727272728E-2</v>
      </c>
      <c r="P6" s="49">
        <v>3989000</v>
      </c>
      <c r="Q6" s="50">
        <f t="shared" si="3"/>
        <v>22664.772727272728</v>
      </c>
      <c r="R6" s="51">
        <f t="shared" si="4"/>
        <v>90659.090909090912</v>
      </c>
      <c r="S6" s="5"/>
      <c r="T6" s="5"/>
    </row>
    <row r="7" spans="1:20" x14ac:dyDescent="0.3">
      <c r="A7" s="5"/>
      <c r="B7" s="39" t="s">
        <v>17</v>
      </c>
      <c r="C7" s="3" t="s">
        <v>29</v>
      </c>
      <c r="D7" s="3" t="s">
        <v>30</v>
      </c>
      <c r="E7" s="40">
        <v>30</v>
      </c>
      <c r="F7" s="41" t="s">
        <v>22</v>
      </c>
      <c r="G7" s="42" t="s">
        <v>31</v>
      </c>
      <c r="H7" s="5"/>
      <c r="I7" s="44" t="s">
        <v>32</v>
      </c>
      <c r="J7" s="45">
        <v>2</v>
      </c>
      <c r="K7" s="5"/>
      <c r="L7" s="46" t="s">
        <v>32</v>
      </c>
      <c r="M7" s="47">
        <v>2</v>
      </c>
      <c r="N7" s="47">
        <f t="shared" si="1"/>
        <v>176</v>
      </c>
      <c r="O7" s="80">
        <f t="shared" si="2"/>
        <v>1.1363636363636364E-2</v>
      </c>
      <c r="P7" s="49">
        <v>5652000</v>
      </c>
      <c r="Q7" s="50">
        <f t="shared" si="3"/>
        <v>32113.636363636364</v>
      </c>
      <c r="R7" s="51">
        <f t="shared" si="4"/>
        <v>64227.272727272728</v>
      </c>
      <c r="S7" s="5"/>
      <c r="T7" s="5"/>
    </row>
    <row r="8" spans="1:20" ht="15" thickBot="1" x14ac:dyDescent="0.35">
      <c r="A8" s="5"/>
      <c r="B8" s="39" t="s">
        <v>17</v>
      </c>
      <c r="C8" s="3" t="s">
        <v>33</v>
      </c>
      <c r="D8" s="3" t="s">
        <v>30</v>
      </c>
      <c r="E8" s="40">
        <v>30</v>
      </c>
      <c r="F8" s="41" t="s">
        <v>34</v>
      </c>
      <c r="G8" s="42" t="s">
        <v>31</v>
      </c>
      <c r="H8" s="5"/>
      <c r="I8" s="44" t="s">
        <v>35</v>
      </c>
      <c r="J8" s="45">
        <v>2</v>
      </c>
      <c r="K8" s="5"/>
      <c r="L8" s="56" t="s">
        <v>36</v>
      </c>
      <c r="M8" s="57">
        <v>2</v>
      </c>
      <c r="N8" s="57">
        <f t="shared" si="1"/>
        <v>176</v>
      </c>
      <c r="O8" s="81">
        <f t="shared" si="2"/>
        <v>1.1363636363636364E-2</v>
      </c>
      <c r="P8" s="59">
        <v>2200000</v>
      </c>
      <c r="Q8" s="60">
        <f t="shared" si="3"/>
        <v>12500</v>
      </c>
      <c r="R8" s="61">
        <f t="shared" si="4"/>
        <v>25000</v>
      </c>
      <c r="S8" s="5"/>
      <c r="T8" s="5"/>
    </row>
    <row r="9" spans="1:20" x14ac:dyDescent="0.3">
      <c r="A9" s="5"/>
      <c r="B9" s="39" t="s">
        <v>37</v>
      </c>
      <c r="C9" s="3" t="s">
        <v>38</v>
      </c>
      <c r="D9" s="3" t="s">
        <v>39</v>
      </c>
      <c r="E9" s="40">
        <f>16*60</f>
        <v>960</v>
      </c>
      <c r="F9" s="41" t="s">
        <v>22</v>
      </c>
      <c r="G9" s="42" t="s">
        <v>21</v>
      </c>
      <c r="H9" s="5"/>
      <c r="I9" s="46"/>
      <c r="J9" s="62"/>
      <c r="K9" s="5"/>
      <c r="L9" s="5"/>
      <c r="M9" s="5"/>
      <c r="N9" s="5"/>
      <c r="O9" s="5"/>
      <c r="P9" s="5"/>
      <c r="Q9" s="5"/>
      <c r="R9" s="5"/>
      <c r="S9" s="5"/>
      <c r="T9" s="5"/>
    </row>
    <row r="10" spans="1:20" ht="15" thickBot="1" x14ac:dyDescent="0.35">
      <c r="A10" s="5"/>
      <c r="B10" s="39" t="s">
        <v>37</v>
      </c>
      <c r="C10" s="3" t="s">
        <v>40</v>
      </c>
      <c r="D10" s="3" t="s">
        <v>39</v>
      </c>
      <c r="E10" s="40">
        <f>60*24</f>
        <v>1440</v>
      </c>
      <c r="F10" s="41" t="s">
        <v>22</v>
      </c>
      <c r="G10" s="42" t="s">
        <v>41</v>
      </c>
      <c r="H10" s="5"/>
      <c r="I10" s="44" t="s">
        <v>42</v>
      </c>
      <c r="J10" s="45">
        <f>SUM(J4:J8)</f>
        <v>172</v>
      </c>
      <c r="K10" s="5"/>
      <c r="L10" s="5"/>
      <c r="M10" s="5"/>
      <c r="N10" s="5"/>
      <c r="O10" s="5"/>
      <c r="P10" s="6" t="s">
        <v>43</v>
      </c>
      <c r="Q10" s="6"/>
      <c r="R10" s="7">
        <f>SUM(Tabla4[Inversion en Actividades])</f>
        <v>11926897.727272728</v>
      </c>
      <c r="S10" s="5"/>
      <c r="T10" s="5"/>
    </row>
    <row r="11" spans="1:20" ht="15.6" thickTop="1" thickBot="1" x14ac:dyDescent="0.35">
      <c r="A11" s="5"/>
      <c r="B11" s="39" t="s">
        <v>37</v>
      </c>
      <c r="C11" s="3" t="s">
        <v>44</v>
      </c>
      <c r="D11" s="3" t="s">
        <v>39</v>
      </c>
      <c r="E11" s="40">
        <f>60*24</f>
        <v>1440</v>
      </c>
      <c r="F11" s="41" t="s">
        <v>22</v>
      </c>
      <c r="G11" s="42" t="s">
        <v>21</v>
      </c>
      <c r="H11" s="5"/>
      <c r="I11" s="82" t="s">
        <v>45</v>
      </c>
      <c r="J11" s="83">
        <f>J10/8</f>
        <v>21.5</v>
      </c>
      <c r="K11" s="5"/>
      <c r="L11" s="5"/>
      <c r="M11" s="5"/>
      <c r="N11" s="5"/>
      <c r="O11" s="5"/>
      <c r="P11" s="6" t="s">
        <v>46</v>
      </c>
      <c r="Q11" s="6"/>
      <c r="R11" s="7">
        <f>R10*12</f>
        <v>143122772.72727275</v>
      </c>
      <c r="S11" s="5"/>
      <c r="T11" s="5"/>
    </row>
    <row r="12" spans="1:20" x14ac:dyDescent="0.3">
      <c r="A12" s="5"/>
      <c r="B12" s="39" t="s">
        <v>47</v>
      </c>
      <c r="C12" s="3" t="s">
        <v>48</v>
      </c>
      <c r="D12" s="3" t="s">
        <v>25</v>
      </c>
      <c r="E12" s="40">
        <f>60*10</f>
        <v>600</v>
      </c>
      <c r="F12" s="41" t="s">
        <v>49</v>
      </c>
      <c r="G12" s="42" t="s">
        <v>50</v>
      </c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</row>
    <row r="13" spans="1:20" x14ac:dyDescent="0.3">
      <c r="A13" s="5"/>
      <c r="B13" s="39" t="s">
        <v>47</v>
      </c>
      <c r="C13" s="3" t="s">
        <v>51</v>
      </c>
      <c r="D13" s="3" t="s">
        <v>25</v>
      </c>
      <c r="E13" s="40">
        <f>60*4</f>
        <v>240</v>
      </c>
      <c r="F13" s="41" t="s">
        <v>49</v>
      </c>
      <c r="G13" s="42" t="s">
        <v>50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1:20" x14ac:dyDescent="0.3">
      <c r="A14" s="5"/>
      <c r="B14" s="39" t="s">
        <v>47</v>
      </c>
      <c r="C14" s="3" t="s">
        <v>52</v>
      </c>
      <c r="D14" s="3" t="s">
        <v>25</v>
      </c>
      <c r="E14" s="40">
        <f>60*2</f>
        <v>120</v>
      </c>
      <c r="F14" s="41" t="s">
        <v>53</v>
      </c>
      <c r="G14" s="42" t="s">
        <v>50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</row>
    <row r="15" spans="1:20" x14ac:dyDescent="0.3">
      <c r="A15" s="5"/>
      <c r="B15" s="39" t="s">
        <v>37</v>
      </c>
      <c r="C15" s="3" t="s">
        <v>54</v>
      </c>
      <c r="D15" s="3" t="s">
        <v>55</v>
      </c>
      <c r="E15" s="40">
        <f>60*4</f>
        <v>240</v>
      </c>
      <c r="F15" s="41" t="s">
        <v>49</v>
      </c>
      <c r="G15" s="42" t="s">
        <v>50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x14ac:dyDescent="0.3">
      <c r="A16" s="5"/>
      <c r="B16" s="39" t="s">
        <v>37</v>
      </c>
      <c r="C16" s="4" t="s">
        <v>56</v>
      </c>
      <c r="D16" s="4" t="s">
        <v>55</v>
      </c>
      <c r="E16" s="69">
        <f>60*4</f>
        <v>240</v>
      </c>
      <c r="F16" s="41" t="s">
        <v>49</v>
      </c>
      <c r="G16" s="42" t="s">
        <v>50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</row>
    <row r="17" spans="1:20" x14ac:dyDescent="0.3">
      <c r="A17" s="5"/>
      <c r="B17" s="39" t="s">
        <v>37</v>
      </c>
      <c r="C17" s="4" t="s">
        <v>57</v>
      </c>
      <c r="D17" s="4" t="s">
        <v>19</v>
      </c>
      <c r="E17" s="69">
        <f>60*2</f>
        <v>120</v>
      </c>
      <c r="F17" s="41" t="s">
        <v>49</v>
      </c>
      <c r="G17" s="42" t="s">
        <v>50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</row>
    <row r="18" spans="1:20" x14ac:dyDescent="0.3">
      <c r="A18" s="5"/>
      <c r="B18" s="39" t="s">
        <v>37</v>
      </c>
      <c r="C18" s="4" t="s">
        <v>58</v>
      </c>
      <c r="D18" s="4" t="s">
        <v>19</v>
      </c>
      <c r="E18" s="69">
        <f>60*2</f>
        <v>120</v>
      </c>
      <c r="F18" s="41" t="s">
        <v>49</v>
      </c>
      <c r="G18" s="42" t="s">
        <v>50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</row>
    <row r="19" spans="1:20" x14ac:dyDescent="0.3">
      <c r="A19" s="5"/>
      <c r="B19" s="39" t="s">
        <v>37</v>
      </c>
      <c r="C19" s="4" t="s">
        <v>59</v>
      </c>
      <c r="D19" s="4" t="s">
        <v>19</v>
      </c>
      <c r="E19" s="69">
        <f>60*2</f>
        <v>120</v>
      </c>
      <c r="F19" s="41" t="s">
        <v>49</v>
      </c>
      <c r="G19" s="42" t="s">
        <v>50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</row>
    <row r="20" spans="1:20" s="2" customFormat="1" x14ac:dyDescent="0.3">
      <c r="A20" s="47"/>
      <c r="B20" s="39" t="s">
        <v>37</v>
      </c>
      <c r="C20" s="71" t="s">
        <v>60</v>
      </c>
      <c r="D20" s="4" t="s">
        <v>19</v>
      </c>
      <c r="E20" s="69">
        <f>+(60*2)+(60*3)</f>
        <v>300</v>
      </c>
      <c r="F20" s="41" t="s">
        <v>49</v>
      </c>
      <c r="G20" s="42" t="s">
        <v>50</v>
      </c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spans="1:20" x14ac:dyDescent="0.3">
      <c r="A21" s="5"/>
      <c r="B21" s="39" t="s">
        <v>37</v>
      </c>
      <c r="C21" s="4" t="s">
        <v>61</v>
      </c>
      <c r="D21" s="4" t="s">
        <v>19</v>
      </c>
      <c r="E21" s="69">
        <f>60*2</f>
        <v>120</v>
      </c>
      <c r="F21" s="41" t="s">
        <v>49</v>
      </c>
      <c r="G21" s="42" t="s">
        <v>50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</row>
    <row r="22" spans="1:20" x14ac:dyDescent="0.3">
      <c r="A22" s="5"/>
      <c r="B22" s="39" t="s">
        <v>37</v>
      </c>
      <c r="C22" s="4" t="s">
        <v>62</v>
      </c>
      <c r="D22" s="4" t="s">
        <v>19</v>
      </c>
      <c r="E22" s="69">
        <f>60*1</f>
        <v>60</v>
      </c>
      <c r="F22" s="41" t="s">
        <v>49</v>
      </c>
      <c r="G22" s="42" t="s">
        <v>50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</row>
    <row r="23" spans="1:20" x14ac:dyDescent="0.3">
      <c r="A23" s="5"/>
      <c r="B23" s="39" t="s">
        <v>37</v>
      </c>
      <c r="C23" s="4" t="s">
        <v>63</v>
      </c>
      <c r="D23" s="4" t="s">
        <v>19</v>
      </c>
      <c r="E23" s="69">
        <f>60*1</f>
        <v>60</v>
      </c>
      <c r="F23" s="41" t="s">
        <v>64</v>
      </c>
      <c r="G23" s="42" t="s">
        <v>65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</row>
    <row r="24" spans="1:20" x14ac:dyDescent="0.3">
      <c r="A24" s="5"/>
      <c r="B24" s="39" t="s">
        <v>37</v>
      </c>
      <c r="C24" s="4" t="s">
        <v>66</v>
      </c>
      <c r="D24" s="4" t="s">
        <v>19</v>
      </c>
      <c r="E24" s="69">
        <f>(60*6)</f>
        <v>360</v>
      </c>
      <c r="F24" s="84" t="s">
        <v>26</v>
      </c>
      <c r="G24" s="75" t="s">
        <v>67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</row>
    <row r="25" spans="1:20" x14ac:dyDescent="0.3">
      <c r="A25" s="5"/>
      <c r="B25" s="39" t="s">
        <v>37</v>
      </c>
      <c r="C25" s="4" t="s">
        <v>68</v>
      </c>
      <c r="D25" s="4" t="s">
        <v>25</v>
      </c>
      <c r="E25" s="69">
        <f>60*2</f>
        <v>120</v>
      </c>
      <c r="F25" s="84" t="s">
        <v>28</v>
      </c>
      <c r="G25" s="75" t="s">
        <v>69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</row>
    <row r="26" spans="1:20" x14ac:dyDescent="0.3">
      <c r="A26" s="5"/>
      <c r="B26" s="39" t="s">
        <v>37</v>
      </c>
      <c r="C26" s="4" t="s">
        <v>70</v>
      </c>
      <c r="D26" s="4" t="s">
        <v>25</v>
      </c>
      <c r="E26" s="69">
        <f>60*2</f>
        <v>120</v>
      </c>
      <c r="F26" s="84" t="s">
        <v>71</v>
      </c>
      <c r="G26" s="75" t="s">
        <v>69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</row>
    <row r="27" spans="1:20" ht="14.25" customHeight="1" x14ac:dyDescent="0.3">
      <c r="A27" s="5"/>
      <c r="B27" s="39" t="s">
        <v>37</v>
      </c>
      <c r="C27" s="4" t="s">
        <v>72</v>
      </c>
      <c r="D27" s="4" t="s">
        <v>25</v>
      </c>
      <c r="E27" s="69">
        <v>60</v>
      </c>
      <c r="F27" s="84" t="s">
        <v>32</v>
      </c>
      <c r="G27" s="75" t="s">
        <v>73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</row>
    <row r="28" spans="1:20" x14ac:dyDescent="0.3">
      <c r="A28" s="5"/>
      <c r="B28" s="5"/>
      <c r="C28" s="5"/>
      <c r="D28" s="5"/>
      <c r="E28" s="5"/>
      <c r="F28" s="78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</row>
    <row r="29" spans="1:20" x14ac:dyDescent="0.3">
      <c r="A29" s="5"/>
      <c r="B29" s="5"/>
      <c r="C29" s="5"/>
      <c r="D29" s="5"/>
      <c r="E29" s="5"/>
      <c r="F29" s="8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</row>
    <row r="30" spans="1:20" x14ac:dyDescent="0.3">
      <c r="A30" s="5"/>
      <c r="B30" s="5"/>
      <c r="C30" s="5"/>
      <c r="D30" s="5"/>
      <c r="E30" s="5"/>
      <c r="F30" s="78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</row>
    <row r="31" spans="1:20" x14ac:dyDescent="0.3">
      <c r="A31" s="5"/>
      <c r="B31" s="5"/>
      <c r="C31" s="5"/>
      <c r="D31" s="5"/>
      <c r="E31" s="5"/>
      <c r="F31" s="78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</row>
    <row r="32" spans="1:20" x14ac:dyDescent="0.3">
      <c r="A32" s="5"/>
      <c r="B32" s="5"/>
      <c r="C32" s="5"/>
      <c r="D32" s="5"/>
      <c r="E32" s="5"/>
      <c r="F32" s="78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</row>
    <row r="33" spans="1:20" x14ac:dyDescent="0.3">
      <c r="A33" s="5"/>
      <c r="B33" s="5"/>
      <c r="C33" s="5"/>
      <c r="D33" s="5"/>
      <c r="E33" s="5"/>
      <c r="F33" s="78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</row>
    <row r="34" spans="1:20" x14ac:dyDescent="0.3">
      <c r="A34" s="5"/>
      <c r="B34" s="5"/>
      <c r="C34" s="5"/>
      <c r="D34" s="5"/>
      <c r="E34" s="5"/>
      <c r="F34" s="78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</row>
  </sheetData>
  <mergeCells count="5">
    <mergeCell ref="B2:G2"/>
    <mergeCell ref="I2:J2"/>
    <mergeCell ref="L2:R2"/>
    <mergeCell ref="P10:Q10"/>
    <mergeCell ref="P11:Q11"/>
  </mergeCells>
  <pageMargins left="0.7" right="0.7" top="0.75" bottom="0.75" header="0.3" footer="0.3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86F65-28DD-4E8E-9A52-64145F6F7ECE}">
  <dimension ref="A1:Y29"/>
  <sheetViews>
    <sheetView tabSelected="1" topLeftCell="D8" workbookViewId="0">
      <selection activeCell="I26" sqref="I26"/>
    </sheetView>
  </sheetViews>
  <sheetFormatPr baseColWidth="10" defaultColWidth="11.44140625" defaultRowHeight="14.4" x14ac:dyDescent="0.3"/>
  <cols>
    <col min="1" max="1" width="3.44140625" customWidth="1"/>
    <col min="2" max="2" width="18.88671875" customWidth="1"/>
    <col min="3" max="3" width="54.88671875" bestFit="1" customWidth="1"/>
    <col min="4" max="4" width="16.6640625" customWidth="1"/>
    <col min="5" max="5" width="21.44140625" customWidth="1"/>
    <col min="6" max="6" width="25.88671875" bestFit="1" customWidth="1"/>
    <col min="7" max="7" width="16.44140625" bestFit="1" customWidth="1"/>
    <col min="9" max="9" width="23.109375" bestFit="1" customWidth="1"/>
    <col min="10" max="10" width="25.44140625" customWidth="1"/>
    <col min="11" max="11" width="23.5546875" customWidth="1"/>
    <col min="12" max="12" width="28" customWidth="1"/>
    <col min="13" max="13" width="12.33203125" customWidth="1"/>
    <col min="14" max="14" width="26.33203125" customWidth="1"/>
    <col min="15" max="15" width="20.44140625" customWidth="1"/>
    <col min="17" max="17" width="15.6640625" bestFit="1" customWidth="1"/>
    <col min="18" max="19" width="15.33203125" bestFit="1" customWidth="1"/>
    <col min="20" max="20" width="15.88671875" bestFit="1" customWidth="1"/>
    <col min="21" max="21" width="19.6640625" bestFit="1" customWidth="1"/>
    <col min="22" max="22" width="18.44140625" customWidth="1"/>
    <col min="23" max="23" width="17.33203125" bestFit="1" customWidth="1"/>
  </cols>
  <sheetData>
    <row r="1" spans="1:25" ht="15" thickBot="1" x14ac:dyDescent="0.3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15" thickBot="1" x14ac:dyDescent="0.35">
      <c r="A2" s="5"/>
      <c r="B2" s="14" t="s">
        <v>0</v>
      </c>
      <c r="C2" s="15"/>
      <c r="D2" s="15"/>
      <c r="E2" s="15"/>
      <c r="F2" s="15"/>
      <c r="G2" s="16"/>
      <c r="H2" s="5"/>
      <c r="I2" s="17" t="s">
        <v>74</v>
      </c>
      <c r="J2" s="18"/>
      <c r="K2" s="19"/>
      <c r="L2" s="5"/>
      <c r="M2" s="5"/>
      <c r="N2" s="20" t="s">
        <v>75</v>
      </c>
      <c r="O2" s="21"/>
      <c r="P2" s="5"/>
      <c r="Q2" s="22" t="s">
        <v>2</v>
      </c>
      <c r="R2" s="23"/>
      <c r="S2" s="23"/>
      <c r="T2" s="23"/>
      <c r="U2" s="23"/>
      <c r="V2" s="23"/>
      <c r="W2" s="24"/>
      <c r="X2" s="5"/>
      <c r="Y2" s="5"/>
    </row>
    <row r="3" spans="1:25" ht="28.8" x14ac:dyDescent="0.3">
      <c r="A3" s="5"/>
      <c r="B3" s="25" t="s">
        <v>3</v>
      </c>
      <c r="C3" s="26" t="s">
        <v>4</v>
      </c>
      <c r="D3" s="26" t="s">
        <v>5</v>
      </c>
      <c r="E3" s="27" t="s">
        <v>6</v>
      </c>
      <c r="F3" s="28" t="s">
        <v>7</v>
      </c>
      <c r="G3" s="29" t="s">
        <v>8</v>
      </c>
      <c r="H3" s="5"/>
      <c r="I3" s="30" t="s">
        <v>76</v>
      </c>
      <c r="J3" s="31" t="s">
        <v>5</v>
      </c>
      <c r="K3" s="32" t="s">
        <v>77</v>
      </c>
      <c r="L3" s="5"/>
      <c r="M3" s="5"/>
      <c r="N3" s="33" t="s">
        <v>9</v>
      </c>
      <c r="O3" s="34" t="s">
        <v>10</v>
      </c>
      <c r="P3" s="5"/>
      <c r="Q3" s="35" t="s">
        <v>9</v>
      </c>
      <c r="R3" s="36" t="s">
        <v>11</v>
      </c>
      <c r="S3" s="36" t="s">
        <v>12</v>
      </c>
      <c r="T3" s="37" t="s">
        <v>13</v>
      </c>
      <c r="U3" s="36" t="s">
        <v>14</v>
      </c>
      <c r="V3" s="36" t="s">
        <v>15</v>
      </c>
      <c r="W3" s="38" t="s">
        <v>16</v>
      </c>
      <c r="X3" s="5"/>
      <c r="Y3" s="5"/>
    </row>
    <row r="4" spans="1:25" x14ac:dyDescent="0.3">
      <c r="A4" s="5"/>
      <c r="B4" s="39" t="s">
        <v>17</v>
      </c>
      <c r="C4" s="3" t="s">
        <v>18</v>
      </c>
      <c r="D4" s="3" t="s">
        <v>19</v>
      </c>
      <c r="E4" s="40">
        <v>240</v>
      </c>
      <c r="F4" s="41" t="s">
        <v>78</v>
      </c>
      <c r="G4" s="42" t="s">
        <v>21</v>
      </c>
      <c r="H4" s="5"/>
      <c r="I4" s="33" t="s">
        <v>79</v>
      </c>
      <c r="J4" s="43" t="s">
        <v>80</v>
      </c>
      <c r="K4" s="34" t="s">
        <v>81</v>
      </c>
      <c r="L4" s="5"/>
      <c r="M4" s="5"/>
      <c r="N4" s="44" t="s">
        <v>22</v>
      </c>
      <c r="O4" s="45">
        <v>8</v>
      </c>
      <c r="P4" s="5"/>
      <c r="Q4" s="46" t="s">
        <v>23</v>
      </c>
      <c r="R4" s="47">
        <v>4</v>
      </c>
      <c r="S4" s="47">
        <f>22*8</f>
        <v>176</v>
      </c>
      <c r="T4" s="48">
        <f>R4/S4</f>
        <v>2.2727272727272728E-2</v>
      </c>
      <c r="U4" s="49">
        <v>15078000</v>
      </c>
      <c r="V4" s="50">
        <f>U4/(22*8)</f>
        <v>85670.454545454544</v>
      </c>
      <c r="W4" s="51">
        <f>V4*R4</f>
        <v>342681.81818181818</v>
      </c>
      <c r="X4" s="5"/>
      <c r="Y4" s="5"/>
    </row>
    <row r="5" spans="1:25" x14ac:dyDescent="0.3">
      <c r="A5" s="5"/>
      <c r="B5" s="39" t="s">
        <v>17</v>
      </c>
      <c r="C5" s="3" t="s">
        <v>24</v>
      </c>
      <c r="D5" s="3" t="s">
        <v>25</v>
      </c>
      <c r="E5" s="40">
        <f t="shared" ref="E5" si="0">60*5</f>
        <v>300</v>
      </c>
      <c r="F5" s="41" t="s">
        <v>78</v>
      </c>
      <c r="G5" s="42" t="s">
        <v>21</v>
      </c>
      <c r="H5" s="5"/>
      <c r="I5" s="33" t="s">
        <v>82</v>
      </c>
      <c r="J5" s="43" t="s">
        <v>25</v>
      </c>
      <c r="K5" s="52">
        <v>3600000</v>
      </c>
      <c r="L5" s="5"/>
      <c r="M5" s="50"/>
      <c r="N5" s="44" t="s">
        <v>26</v>
      </c>
      <c r="O5" s="45">
        <v>4</v>
      </c>
      <c r="P5" s="5"/>
      <c r="Q5" s="46" t="s">
        <v>83</v>
      </c>
      <c r="R5" s="47">
        <f>Tabla310[[#This Row],[Horas invertidas]]</f>
        <v>4</v>
      </c>
      <c r="S5" s="47">
        <f t="shared" ref="S5:S8" si="1">22*8</f>
        <v>176</v>
      </c>
      <c r="T5" s="48">
        <f t="shared" ref="T5:T8" si="2">R5/S5</f>
        <v>2.2727272727272728E-2</v>
      </c>
      <c r="U5" s="49">
        <v>5652000</v>
      </c>
      <c r="V5" s="50">
        <f t="shared" ref="V5:V8" si="3">U5/(22*8)</f>
        <v>32113.636363636364</v>
      </c>
      <c r="W5" s="51">
        <f t="shared" ref="W5:W8" si="4">V5*R5</f>
        <v>128454.54545454546</v>
      </c>
      <c r="X5" s="5"/>
      <c r="Y5" s="5"/>
    </row>
    <row r="6" spans="1:25" x14ac:dyDescent="0.3">
      <c r="A6" s="5"/>
      <c r="B6" s="39" t="s">
        <v>17</v>
      </c>
      <c r="C6" s="3" t="s">
        <v>27</v>
      </c>
      <c r="D6" s="3" t="s">
        <v>25</v>
      </c>
      <c r="E6" s="40">
        <v>300</v>
      </c>
      <c r="F6" s="41" t="s">
        <v>78</v>
      </c>
      <c r="G6" s="42" t="s">
        <v>21</v>
      </c>
      <c r="H6" s="5"/>
      <c r="I6" s="33" t="s">
        <v>84</v>
      </c>
      <c r="J6" s="43" t="s">
        <v>25</v>
      </c>
      <c r="K6" s="52">
        <v>320000</v>
      </c>
      <c r="L6" s="5"/>
      <c r="M6" s="50"/>
      <c r="N6" s="44" t="s">
        <v>28</v>
      </c>
      <c r="O6" s="45">
        <v>1</v>
      </c>
      <c r="P6" s="5"/>
      <c r="Q6" s="46" t="s">
        <v>28</v>
      </c>
      <c r="R6" s="47">
        <f>Tabla310[[#This Row],[Horas invertidas]]</f>
        <v>1</v>
      </c>
      <c r="S6" s="47">
        <f t="shared" si="1"/>
        <v>176</v>
      </c>
      <c r="T6" s="48">
        <f t="shared" si="2"/>
        <v>5.681818181818182E-3</v>
      </c>
      <c r="U6" s="49">
        <v>3989000</v>
      </c>
      <c r="V6" s="50">
        <f t="shared" si="3"/>
        <v>22664.772727272728</v>
      </c>
      <c r="W6" s="51">
        <f t="shared" si="4"/>
        <v>22664.772727272728</v>
      </c>
      <c r="X6" s="5"/>
      <c r="Y6" s="5"/>
    </row>
    <row r="7" spans="1:25" ht="15" thickBot="1" x14ac:dyDescent="0.35">
      <c r="A7" s="5"/>
      <c r="B7" s="39" t="s">
        <v>17</v>
      </c>
      <c r="C7" s="3" t="s">
        <v>29</v>
      </c>
      <c r="D7" s="3" t="s">
        <v>30</v>
      </c>
      <c r="E7" s="40">
        <v>30</v>
      </c>
      <c r="F7" s="41" t="s">
        <v>78</v>
      </c>
      <c r="G7" s="42" t="s">
        <v>31</v>
      </c>
      <c r="H7" s="5"/>
      <c r="I7" s="53" t="s">
        <v>85</v>
      </c>
      <c r="J7" s="54" t="s">
        <v>39</v>
      </c>
      <c r="K7" s="55">
        <v>2340000</v>
      </c>
      <c r="L7" s="5"/>
      <c r="M7" s="5"/>
      <c r="N7" s="44" t="s">
        <v>32</v>
      </c>
      <c r="O7" s="45">
        <v>1</v>
      </c>
      <c r="P7" s="5"/>
      <c r="Q7" s="46" t="s">
        <v>32</v>
      </c>
      <c r="R7" s="47">
        <f>Tabla310[[#This Row],[Horas invertidas]]</f>
        <v>1</v>
      </c>
      <c r="S7" s="47">
        <f t="shared" si="1"/>
        <v>176</v>
      </c>
      <c r="T7" s="48">
        <f t="shared" si="2"/>
        <v>5.681818181818182E-3</v>
      </c>
      <c r="U7" s="49">
        <v>5652000</v>
      </c>
      <c r="V7" s="50">
        <f t="shared" si="3"/>
        <v>32113.636363636364</v>
      </c>
      <c r="W7" s="51">
        <f t="shared" si="4"/>
        <v>32113.636363636364</v>
      </c>
      <c r="X7" s="5"/>
      <c r="Y7" s="5"/>
    </row>
    <row r="8" spans="1:25" ht="15" thickBot="1" x14ac:dyDescent="0.35">
      <c r="A8" s="5"/>
      <c r="B8" s="39" t="s">
        <v>17</v>
      </c>
      <c r="C8" s="3" t="s">
        <v>33</v>
      </c>
      <c r="D8" s="3" t="s">
        <v>30</v>
      </c>
      <c r="E8" s="40">
        <v>30</v>
      </c>
      <c r="F8" s="41" t="s">
        <v>78</v>
      </c>
      <c r="G8" s="42" t="s">
        <v>31</v>
      </c>
      <c r="H8" s="5"/>
      <c r="I8" s="5"/>
      <c r="J8" s="5"/>
      <c r="K8" s="5"/>
      <c r="L8" s="5"/>
      <c r="M8" s="5"/>
      <c r="N8" s="44" t="s">
        <v>35</v>
      </c>
      <c r="O8" s="45">
        <v>0</v>
      </c>
      <c r="P8" s="5"/>
      <c r="Q8" s="56" t="s">
        <v>36</v>
      </c>
      <c r="R8" s="57">
        <f>Tabla310[[#This Row],[Horas invertidas]]</f>
        <v>0</v>
      </c>
      <c r="S8" s="57">
        <f t="shared" si="1"/>
        <v>176</v>
      </c>
      <c r="T8" s="58">
        <f t="shared" si="2"/>
        <v>0</v>
      </c>
      <c r="U8" s="59">
        <v>2200000</v>
      </c>
      <c r="V8" s="60">
        <f t="shared" si="3"/>
        <v>12500</v>
      </c>
      <c r="W8" s="61">
        <f t="shared" si="4"/>
        <v>0</v>
      </c>
      <c r="X8" s="5"/>
      <c r="Y8" s="5"/>
    </row>
    <row r="9" spans="1:25" x14ac:dyDescent="0.3">
      <c r="A9" s="5"/>
      <c r="B9" s="39" t="s">
        <v>37</v>
      </c>
      <c r="C9" s="3" t="s">
        <v>38</v>
      </c>
      <c r="D9" s="3" t="s">
        <v>39</v>
      </c>
      <c r="E9" s="40">
        <f>16*60</f>
        <v>960</v>
      </c>
      <c r="F9" s="41" t="s">
        <v>78</v>
      </c>
      <c r="G9" s="42" t="s">
        <v>21</v>
      </c>
      <c r="H9" s="5"/>
      <c r="I9" s="22" t="s">
        <v>86</v>
      </c>
      <c r="J9" s="23"/>
      <c r="K9" s="23"/>
      <c r="L9" s="24"/>
      <c r="M9" s="5"/>
      <c r="N9" s="46"/>
      <c r="O9" s="62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15" thickBot="1" x14ac:dyDescent="0.35">
      <c r="A10" s="5"/>
      <c r="B10" s="39" t="s">
        <v>37</v>
      </c>
      <c r="C10" s="3" t="s">
        <v>40</v>
      </c>
      <c r="D10" s="3" t="s">
        <v>39</v>
      </c>
      <c r="E10" s="40">
        <f>60*24</f>
        <v>1440</v>
      </c>
      <c r="F10" s="41" t="s">
        <v>78</v>
      </c>
      <c r="G10" s="42" t="s">
        <v>41</v>
      </c>
      <c r="H10" s="5"/>
      <c r="I10" s="33" t="s">
        <v>87</v>
      </c>
      <c r="J10" s="43" t="s">
        <v>77</v>
      </c>
      <c r="K10" s="43" t="s">
        <v>88</v>
      </c>
      <c r="L10" s="34" t="s">
        <v>89</v>
      </c>
      <c r="M10" s="5"/>
      <c r="N10" s="63" t="s">
        <v>42</v>
      </c>
      <c r="O10" s="64">
        <f>SUM(O4:O8)</f>
        <v>14</v>
      </c>
      <c r="P10" s="5"/>
      <c r="Q10" s="5"/>
      <c r="R10" s="5"/>
      <c r="S10" s="5"/>
      <c r="T10" s="5"/>
      <c r="U10" s="6" t="s">
        <v>43</v>
      </c>
      <c r="V10" s="6"/>
      <c r="W10" s="7">
        <f>SUM(Tabla411[Inversion en Actividades])</f>
        <v>525914.77272727271</v>
      </c>
      <c r="X10" s="5"/>
      <c r="Y10" s="5"/>
    </row>
    <row r="11" spans="1:25" ht="15" thickBot="1" x14ac:dyDescent="0.35">
      <c r="A11" s="5"/>
      <c r="B11" s="39" t="s">
        <v>37</v>
      </c>
      <c r="C11" s="3" t="s">
        <v>44</v>
      </c>
      <c r="D11" s="3" t="s">
        <v>39</v>
      </c>
      <c r="E11" s="40">
        <f>60*24</f>
        <v>1440</v>
      </c>
      <c r="F11" s="41" t="s">
        <v>78</v>
      </c>
      <c r="G11" s="42" t="s">
        <v>21</v>
      </c>
      <c r="H11" s="5"/>
      <c r="I11" s="33" t="s">
        <v>90</v>
      </c>
      <c r="J11" s="65">
        <f>K5</f>
        <v>3600000</v>
      </c>
      <c r="K11" s="43">
        <v>13</v>
      </c>
      <c r="L11" s="66">
        <f>Tabla7[[#This Row],[Cantidad]]*Tabla7[[#This Row],[Valor]]</f>
        <v>46800000</v>
      </c>
      <c r="M11" s="5"/>
      <c r="N11" s="5"/>
      <c r="O11" s="5"/>
      <c r="P11" s="5"/>
      <c r="Q11" s="5"/>
      <c r="R11" s="5"/>
      <c r="S11" s="5"/>
      <c r="T11" s="5"/>
      <c r="U11" s="6" t="s">
        <v>46</v>
      </c>
      <c r="V11" s="6"/>
      <c r="W11" s="7">
        <f>W10*12</f>
        <v>6310977.2727272725</v>
      </c>
      <c r="X11" s="5"/>
      <c r="Y11" s="5"/>
    </row>
    <row r="12" spans="1:25" ht="15" thickTop="1" x14ac:dyDescent="0.3">
      <c r="A12" s="5"/>
      <c r="B12" s="39" t="s">
        <v>47</v>
      </c>
      <c r="C12" s="3" t="s">
        <v>48</v>
      </c>
      <c r="D12" s="3" t="s">
        <v>25</v>
      </c>
      <c r="E12" s="40">
        <f>60*10</f>
        <v>600</v>
      </c>
      <c r="F12" s="41" t="s">
        <v>78</v>
      </c>
      <c r="G12" s="42" t="s">
        <v>50</v>
      </c>
      <c r="H12" s="5"/>
      <c r="I12" s="33" t="s">
        <v>91</v>
      </c>
      <c r="J12" s="65">
        <v>320000</v>
      </c>
      <c r="K12" s="43">
        <v>12</v>
      </c>
      <c r="L12" s="66">
        <f>Tabla7[[#This Row],[Cantidad]]*Tabla7[[#This Row],[Valor]]</f>
        <v>3840000</v>
      </c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 spans="1:25" x14ac:dyDescent="0.3">
      <c r="A13" s="5"/>
      <c r="B13" s="39" t="s">
        <v>47</v>
      </c>
      <c r="C13" s="3" t="s">
        <v>92</v>
      </c>
      <c r="D13" s="3" t="s">
        <v>25</v>
      </c>
      <c r="E13" s="40">
        <f>60*4</f>
        <v>240</v>
      </c>
      <c r="F13" s="41" t="s">
        <v>78</v>
      </c>
      <c r="G13" s="42" t="s">
        <v>50</v>
      </c>
      <c r="H13" s="5"/>
      <c r="I13" s="33" t="s">
        <v>93</v>
      </c>
      <c r="J13" s="65">
        <f>K7</f>
        <v>2340000</v>
      </c>
      <c r="K13" s="43">
        <v>2</v>
      </c>
      <c r="L13" s="66">
        <f>Tabla7[[#This Row],[Cantidad]]*Tabla7[[#This Row],[Valor]]</f>
        <v>4680000</v>
      </c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12"/>
      <c r="Y13" s="5"/>
    </row>
    <row r="14" spans="1:25" ht="15" thickBot="1" x14ac:dyDescent="0.35">
      <c r="A14" s="5"/>
      <c r="B14" s="39" t="s">
        <v>47</v>
      </c>
      <c r="C14" s="3" t="s">
        <v>52</v>
      </c>
      <c r="D14" s="3" t="s">
        <v>25</v>
      </c>
      <c r="E14" s="40">
        <f>60*2</f>
        <v>120</v>
      </c>
      <c r="F14" s="41" t="s">
        <v>78</v>
      </c>
      <c r="G14" s="42" t="s">
        <v>50</v>
      </c>
      <c r="H14" s="5"/>
      <c r="I14" s="53" t="s">
        <v>94</v>
      </c>
      <c r="J14" s="67">
        <f>W10</f>
        <v>525914.77272727271</v>
      </c>
      <c r="K14" s="54">
        <v>12</v>
      </c>
      <c r="L14" s="68">
        <f>Tabla7[[#This Row],[Cantidad]]*Tabla7[[#This Row],[Valor]]</f>
        <v>6310977.2727272725</v>
      </c>
      <c r="M14" s="5"/>
      <c r="N14" s="5"/>
      <c r="O14" s="5"/>
      <c r="P14" s="5"/>
      <c r="Q14" s="5"/>
      <c r="R14" s="5"/>
      <c r="S14" s="5"/>
      <c r="T14" s="5"/>
      <c r="U14" s="6" t="s">
        <v>103</v>
      </c>
      <c r="V14" s="6"/>
      <c r="W14" s="7">
        <f>Analisis!R10*6</f>
        <v>71561386.363636374</v>
      </c>
      <c r="X14" s="12"/>
      <c r="Y14" s="5"/>
    </row>
    <row r="15" spans="1:25" ht="15.6" thickTop="1" thickBot="1" x14ac:dyDescent="0.35">
      <c r="A15" s="5"/>
      <c r="B15" s="39" t="s">
        <v>37</v>
      </c>
      <c r="C15" s="3" t="s">
        <v>54</v>
      </c>
      <c r="D15" s="3" t="s">
        <v>55</v>
      </c>
      <c r="E15" s="40">
        <f>60*4</f>
        <v>240</v>
      </c>
      <c r="F15" s="41" t="s">
        <v>78</v>
      </c>
      <c r="G15" s="42" t="s">
        <v>50</v>
      </c>
      <c r="H15" s="5"/>
      <c r="I15" s="43"/>
      <c r="J15" s="65"/>
      <c r="K15" s="43"/>
      <c r="L15" s="65"/>
      <c r="M15" s="5"/>
      <c r="N15" s="5"/>
      <c r="O15" s="5"/>
      <c r="P15" s="5"/>
      <c r="Q15" s="5"/>
      <c r="R15" s="5"/>
      <c r="S15" s="5"/>
      <c r="T15" s="5"/>
      <c r="U15" s="8" t="s">
        <v>102</v>
      </c>
      <c r="V15" s="8"/>
      <c r="W15" s="7">
        <f>W10*16</f>
        <v>8414636.3636363633</v>
      </c>
      <c r="X15" s="13"/>
      <c r="Y15" s="9"/>
    </row>
    <row r="16" spans="1:25" ht="15.6" thickTop="1" thickBot="1" x14ac:dyDescent="0.35">
      <c r="A16" s="5"/>
      <c r="B16" s="39" t="s">
        <v>37</v>
      </c>
      <c r="C16" s="4" t="s">
        <v>56</v>
      </c>
      <c r="D16" s="4" t="s">
        <v>55</v>
      </c>
      <c r="E16" s="69">
        <f>60*4</f>
        <v>240</v>
      </c>
      <c r="F16" s="41" t="s">
        <v>78</v>
      </c>
      <c r="G16" s="42" t="s">
        <v>50</v>
      </c>
      <c r="H16" s="5"/>
      <c r="I16" s="5"/>
      <c r="J16" s="5"/>
      <c r="K16" s="70" t="s">
        <v>95</v>
      </c>
      <c r="L16" s="7">
        <f>SUM(Tabla7[TT])</f>
        <v>61630977.272727273</v>
      </c>
      <c r="M16" s="5"/>
      <c r="N16" s="5"/>
      <c r="O16" s="5"/>
      <c r="P16" s="5"/>
      <c r="Q16" s="5"/>
      <c r="R16" s="5"/>
      <c r="S16" s="5"/>
      <c r="T16" s="5"/>
      <c r="U16" s="10"/>
      <c r="V16" s="10"/>
      <c r="W16" s="11">
        <f>W15-W14</f>
        <v>-63146750.000000015</v>
      </c>
      <c r="X16" s="13"/>
      <c r="Y16" s="5"/>
    </row>
    <row r="17" spans="1:25" ht="15.6" thickTop="1" thickBot="1" x14ac:dyDescent="0.35">
      <c r="A17" s="5"/>
      <c r="B17" s="39" t="s">
        <v>37</v>
      </c>
      <c r="C17" s="4" t="s">
        <v>57</v>
      </c>
      <c r="D17" s="4" t="s">
        <v>19</v>
      </c>
      <c r="E17" s="69">
        <f>60*2</f>
        <v>120</v>
      </c>
      <c r="F17" s="41" t="s">
        <v>78</v>
      </c>
      <c r="G17" s="42" t="s">
        <v>50</v>
      </c>
      <c r="H17" s="5"/>
      <c r="I17" s="5"/>
      <c r="J17" s="5"/>
      <c r="K17" s="70" t="s">
        <v>96</v>
      </c>
      <c r="L17" s="7">
        <f>L16/12</f>
        <v>5135914.7727272725</v>
      </c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12"/>
      <c r="Y17" s="5"/>
    </row>
    <row r="18" spans="1:25" ht="15" thickTop="1" x14ac:dyDescent="0.3">
      <c r="A18" s="5"/>
      <c r="B18" s="39" t="s">
        <v>37</v>
      </c>
      <c r="C18" s="4" t="s">
        <v>58</v>
      </c>
      <c r="D18" s="4" t="s">
        <v>19</v>
      </c>
      <c r="E18" s="69">
        <f>60*2</f>
        <v>120</v>
      </c>
      <c r="F18" s="41" t="s">
        <v>78</v>
      </c>
      <c r="G18" s="42" t="s">
        <v>50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15" thickBot="1" x14ac:dyDescent="0.35">
      <c r="A19" s="5"/>
      <c r="B19" s="39" t="s">
        <v>37</v>
      </c>
      <c r="C19" s="4" t="s">
        <v>59</v>
      </c>
      <c r="D19" s="4" t="s">
        <v>19</v>
      </c>
      <c r="E19" s="69">
        <f>60*2</f>
        <v>120</v>
      </c>
      <c r="F19" s="41" t="s">
        <v>78</v>
      </c>
      <c r="G19" s="42" t="s">
        <v>50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x14ac:dyDescent="0.3">
      <c r="A20" s="5"/>
      <c r="B20" s="39" t="s">
        <v>37</v>
      </c>
      <c r="C20" s="71" t="s">
        <v>60</v>
      </c>
      <c r="D20" s="4" t="s">
        <v>19</v>
      </c>
      <c r="E20" s="69">
        <f>+(60*2)+(60*3)</f>
        <v>300</v>
      </c>
      <c r="F20" s="41" t="s">
        <v>78</v>
      </c>
      <c r="G20" s="42" t="s">
        <v>50</v>
      </c>
      <c r="H20" s="5"/>
      <c r="I20" s="22" t="s">
        <v>97</v>
      </c>
      <c r="J20" s="23"/>
      <c r="K20" s="23"/>
      <c r="L20" s="24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x14ac:dyDescent="0.3">
      <c r="A21" s="5"/>
      <c r="B21" s="39" t="s">
        <v>37</v>
      </c>
      <c r="C21" s="4" t="s">
        <v>61</v>
      </c>
      <c r="D21" s="4" t="s">
        <v>19</v>
      </c>
      <c r="E21" s="69">
        <f>60*2</f>
        <v>120</v>
      </c>
      <c r="F21" s="41" t="s">
        <v>78</v>
      </c>
      <c r="G21" s="42" t="s">
        <v>50</v>
      </c>
      <c r="H21" s="5"/>
      <c r="I21" s="46" t="s">
        <v>98</v>
      </c>
      <c r="J21" s="5" t="s">
        <v>99</v>
      </c>
      <c r="K21" s="5" t="s">
        <v>100</v>
      </c>
      <c r="L21" s="62" t="s">
        <v>101</v>
      </c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15" thickBot="1" x14ac:dyDescent="0.35">
      <c r="A22" s="5"/>
      <c r="B22" s="39" t="s">
        <v>37</v>
      </c>
      <c r="C22" s="4" t="s">
        <v>62</v>
      </c>
      <c r="D22" s="4" t="s">
        <v>19</v>
      </c>
      <c r="E22" s="69">
        <f>60*1</f>
        <v>60</v>
      </c>
      <c r="F22" s="41" t="s">
        <v>78</v>
      </c>
      <c r="G22" s="42" t="s">
        <v>50</v>
      </c>
      <c r="H22" s="5"/>
      <c r="I22" s="72">
        <f>[1]Analisis!R11</f>
        <v>143122772.72727275</v>
      </c>
      <c r="J22" s="60">
        <f t="shared" ref="J22" si="5">L16</f>
        <v>61630977.272727273</v>
      </c>
      <c r="K22" s="73">
        <f>[1]Analisis!R10-[1]Propuesta!L17</f>
        <v>6448301.1363636376</v>
      </c>
      <c r="L22" s="74">
        <f>(Tabla8[[#This Row],[Ahorro Mensual]]*12)</f>
        <v>77379613.636363655</v>
      </c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5" x14ac:dyDescent="0.3">
      <c r="A23" s="5"/>
      <c r="B23" s="39" t="s">
        <v>37</v>
      </c>
      <c r="C23" s="4" t="s">
        <v>63</v>
      </c>
      <c r="D23" s="4" t="s">
        <v>19</v>
      </c>
      <c r="E23" s="69">
        <f>60*1</f>
        <v>60</v>
      </c>
      <c r="F23" s="41" t="s">
        <v>78</v>
      </c>
      <c r="G23" s="42" t="s">
        <v>65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x14ac:dyDescent="0.3">
      <c r="A24" s="5"/>
      <c r="B24" s="39" t="s">
        <v>37</v>
      </c>
      <c r="C24" s="4" t="s">
        <v>66</v>
      </c>
      <c r="D24" s="4" t="s">
        <v>19</v>
      </c>
      <c r="E24" s="69">
        <f>(60*6)</f>
        <v>360</v>
      </c>
      <c r="F24" s="41" t="s">
        <v>78</v>
      </c>
      <c r="G24" s="75" t="s">
        <v>67</v>
      </c>
      <c r="H24" s="5"/>
      <c r="I24" s="76"/>
      <c r="J24" s="77"/>
      <c r="K24" s="77"/>
      <c r="L24" s="77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x14ac:dyDescent="0.3">
      <c r="A25" s="5"/>
      <c r="B25" s="39" t="s">
        <v>37</v>
      </c>
      <c r="C25" s="4" t="s">
        <v>68</v>
      </c>
      <c r="D25" s="4" t="s">
        <v>25</v>
      </c>
      <c r="E25" s="69">
        <f>60*2</f>
        <v>120</v>
      </c>
      <c r="F25" s="41" t="s">
        <v>78</v>
      </c>
      <c r="G25" s="75" t="s">
        <v>69</v>
      </c>
      <c r="H25" s="5"/>
      <c r="I25" s="50" cm="1">
        <f t="array" ref="I25">Tabla8[Inversion anual Actual]/6</f>
        <v>23853795.454545457</v>
      </c>
      <c r="J25" s="50" cm="1">
        <f t="array" ref="J25">Tabla8[Inversion Anual CO Adm]/6</f>
        <v>10271829.545454545</v>
      </c>
      <c r="K25" s="77"/>
      <c r="L25" s="77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x14ac:dyDescent="0.3">
      <c r="A26" s="5"/>
      <c r="B26" s="39" t="s">
        <v>37</v>
      </c>
      <c r="C26" s="4" t="s">
        <v>70</v>
      </c>
      <c r="D26" s="4" t="s">
        <v>25</v>
      </c>
      <c r="E26" s="69">
        <f>60*2</f>
        <v>120</v>
      </c>
      <c r="F26" s="41" t="s">
        <v>78</v>
      </c>
      <c r="G26" s="75" t="s">
        <v>69</v>
      </c>
      <c r="H26" s="5"/>
      <c r="I26" s="50">
        <f>I25-J25</f>
        <v>13581965.909090912</v>
      </c>
      <c r="J26" s="77"/>
      <c r="K26" s="77"/>
      <c r="L26" s="77"/>
      <c r="M26" s="77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x14ac:dyDescent="0.3">
      <c r="A27" s="5"/>
      <c r="B27" s="39" t="s">
        <v>37</v>
      </c>
      <c r="C27" s="4" t="s">
        <v>72</v>
      </c>
      <c r="D27" s="4" t="s">
        <v>25</v>
      </c>
      <c r="E27" s="69">
        <v>60</v>
      </c>
      <c r="F27" s="41" t="s">
        <v>78</v>
      </c>
      <c r="G27" s="75" t="s">
        <v>73</v>
      </c>
      <c r="H27" s="5"/>
      <c r="I27" s="5"/>
      <c r="J27" s="77"/>
      <c r="K27" s="77"/>
      <c r="L27" s="77"/>
      <c r="M27" s="77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77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5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77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</sheetData>
  <mergeCells count="10">
    <mergeCell ref="U11:V11"/>
    <mergeCell ref="I20:L20"/>
    <mergeCell ref="B2:G2"/>
    <mergeCell ref="I2:K2"/>
    <mergeCell ref="N2:O2"/>
    <mergeCell ref="Q2:W2"/>
    <mergeCell ref="I9:L9"/>
    <mergeCell ref="U10:V10"/>
    <mergeCell ref="U14:V14"/>
    <mergeCell ref="U15:V16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Analisis</vt:lpstr>
      <vt:lpstr>Propuesta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Sofía Ujueta Pedrozo</dc:creator>
  <cp:lastModifiedBy>Sofía Ujueta Pedrozo</cp:lastModifiedBy>
  <dcterms:created xsi:type="dcterms:W3CDTF">2024-08-16T20:15:30Z</dcterms:created>
  <dcterms:modified xsi:type="dcterms:W3CDTF">2024-09-12T23:55:04Z</dcterms:modified>
</cp:coreProperties>
</file>