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8c4ba5c9a0091e/Escritorio/TRABAJO DE GRADO/"/>
    </mc:Choice>
  </mc:AlternateContent>
  <xr:revisionPtr revIDLastSave="7" documentId="8_{250A9062-ACBD-46CD-B766-B459C248D2F9}" xr6:coauthVersionLast="47" xr6:coauthVersionMax="47" xr10:uidLastSave="{2A278BF9-9AAF-47D1-B094-57C92447525F}"/>
  <bookViews>
    <workbookView xWindow="-120" yWindow="-120" windowWidth="20730" windowHeight="11160" firstSheet="4" activeTab="9" xr2:uid="{00000000-000D-0000-FFFF-FFFF00000000}"/>
  </bookViews>
  <sheets>
    <sheet name="HSP" sheetId="23" r:id="rId1"/>
    <sheet name="PAJ MÓDULOS" sheetId="2" r:id="rId2"/>
    <sheet name="MÓDULOS" sheetId="14" r:id="rId3"/>
    <sheet name="TENSIÓN INSTALACIÓN" sheetId="9" r:id="rId4"/>
    <sheet name="PAJ INVERSORES" sheetId="13" r:id="rId5"/>
    <sheet name="INVERSORES " sheetId="10" r:id="rId6"/>
    <sheet name="PAJ BATERÍAS" sheetId="16" r:id="rId7"/>
    <sheet name="BATERIAS" sheetId="15" r:id="rId8"/>
    <sheet name="PAJ Regulador" sheetId="20" r:id="rId9"/>
    <sheet name="REGULADOR" sheetId="21" r:id="rId10"/>
  </sheets>
  <externalReferences>
    <externalReference r:id="rId11"/>
  </externalReferences>
  <definedNames>
    <definedName name="AÑO_1">#REF!</definedName>
  </definedNames>
  <calcPr calcId="191029"/>
</workbook>
</file>

<file path=xl/calcChain.xml><?xml version="1.0" encoding="utf-8"?>
<calcChain xmlns="http://schemas.openxmlformats.org/spreadsheetml/2006/main">
  <c r="G22" i="23" l="1"/>
  <c r="C14" i="10"/>
  <c r="B25" i="2"/>
  <c r="B26" i="2"/>
  <c r="B27" i="2"/>
  <c r="B28" i="2"/>
  <c r="B24" i="2"/>
  <c r="E6" i="2"/>
  <c r="B16" i="2"/>
  <c r="C16" i="2"/>
  <c r="C24" i="21"/>
  <c r="B23" i="21"/>
  <c r="C18" i="21"/>
  <c r="B17" i="21"/>
  <c r="C19" i="21"/>
  <c r="B18" i="21"/>
  <c r="C12" i="21"/>
  <c r="C13" i="21"/>
  <c r="B11" i="21"/>
  <c r="I7" i="21"/>
  <c r="M7" i="21"/>
  <c r="L7" i="21"/>
  <c r="K7" i="21"/>
  <c r="J7" i="21"/>
  <c r="J8" i="15"/>
  <c r="K8" i="15"/>
  <c r="L8" i="15"/>
  <c r="M8" i="15"/>
  <c r="C25" i="21"/>
  <c r="B24" i="21"/>
  <c r="B12" i="21"/>
  <c r="L33" i="20"/>
  <c r="H33" i="20"/>
  <c r="D33" i="20"/>
  <c r="B33" i="20"/>
  <c r="J33" i="20" s="1"/>
  <c r="L32" i="20"/>
  <c r="K32" i="20"/>
  <c r="B32" i="20"/>
  <c r="H32" i="20" s="1"/>
  <c r="L31" i="20"/>
  <c r="K31" i="20"/>
  <c r="J31" i="20"/>
  <c r="H31" i="20"/>
  <c r="D31" i="20"/>
  <c r="B31" i="20"/>
  <c r="F31" i="20" s="1"/>
  <c r="L30" i="20"/>
  <c r="K30" i="20"/>
  <c r="J30" i="20"/>
  <c r="I30" i="20"/>
  <c r="B30" i="20"/>
  <c r="H30" i="20" s="1"/>
  <c r="N29" i="20"/>
  <c r="L29" i="20"/>
  <c r="K29" i="20"/>
  <c r="J29" i="20"/>
  <c r="I29" i="20"/>
  <c r="H29" i="20"/>
  <c r="E29" i="20"/>
  <c r="B29" i="20"/>
  <c r="G29" i="20" s="1"/>
  <c r="L28" i="20"/>
  <c r="K28" i="20"/>
  <c r="J28" i="20"/>
  <c r="H28" i="20"/>
  <c r="G28" i="20"/>
  <c r="D28" i="20"/>
  <c r="B28" i="20"/>
  <c r="F28" i="20" s="1"/>
  <c r="N27" i="20"/>
  <c r="L27" i="20"/>
  <c r="K27" i="20"/>
  <c r="I27" i="20"/>
  <c r="H27" i="20"/>
  <c r="G27" i="20"/>
  <c r="F27" i="20"/>
  <c r="E27" i="20"/>
  <c r="D27" i="20"/>
  <c r="C27" i="20"/>
  <c r="B27" i="20"/>
  <c r="L26" i="20"/>
  <c r="J26" i="20"/>
  <c r="I26" i="20"/>
  <c r="H26" i="20"/>
  <c r="T26" i="20" s="1"/>
  <c r="G26" i="20"/>
  <c r="F26" i="20"/>
  <c r="E26" i="20"/>
  <c r="B26" i="20"/>
  <c r="N25" i="20"/>
  <c r="P23" i="20" s="1"/>
  <c r="L25" i="20"/>
  <c r="K25" i="20"/>
  <c r="J25" i="20"/>
  <c r="I25" i="20"/>
  <c r="U25" i="20" s="1"/>
  <c r="H25" i="20"/>
  <c r="G25" i="20"/>
  <c r="F25" i="20"/>
  <c r="E25" i="20"/>
  <c r="D25" i="20"/>
  <c r="C25" i="20"/>
  <c r="B25" i="20"/>
  <c r="D23" i="20" s="1"/>
  <c r="L24" i="20"/>
  <c r="K24" i="20"/>
  <c r="J24" i="20"/>
  <c r="I24" i="20"/>
  <c r="H24" i="20"/>
  <c r="G24" i="20"/>
  <c r="F24" i="20"/>
  <c r="E24" i="20"/>
  <c r="D24" i="20"/>
  <c r="B24" i="20"/>
  <c r="N24" i="20" s="1"/>
  <c r="O23" i="20" s="1"/>
  <c r="R23" i="20"/>
  <c r="N23" i="20"/>
  <c r="L23" i="20"/>
  <c r="L34" i="20" s="1"/>
  <c r="K23" i="20"/>
  <c r="K34" i="20" s="1"/>
  <c r="J23" i="20"/>
  <c r="J34" i="20" s="1"/>
  <c r="I23" i="20"/>
  <c r="I34" i="20" s="1"/>
  <c r="H23" i="20"/>
  <c r="H34" i="20" s="1"/>
  <c r="G23" i="20"/>
  <c r="G34" i="20" s="1"/>
  <c r="F23" i="20"/>
  <c r="F34" i="20" s="1"/>
  <c r="C16" i="20"/>
  <c r="I28" i="20" s="1"/>
  <c r="U28" i="20" s="1"/>
  <c r="B16" i="20"/>
  <c r="E10" i="20"/>
  <c r="E9" i="20"/>
  <c r="E8" i="20"/>
  <c r="E7" i="20"/>
  <c r="E6" i="20"/>
  <c r="E5" i="20"/>
  <c r="E3" i="20"/>
  <c r="B19" i="10"/>
  <c r="B14" i="10"/>
  <c r="B13" i="10"/>
  <c r="B15" i="10"/>
  <c r="B25" i="10"/>
  <c r="B27" i="10"/>
  <c r="C23" i="20" l="1"/>
  <c r="U26" i="20"/>
  <c r="C26" i="20"/>
  <c r="U29" i="20"/>
  <c r="R24" i="20"/>
  <c r="V24" i="20"/>
  <c r="V30" i="20"/>
  <c r="X31" i="20"/>
  <c r="V33" i="20"/>
  <c r="S28" i="20"/>
  <c r="S26" i="20"/>
  <c r="S24" i="20"/>
  <c r="W27" i="20"/>
  <c r="X29" i="20"/>
  <c r="X32" i="20"/>
  <c r="X30" i="20"/>
  <c r="X27" i="20"/>
  <c r="X25" i="20"/>
  <c r="S25" i="20"/>
  <c r="S27" i="20"/>
  <c r="X28" i="20"/>
  <c r="W30" i="20"/>
  <c r="T31" i="20"/>
  <c r="T32" i="20"/>
  <c r="U30" i="20"/>
  <c r="U24" i="20"/>
  <c r="T24" i="20"/>
  <c r="X24" i="20"/>
  <c r="R26" i="20"/>
  <c r="V26" i="20"/>
  <c r="T28" i="20"/>
  <c r="S29" i="20"/>
  <c r="T30" i="20"/>
  <c r="W32" i="20"/>
  <c r="T33" i="20"/>
  <c r="W28" i="20"/>
  <c r="W31" i="20"/>
  <c r="W24" i="20"/>
  <c r="T29" i="20"/>
  <c r="T27" i="20"/>
  <c r="T25" i="20"/>
  <c r="W25" i="20"/>
  <c r="R27" i="20"/>
  <c r="R25" i="20"/>
  <c r="V31" i="20"/>
  <c r="V29" i="20"/>
  <c r="V25" i="20"/>
  <c r="X26" i="20"/>
  <c r="U27" i="20"/>
  <c r="R28" i="20"/>
  <c r="V28" i="20"/>
  <c r="W29" i="20"/>
  <c r="R31" i="20"/>
  <c r="X33" i="20"/>
  <c r="D26" i="20"/>
  <c r="N26" i="20"/>
  <c r="Q23" i="20" s="1"/>
  <c r="J27" i="20"/>
  <c r="V27" i="20" s="1"/>
  <c r="C28" i="20"/>
  <c r="D29" i="20"/>
  <c r="E30" i="20"/>
  <c r="C31" i="20"/>
  <c r="G31" i="20"/>
  <c r="S31" i="20" s="1"/>
  <c r="E32" i="20"/>
  <c r="I32" i="20"/>
  <c r="U32" i="20" s="1"/>
  <c r="C33" i="20"/>
  <c r="G33" i="20"/>
  <c r="S33" i="20" s="1"/>
  <c r="K33" i="20"/>
  <c r="W33" i="20" s="1"/>
  <c r="F30" i="20"/>
  <c r="R30" i="20" s="1"/>
  <c r="F32" i="20"/>
  <c r="R32" i="20" s="1"/>
  <c r="J32" i="20"/>
  <c r="V32" i="20" s="1"/>
  <c r="E23" i="20"/>
  <c r="K26" i="20"/>
  <c r="W26" i="20" s="1"/>
  <c r="E28" i="20"/>
  <c r="N28" i="20"/>
  <c r="S23" i="20" s="1"/>
  <c r="F29" i="20"/>
  <c r="R29" i="20" s="1"/>
  <c r="C30" i="20"/>
  <c r="G30" i="20"/>
  <c r="S30" i="20" s="1"/>
  <c r="E31" i="20"/>
  <c r="I31" i="20"/>
  <c r="U31" i="20" s="1"/>
  <c r="C32" i="20"/>
  <c r="G32" i="20"/>
  <c r="S32" i="20" s="1"/>
  <c r="E33" i="20"/>
  <c r="I33" i="20"/>
  <c r="U33" i="20" s="1"/>
  <c r="C29" i="20"/>
  <c r="D30" i="20"/>
  <c r="D32" i="20"/>
  <c r="F33" i="20"/>
  <c r="R33" i="20" s="1"/>
  <c r="M7" i="9"/>
  <c r="M6" i="9"/>
  <c r="L5" i="9"/>
  <c r="E22" i="23" l="1"/>
  <c r="C34" i="20"/>
  <c r="O30" i="20" s="1"/>
  <c r="E34" i="20"/>
  <c r="D34" i="20"/>
  <c r="P30" i="20" s="1"/>
  <c r="C26" i="15"/>
  <c r="C25" i="15"/>
  <c r="B25" i="15"/>
  <c r="B24" i="15"/>
  <c r="C20" i="15"/>
  <c r="C19" i="15"/>
  <c r="B19" i="15"/>
  <c r="B18" i="15"/>
  <c r="B12" i="15"/>
  <c r="C14" i="15"/>
  <c r="C13" i="15"/>
  <c r="B13" i="15"/>
  <c r="J34" i="16"/>
  <c r="V31" i="16" s="1"/>
  <c r="L33" i="16"/>
  <c r="K33" i="16"/>
  <c r="H33" i="16"/>
  <c r="G33" i="16"/>
  <c r="D33" i="16"/>
  <c r="C33" i="16"/>
  <c r="B33" i="16"/>
  <c r="J33" i="16" s="1"/>
  <c r="L32" i="16"/>
  <c r="K32" i="16"/>
  <c r="I32" i="16"/>
  <c r="E32" i="16"/>
  <c r="B32" i="16"/>
  <c r="H32" i="16" s="1"/>
  <c r="L31" i="16"/>
  <c r="K31" i="16"/>
  <c r="J31" i="16"/>
  <c r="H31" i="16"/>
  <c r="G31" i="16"/>
  <c r="D31" i="16"/>
  <c r="C31" i="16"/>
  <c r="B31" i="16"/>
  <c r="F31" i="16" s="1"/>
  <c r="L30" i="16"/>
  <c r="K30" i="16"/>
  <c r="J30" i="16"/>
  <c r="I30" i="16"/>
  <c r="E30" i="16"/>
  <c r="B30" i="16"/>
  <c r="H30" i="16" s="1"/>
  <c r="N29" i="16"/>
  <c r="L29" i="16"/>
  <c r="K29" i="16"/>
  <c r="J29" i="16"/>
  <c r="I29" i="16"/>
  <c r="H29" i="16"/>
  <c r="G29" i="16"/>
  <c r="E29" i="16"/>
  <c r="D29" i="16"/>
  <c r="C29" i="16"/>
  <c r="B29" i="16"/>
  <c r="F29" i="16" s="1"/>
  <c r="L28" i="16"/>
  <c r="K28" i="16"/>
  <c r="J28" i="16"/>
  <c r="V28" i="16" s="1"/>
  <c r="H28" i="16"/>
  <c r="G28" i="16"/>
  <c r="D28" i="16"/>
  <c r="C28" i="16"/>
  <c r="B28" i="16"/>
  <c r="F28" i="16" s="1"/>
  <c r="L27" i="16"/>
  <c r="K27" i="16"/>
  <c r="I27" i="16"/>
  <c r="H27" i="16"/>
  <c r="G27" i="16"/>
  <c r="F27" i="16"/>
  <c r="B27" i="16"/>
  <c r="N27" i="16" s="1"/>
  <c r="R23" i="16" s="1"/>
  <c r="L26" i="16"/>
  <c r="J26" i="16"/>
  <c r="I26" i="16"/>
  <c r="H26" i="16"/>
  <c r="G26" i="16"/>
  <c r="F26" i="16"/>
  <c r="E26" i="16"/>
  <c r="B26" i="16"/>
  <c r="N26" i="16" s="1"/>
  <c r="Q23" i="16" s="1"/>
  <c r="L25" i="16"/>
  <c r="K25" i="16"/>
  <c r="J25" i="16"/>
  <c r="I25" i="16"/>
  <c r="H25" i="16"/>
  <c r="G25" i="16"/>
  <c r="F25" i="16"/>
  <c r="E25" i="16"/>
  <c r="D25" i="16"/>
  <c r="B25" i="16"/>
  <c r="D23" i="16" s="1"/>
  <c r="L24" i="16"/>
  <c r="K24" i="16"/>
  <c r="J24" i="16"/>
  <c r="I24" i="16"/>
  <c r="H24" i="16"/>
  <c r="G24" i="16"/>
  <c r="F24" i="16"/>
  <c r="E24" i="16"/>
  <c r="D24" i="16"/>
  <c r="B24" i="16"/>
  <c r="N24" i="16" s="1"/>
  <c r="O23" i="16" s="1"/>
  <c r="N23" i="16"/>
  <c r="L23" i="16"/>
  <c r="L34" i="16" s="1"/>
  <c r="K23" i="16"/>
  <c r="K34" i="16" s="1"/>
  <c r="J23" i="16"/>
  <c r="H23" i="16"/>
  <c r="H34" i="16" s="1"/>
  <c r="G23" i="16"/>
  <c r="G34" i="16" s="1"/>
  <c r="C16" i="16"/>
  <c r="I28" i="16" s="1"/>
  <c r="B16" i="16"/>
  <c r="E10" i="16"/>
  <c r="E9" i="16"/>
  <c r="E8" i="16"/>
  <c r="E7" i="16"/>
  <c r="E6" i="16"/>
  <c r="E5" i="16"/>
  <c r="E3" i="16"/>
  <c r="J10" i="14"/>
  <c r="L10" i="14"/>
  <c r="M10" i="14"/>
  <c r="N10" i="14"/>
  <c r="O10" i="14"/>
  <c r="K10" i="14"/>
  <c r="O31" i="20" l="1"/>
  <c r="Q24" i="20"/>
  <c r="Q25" i="20"/>
  <c r="Q27" i="20"/>
  <c r="Q26" i="20"/>
  <c r="Q29" i="20"/>
  <c r="Q32" i="20"/>
  <c r="Q30" i="20"/>
  <c r="Q33" i="20"/>
  <c r="P27" i="20"/>
  <c r="P25" i="20"/>
  <c r="P28" i="20"/>
  <c r="P33" i="20"/>
  <c r="P24" i="20"/>
  <c r="P31" i="20"/>
  <c r="O24" i="20"/>
  <c r="O26" i="20"/>
  <c r="O27" i="20"/>
  <c r="O25" i="20"/>
  <c r="Z25" i="20" s="1"/>
  <c r="F7" i="20" s="1"/>
  <c r="P32" i="20"/>
  <c r="O32" i="20"/>
  <c r="Q28" i="20"/>
  <c r="Q31" i="20"/>
  <c r="Z30" i="20"/>
  <c r="F12" i="20" s="1"/>
  <c r="O33" i="20"/>
  <c r="P26" i="20"/>
  <c r="O28" i="20"/>
  <c r="P29" i="20"/>
  <c r="O29" i="20"/>
  <c r="V26" i="16"/>
  <c r="C23" i="16"/>
  <c r="V30" i="16"/>
  <c r="V33" i="16"/>
  <c r="D26" i="16"/>
  <c r="C25" i="16"/>
  <c r="N25" i="16"/>
  <c r="P23" i="16" s="1"/>
  <c r="T27" i="16"/>
  <c r="T24" i="16"/>
  <c r="T28" i="16"/>
  <c r="W32" i="16"/>
  <c r="W30" i="16"/>
  <c r="W27" i="16"/>
  <c r="S24" i="16"/>
  <c r="W24" i="16"/>
  <c r="X26" i="16"/>
  <c r="W28" i="16"/>
  <c r="T33" i="16"/>
  <c r="S26" i="16"/>
  <c r="S27" i="16"/>
  <c r="X32" i="16"/>
  <c r="X30" i="16"/>
  <c r="X27" i="16"/>
  <c r="X24" i="16"/>
  <c r="X28" i="16"/>
  <c r="T26" i="16"/>
  <c r="S28" i="16"/>
  <c r="T30" i="16"/>
  <c r="W31" i="16"/>
  <c r="W33" i="16"/>
  <c r="S25" i="16"/>
  <c r="W25" i="16"/>
  <c r="S29" i="16"/>
  <c r="W29" i="16"/>
  <c r="S31" i="16"/>
  <c r="X31" i="16"/>
  <c r="X33" i="16"/>
  <c r="T25" i="16"/>
  <c r="X25" i="16"/>
  <c r="T29" i="16"/>
  <c r="X29" i="16"/>
  <c r="T31" i="16"/>
  <c r="T32" i="16"/>
  <c r="S33" i="16"/>
  <c r="J27" i="16"/>
  <c r="V27" i="16" s="1"/>
  <c r="E23" i="16"/>
  <c r="I23" i="16"/>
  <c r="I34" i="16" s="1"/>
  <c r="U32" i="16" s="1"/>
  <c r="V24" i="16"/>
  <c r="C26" i="16"/>
  <c r="K26" i="16"/>
  <c r="W26" i="16" s="1"/>
  <c r="D27" i="16"/>
  <c r="E28" i="16"/>
  <c r="N28" i="16"/>
  <c r="S23" i="16" s="1"/>
  <c r="C30" i="16"/>
  <c r="G30" i="16"/>
  <c r="S30" i="16" s="1"/>
  <c r="E31" i="16"/>
  <c r="I31" i="16"/>
  <c r="C32" i="16"/>
  <c r="G32" i="16"/>
  <c r="S32" i="16" s="1"/>
  <c r="E33" i="16"/>
  <c r="I33" i="16"/>
  <c r="V25" i="16"/>
  <c r="C27" i="16"/>
  <c r="V29" i="16"/>
  <c r="F30" i="16"/>
  <c r="F32" i="16"/>
  <c r="J32" i="16"/>
  <c r="V32" i="16" s="1"/>
  <c r="F23" i="16"/>
  <c r="E27" i="16"/>
  <c r="D30" i="16"/>
  <c r="D32" i="16"/>
  <c r="F33" i="16"/>
  <c r="Z24" i="20" l="1"/>
  <c r="F6" i="20" s="1"/>
  <c r="Z31" i="20"/>
  <c r="F13" i="20" s="1"/>
  <c r="Z27" i="20"/>
  <c r="F9" i="20" s="1"/>
  <c r="Z28" i="20"/>
  <c r="F10" i="20" s="1"/>
  <c r="Z29" i="20"/>
  <c r="F11" i="20" s="1"/>
  <c r="Z33" i="20"/>
  <c r="F15" i="20" s="1"/>
  <c r="Z32" i="20"/>
  <c r="F14" i="20" s="1"/>
  <c r="Z26" i="20"/>
  <c r="F8" i="20" s="1"/>
  <c r="F34" i="16"/>
  <c r="R31" i="16" s="1"/>
  <c r="E34" i="16"/>
  <c r="Q33" i="16" s="1"/>
  <c r="R27" i="16"/>
  <c r="U24" i="16"/>
  <c r="U25" i="16"/>
  <c r="U29" i="16"/>
  <c r="C34" i="16"/>
  <c r="O26" i="16" s="1"/>
  <c r="D34" i="16"/>
  <c r="P32" i="16" s="1"/>
  <c r="R30" i="16"/>
  <c r="U33" i="16"/>
  <c r="U31" i="16"/>
  <c r="U26" i="16"/>
  <c r="U27" i="16"/>
  <c r="R25" i="16"/>
  <c r="R24" i="16"/>
  <c r="R26" i="16"/>
  <c r="U30" i="16"/>
  <c r="U28" i="16"/>
  <c r="R28" i="16" l="1"/>
  <c r="R32" i="16"/>
  <c r="F16" i="20"/>
  <c r="Z34" i="20"/>
  <c r="R29" i="16"/>
  <c r="R33" i="16"/>
  <c r="Q27" i="16"/>
  <c r="Q28" i="16"/>
  <c r="Q31" i="16"/>
  <c r="P24" i="16"/>
  <c r="P28" i="16"/>
  <c r="P29" i="16"/>
  <c r="P26" i="16"/>
  <c r="P31" i="16"/>
  <c r="P25" i="16"/>
  <c r="P33" i="16"/>
  <c r="Q24" i="16"/>
  <c r="Q25" i="16"/>
  <c r="Q29" i="16"/>
  <c r="Q26" i="16"/>
  <c r="Q32" i="16"/>
  <c r="Q30" i="16"/>
  <c r="P30" i="16"/>
  <c r="O24" i="16"/>
  <c r="O28" i="16"/>
  <c r="O33" i="16"/>
  <c r="O31" i="16"/>
  <c r="O25" i="16"/>
  <c r="O29" i="16"/>
  <c r="O30" i="16"/>
  <c r="P27" i="16"/>
  <c r="O32" i="16"/>
  <c r="O27" i="16"/>
  <c r="Z27" i="16" l="1"/>
  <c r="F9" i="16" s="1"/>
  <c r="Z29" i="16"/>
  <c r="F11" i="16" s="1"/>
  <c r="Z28" i="16"/>
  <c r="F10" i="16" s="1"/>
  <c r="Z26" i="16"/>
  <c r="F8" i="16" s="1"/>
  <c r="Z31" i="16"/>
  <c r="F13" i="16" s="1"/>
  <c r="Z32" i="16"/>
  <c r="F14" i="16" s="1"/>
  <c r="Z25" i="16"/>
  <c r="F7" i="16" s="1"/>
  <c r="Z30" i="16"/>
  <c r="F12" i="16" s="1"/>
  <c r="Z33" i="16"/>
  <c r="F15" i="16" s="1"/>
  <c r="Z24" i="16"/>
  <c r="Z34" i="16" l="1"/>
  <c r="F6" i="16"/>
  <c r="F16" i="16" s="1"/>
  <c r="B33" i="14" l="1"/>
  <c r="C40" i="14"/>
  <c r="C34" i="14"/>
  <c r="C39" i="14"/>
  <c r="B39" i="14"/>
  <c r="B38" i="14"/>
  <c r="C33" i="14"/>
  <c r="B32" i="14"/>
  <c r="C28" i="14"/>
  <c r="C27" i="14"/>
  <c r="B27" i="14"/>
  <c r="B26" i="14"/>
  <c r="C22" i="14"/>
  <c r="C21" i="14"/>
  <c r="B21" i="14"/>
  <c r="B20" i="14"/>
  <c r="C16" i="14"/>
  <c r="C15" i="14"/>
  <c r="B15" i="14"/>
  <c r="B14" i="14"/>
  <c r="B16" i="14"/>
  <c r="K4" i="10"/>
  <c r="K5" i="10"/>
  <c r="K6" i="10"/>
  <c r="I7" i="10"/>
  <c r="AB14" i="10"/>
  <c r="O6" i="10"/>
  <c r="M6" i="10"/>
  <c r="AB13" i="10"/>
  <c r="O5" i="10"/>
  <c r="M5" i="10"/>
  <c r="AB12" i="10"/>
  <c r="O4" i="10"/>
  <c r="M4" i="10"/>
  <c r="J7" i="10" l="1"/>
  <c r="N7" i="10"/>
  <c r="L7" i="10"/>
  <c r="P7" i="10"/>
  <c r="L6" i="9" l="1"/>
  <c r="B21" i="10"/>
  <c r="G5" i="9"/>
  <c r="J5" i="9"/>
  <c r="K7" i="9"/>
  <c r="E7" i="13"/>
  <c r="E8" i="13"/>
  <c r="E9" i="13"/>
  <c r="E10" i="13"/>
  <c r="E6" i="13"/>
  <c r="B27" i="13"/>
  <c r="F23" i="13" s="1"/>
  <c r="B28" i="13"/>
  <c r="N28" i="13" s="1"/>
  <c r="S23" i="13" s="1"/>
  <c r="B29" i="13"/>
  <c r="N29" i="13" s="1"/>
  <c r="B30" i="13"/>
  <c r="H30" i="13" s="1"/>
  <c r="B31" i="13"/>
  <c r="F31" i="13" s="1"/>
  <c r="B32" i="13"/>
  <c r="H32" i="13" s="1"/>
  <c r="B33" i="13"/>
  <c r="I33" i="13" s="1"/>
  <c r="B25" i="13"/>
  <c r="N25" i="13" s="1"/>
  <c r="P23" i="13" s="1"/>
  <c r="B26" i="13"/>
  <c r="E23" i="13" s="1"/>
  <c r="D28" i="13"/>
  <c r="B24" i="13"/>
  <c r="C23" i="13" s="1"/>
  <c r="L33" i="13"/>
  <c r="H33" i="13"/>
  <c r="L32" i="13"/>
  <c r="K32" i="13"/>
  <c r="G32" i="13"/>
  <c r="D32" i="13"/>
  <c r="C32" i="13"/>
  <c r="L31" i="13"/>
  <c r="K31" i="13"/>
  <c r="J31" i="13"/>
  <c r="E31" i="13"/>
  <c r="L30" i="13"/>
  <c r="K30" i="13"/>
  <c r="J30" i="13"/>
  <c r="I30" i="13"/>
  <c r="D30" i="13"/>
  <c r="L29" i="13"/>
  <c r="K29" i="13"/>
  <c r="J29" i="13"/>
  <c r="I29" i="13"/>
  <c r="H29" i="13"/>
  <c r="F29" i="13"/>
  <c r="L28" i="13"/>
  <c r="K28" i="13"/>
  <c r="J28" i="13"/>
  <c r="H28" i="13"/>
  <c r="G28" i="13"/>
  <c r="L27" i="13"/>
  <c r="K27" i="13"/>
  <c r="I27" i="13"/>
  <c r="H27" i="13"/>
  <c r="G27" i="13"/>
  <c r="F27" i="13"/>
  <c r="L26" i="13"/>
  <c r="J26" i="13"/>
  <c r="I26" i="13"/>
  <c r="H26" i="13"/>
  <c r="G26" i="13"/>
  <c r="F26" i="13"/>
  <c r="E26" i="13"/>
  <c r="L25" i="13"/>
  <c r="K25" i="13"/>
  <c r="J25" i="13"/>
  <c r="I25" i="13"/>
  <c r="H25" i="13"/>
  <c r="G25" i="13"/>
  <c r="F25" i="13"/>
  <c r="E25" i="13"/>
  <c r="D25" i="13"/>
  <c r="L24" i="13"/>
  <c r="K24" i="13"/>
  <c r="J24" i="13"/>
  <c r="I24" i="13"/>
  <c r="H24" i="13"/>
  <c r="G24" i="13"/>
  <c r="C28" i="13" s="1"/>
  <c r="F24" i="13"/>
  <c r="E24" i="13"/>
  <c r="D24" i="13"/>
  <c r="N23" i="13"/>
  <c r="K23" i="13"/>
  <c r="K34" i="13" s="1"/>
  <c r="G23" i="13"/>
  <c r="C16" i="13"/>
  <c r="K26" i="13" s="1"/>
  <c r="B16" i="13"/>
  <c r="E5" i="13"/>
  <c r="E3" i="13"/>
  <c r="D23" i="13" l="1"/>
  <c r="C25" i="13"/>
  <c r="W26" i="13"/>
  <c r="N27" i="13"/>
  <c r="R23" i="13" s="1"/>
  <c r="J23" i="13"/>
  <c r="J34" i="13" s="1"/>
  <c r="V24" i="13" s="1"/>
  <c r="C26" i="13"/>
  <c r="I31" i="13"/>
  <c r="J32" i="13"/>
  <c r="N24" i="13"/>
  <c r="O23" i="13" s="1"/>
  <c r="N26" i="13"/>
  <c r="Q23" i="13" s="1"/>
  <c r="W25" i="13"/>
  <c r="D27" i="13"/>
  <c r="E27" i="13"/>
  <c r="V25" i="13"/>
  <c r="I7" i="9"/>
  <c r="J6" i="9"/>
  <c r="I5" i="9"/>
  <c r="J7" i="9"/>
  <c r="K6" i="9"/>
  <c r="I6" i="9"/>
  <c r="K5" i="9"/>
  <c r="L7" i="9"/>
  <c r="F30" i="13"/>
  <c r="G30" i="13"/>
  <c r="E33" i="13"/>
  <c r="I23" i="13"/>
  <c r="I34" i="13" s="1"/>
  <c r="U30" i="13" s="1"/>
  <c r="E30" i="13"/>
  <c r="C30" i="13"/>
  <c r="F28" i="13"/>
  <c r="D26" i="13"/>
  <c r="E28" i="13"/>
  <c r="W24" i="13"/>
  <c r="V28" i="13"/>
  <c r="W30" i="13"/>
  <c r="I28" i="13"/>
  <c r="J27" i="13"/>
  <c r="V27" i="13" s="1"/>
  <c r="C27" i="13"/>
  <c r="W27" i="13"/>
  <c r="V30" i="13"/>
  <c r="W32" i="13"/>
  <c r="D29" i="13"/>
  <c r="H23" i="13"/>
  <c r="H34" i="13" s="1"/>
  <c r="G29" i="13"/>
  <c r="C29" i="13"/>
  <c r="W29" i="13"/>
  <c r="W31" i="13"/>
  <c r="F34" i="13"/>
  <c r="V26" i="13"/>
  <c r="W28" i="13"/>
  <c r="E29" i="13"/>
  <c r="V29" i="13"/>
  <c r="H31" i="13"/>
  <c r="D31" i="13"/>
  <c r="G31" i="13"/>
  <c r="C31" i="13"/>
  <c r="V31" i="13"/>
  <c r="E32" i="13"/>
  <c r="I32" i="13"/>
  <c r="C33" i="13"/>
  <c r="G33" i="13"/>
  <c r="K33" i="13"/>
  <c r="W33" i="13" s="1"/>
  <c r="F33" i="13"/>
  <c r="J33" i="13"/>
  <c r="V33" i="13" s="1"/>
  <c r="L23" i="13"/>
  <c r="L34" i="13" s="1"/>
  <c r="X30" i="13" s="1"/>
  <c r="F32" i="13"/>
  <c r="D33" i="13"/>
  <c r="I30" i="2"/>
  <c r="L25" i="2"/>
  <c r="L26" i="2"/>
  <c r="L27" i="2"/>
  <c r="L28" i="2"/>
  <c r="L29" i="2"/>
  <c r="L30" i="2"/>
  <c r="L31" i="2"/>
  <c r="L32" i="2"/>
  <c r="K25" i="2"/>
  <c r="K27" i="2"/>
  <c r="K28" i="2"/>
  <c r="K29" i="2"/>
  <c r="K30" i="2"/>
  <c r="K31" i="2"/>
  <c r="J25" i="2"/>
  <c r="J26" i="2"/>
  <c r="J28" i="2"/>
  <c r="J29" i="2"/>
  <c r="J30" i="2"/>
  <c r="I25" i="2"/>
  <c r="I26" i="2"/>
  <c r="I27" i="2"/>
  <c r="I29" i="2"/>
  <c r="H25" i="2"/>
  <c r="H26" i="2"/>
  <c r="H27" i="2"/>
  <c r="H28" i="2"/>
  <c r="L24" i="2"/>
  <c r="K24" i="2"/>
  <c r="J24" i="2"/>
  <c r="I24" i="2"/>
  <c r="H24" i="2"/>
  <c r="G25" i="2"/>
  <c r="B30" i="2"/>
  <c r="B31" i="2"/>
  <c r="B32" i="2"/>
  <c r="B33" i="2"/>
  <c r="B29" i="2"/>
  <c r="C26" i="10"/>
  <c r="B26" i="10"/>
  <c r="C20" i="10"/>
  <c r="B20" i="10"/>
  <c r="V32" i="13" l="1"/>
  <c r="E34" i="13"/>
  <c r="Q27" i="13" s="1"/>
  <c r="R30" i="13"/>
  <c r="U29" i="13"/>
  <c r="U25" i="13"/>
  <c r="U32" i="13"/>
  <c r="U27" i="13"/>
  <c r="U24" i="13"/>
  <c r="U28" i="13"/>
  <c r="U31" i="13"/>
  <c r="U26" i="13"/>
  <c r="U33" i="13"/>
  <c r="G34" i="13"/>
  <c r="S27" i="13" s="1"/>
  <c r="T24" i="13"/>
  <c r="T26" i="13"/>
  <c r="T29" i="13"/>
  <c r="T25" i="13"/>
  <c r="R24" i="13"/>
  <c r="R33" i="13"/>
  <c r="T31" i="13"/>
  <c r="Q24" i="13"/>
  <c r="T28" i="13"/>
  <c r="X28" i="13"/>
  <c r="D34" i="13"/>
  <c r="P31" i="13" s="1"/>
  <c r="R28" i="13"/>
  <c r="R32" i="13"/>
  <c r="T33" i="13"/>
  <c r="C34" i="13"/>
  <c r="O27" i="13" s="1"/>
  <c r="T32" i="13"/>
  <c r="R27" i="13"/>
  <c r="R25" i="13"/>
  <c r="X33" i="13"/>
  <c r="X31" i="13"/>
  <c r="X29" i="13"/>
  <c r="X24" i="13"/>
  <c r="X26" i="13"/>
  <c r="Q33" i="13"/>
  <c r="R26" i="13"/>
  <c r="X32" i="13"/>
  <c r="X25" i="13"/>
  <c r="T30" i="13"/>
  <c r="T27" i="13"/>
  <c r="R29" i="13"/>
  <c r="X27" i="13"/>
  <c r="R31" i="13"/>
  <c r="Q26" i="13" l="1"/>
  <c r="Q25" i="13"/>
  <c r="Q31" i="13"/>
  <c r="Q29" i="13"/>
  <c r="Q32" i="13"/>
  <c r="Q28" i="13"/>
  <c r="Q30" i="13"/>
  <c r="S33" i="13"/>
  <c r="S26" i="13"/>
  <c r="S30" i="13"/>
  <c r="S29" i="13"/>
  <c r="S31" i="13"/>
  <c r="S25" i="13"/>
  <c r="S28" i="13"/>
  <c r="O33" i="13"/>
  <c r="S24" i="13"/>
  <c r="S32" i="13"/>
  <c r="O31" i="13"/>
  <c r="O24" i="13"/>
  <c r="O26" i="13"/>
  <c r="O28" i="13"/>
  <c r="O32" i="13"/>
  <c r="O25" i="13"/>
  <c r="O30" i="13"/>
  <c r="P24" i="13"/>
  <c r="P30" i="13"/>
  <c r="P32" i="13"/>
  <c r="P26" i="13"/>
  <c r="P25" i="13"/>
  <c r="P28" i="13"/>
  <c r="P27" i="13"/>
  <c r="Z27" i="13" s="1"/>
  <c r="F9" i="13" s="1"/>
  <c r="P33" i="13"/>
  <c r="O29" i="13"/>
  <c r="P29" i="13"/>
  <c r="L33" i="2"/>
  <c r="K33" i="2"/>
  <c r="I33" i="2"/>
  <c r="G33" i="2"/>
  <c r="E33" i="2"/>
  <c r="D33" i="2"/>
  <c r="C33" i="2"/>
  <c r="J33" i="2"/>
  <c r="K32" i="2"/>
  <c r="W32" i="2" s="1"/>
  <c r="J32" i="2"/>
  <c r="J31" i="2"/>
  <c r="I31" i="2"/>
  <c r="G31" i="2"/>
  <c r="E31" i="2"/>
  <c r="C31" i="2"/>
  <c r="H31" i="2"/>
  <c r="H30" i="2"/>
  <c r="D30" i="2"/>
  <c r="G30" i="2"/>
  <c r="H29" i="2"/>
  <c r="G29" i="2"/>
  <c r="E29" i="2"/>
  <c r="D29" i="2"/>
  <c r="C29" i="2"/>
  <c r="F29" i="2"/>
  <c r="G28" i="2"/>
  <c r="D28" i="2"/>
  <c r="G27" i="2"/>
  <c r="F28" i="2" s="1"/>
  <c r="F27" i="2"/>
  <c r="N26" i="2"/>
  <c r="G26" i="2"/>
  <c r="F26" i="2"/>
  <c r="E27" i="2" s="1"/>
  <c r="E26" i="2"/>
  <c r="N25" i="2"/>
  <c r="F25" i="2"/>
  <c r="D27" i="2" s="1"/>
  <c r="E25" i="2"/>
  <c r="D26" i="2" s="1"/>
  <c r="D25" i="2"/>
  <c r="N24" i="2"/>
  <c r="G24" i="2"/>
  <c r="F24" i="2"/>
  <c r="E24" i="2"/>
  <c r="C26" i="2" s="1"/>
  <c r="D24" i="2"/>
  <c r="N23" i="2"/>
  <c r="L23" i="2"/>
  <c r="L34" i="2" s="1"/>
  <c r="K23" i="2"/>
  <c r="K34" i="2" s="1"/>
  <c r="J23" i="2"/>
  <c r="J34" i="2" s="1"/>
  <c r="I23" i="2"/>
  <c r="I34" i="2" s="1"/>
  <c r="H23" i="2"/>
  <c r="H34" i="2" s="1"/>
  <c r="G23" i="2"/>
  <c r="F23" i="2"/>
  <c r="E23" i="2"/>
  <c r="D23" i="2"/>
  <c r="C23" i="2"/>
  <c r="O23" i="2" s="1"/>
  <c r="E7" i="2"/>
  <c r="E5" i="2"/>
  <c r="E3" i="2"/>
  <c r="X24" i="2" l="1"/>
  <c r="X30" i="2"/>
  <c r="X31" i="2"/>
  <c r="X25" i="2"/>
  <c r="X28" i="2"/>
  <c r="X26" i="2"/>
  <c r="X29" i="2"/>
  <c r="X32" i="2"/>
  <c r="X27" i="2"/>
  <c r="V29" i="2"/>
  <c r="V25" i="2"/>
  <c r="V30" i="2"/>
  <c r="V26" i="2"/>
  <c r="V24" i="2"/>
  <c r="V28" i="2"/>
  <c r="W27" i="2"/>
  <c r="W30" i="2"/>
  <c r="W28" i="2"/>
  <c r="W24" i="2"/>
  <c r="W29" i="2"/>
  <c r="W25" i="2"/>
  <c r="W31" i="2"/>
  <c r="V32" i="2"/>
  <c r="W33" i="2"/>
  <c r="X33" i="2"/>
  <c r="U27" i="2"/>
  <c r="U26" i="2"/>
  <c r="U29" i="2"/>
  <c r="U24" i="2"/>
  <c r="U25" i="2"/>
  <c r="U30" i="2"/>
  <c r="T29" i="2"/>
  <c r="T31" i="2"/>
  <c r="U31" i="2"/>
  <c r="V33" i="2"/>
  <c r="T30" i="2"/>
  <c r="T27" i="2"/>
  <c r="T28" i="2"/>
  <c r="T24" i="2"/>
  <c r="T25" i="2"/>
  <c r="T26" i="2"/>
  <c r="V31" i="2"/>
  <c r="U33" i="2"/>
  <c r="Z33" i="13"/>
  <c r="F15" i="13" s="1"/>
  <c r="C25" i="2"/>
  <c r="C27" i="2"/>
  <c r="I28" i="2"/>
  <c r="U28" i="2" s="1"/>
  <c r="K26" i="2"/>
  <c r="W26" i="2" s="1"/>
  <c r="J27" i="2"/>
  <c r="V27" i="2" s="1"/>
  <c r="Z31" i="13"/>
  <c r="F13" i="13" s="1"/>
  <c r="Z25" i="13"/>
  <c r="F7" i="13" s="1"/>
  <c r="Z24" i="13"/>
  <c r="F6" i="13" s="1"/>
  <c r="Z32" i="13"/>
  <c r="F14" i="13" s="1"/>
  <c r="Z29" i="13"/>
  <c r="F11" i="13" s="1"/>
  <c r="Z28" i="13"/>
  <c r="F10" i="13" s="1"/>
  <c r="Z30" i="13"/>
  <c r="F12" i="13" s="1"/>
  <c r="Z26" i="13"/>
  <c r="F8" i="13" s="1"/>
  <c r="C28" i="2"/>
  <c r="E30" i="2"/>
  <c r="F31" i="2"/>
  <c r="C32" i="2"/>
  <c r="G32" i="2"/>
  <c r="G34" i="2" s="1"/>
  <c r="H33" i="2"/>
  <c r="T33" i="2" s="1"/>
  <c r="F30" i="2"/>
  <c r="D32" i="2"/>
  <c r="H32" i="2"/>
  <c r="T32" i="2" s="1"/>
  <c r="E28" i="2"/>
  <c r="C30" i="2"/>
  <c r="D31" i="2"/>
  <c r="D34" i="2" s="1"/>
  <c r="E32" i="2"/>
  <c r="I32" i="2"/>
  <c r="U32" i="2" s="1"/>
  <c r="F33" i="2"/>
  <c r="F32" i="2"/>
  <c r="S28" i="2" l="1"/>
  <c r="S32" i="2"/>
  <c r="S27" i="2"/>
  <c r="S25" i="2"/>
  <c r="S33" i="2"/>
  <c r="S26" i="2"/>
  <c r="S31" i="2"/>
  <c r="P26" i="2"/>
  <c r="P30" i="2"/>
  <c r="P27" i="2"/>
  <c r="P31" i="2"/>
  <c r="P28" i="2"/>
  <c r="P32" i="2"/>
  <c r="P25" i="2"/>
  <c r="P33" i="2"/>
  <c r="S24" i="2"/>
  <c r="S29" i="2"/>
  <c r="S30" i="2"/>
  <c r="P24" i="2"/>
  <c r="P29" i="2"/>
  <c r="F16" i="13"/>
  <c r="Z34" i="13"/>
  <c r="F34" i="2"/>
  <c r="R31" i="2" s="1"/>
  <c r="E34" i="2"/>
  <c r="C34" i="2"/>
  <c r="O24" i="2" l="1"/>
  <c r="O33" i="2"/>
  <c r="O26" i="2"/>
  <c r="O29" i="2"/>
  <c r="O31" i="2"/>
  <c r="Q28" i="2"/>
  <c r="Q31" i="2"/>
  <c r="Q25" i="2"/>
  <c r="Q33" i="2"/>
  <c r="Q26" i="2"/>
  <c r="Q30" i="2"/>
  <c r="Q27" i="2"/>
  <c r="Q29" i="2"/>
  <c r="Q24" i="2"/>
  <c r="O25" i="2"/>
  <c r="Q32" i="2"/>
  <c r="O28" i="2"/>
  <c r="R26" i="2"/>
  <c r="R30" i="2"/>
  <c r="R25" i="2"/>
  <c r="R33" i="2"/>
  <c r="R27" i="2"/>
  <c r="R28" i="2"/>
  <c r="R32" i="2"/>
  <c r="R29" i="2"/>
  <c r="R24" i="2"/>
  <c r="O30" i="2"/>
  <c r="Z30" i="2" s="1"/>
  <c r="F12" i="2" s="1"/>
  <c r="O32" i="2"/>
  <c r="Z32" i="2" s="1"/>
  <c r="F14" i="2" s="1"/>
  <c r="O27" i="2"/>
  <c r="Z26" i="2" l="1"/>
  <c r="F8" i="2" s="1"/>
  <c r="Z25" i="2"/>
  <c r="F7" i="2" s="1"/>
  <c r="Z27" i="2"/>
  <c r="F9" i="2" s="1"/>
  <c r="Z33" i="2"/>
  <c r="F15" i="2" s="1"/>
  <c r="Z28" i="2"/>
  <c r="F10" i="2" s="1"/>
  <c r="Z31" i="2"/>
  <c r="F13" i="2" s="1"/>
  <c r="Z24" i="2"/>
  <c r="Z29" i="2"/>
  <c r="F11" i="2" s="1"/>
  <c r="F6" i="2" l="1"/>
  <c r="F16" i="2" s="1"/>
  <c r="Z34" i="2"/>
  <c r="I8" i="15"/>
</calcChain>
</file>

<file path=xl/sharedStrings.xml><?xml version="1.0" encoding="utf-8"?>
<sst xmlns="http://schemas.openxmlformats.org/spreadsheetml/2006/main" count="333" uniqueCount="162">
  <si>
    <t xml:space="preserve">Coeficiente </t>
  </si>
  <si>
    <t>Precio</t>
  </si>
  <si>
    <t>Peso (Kg)</t>
  </si>
  <si>
    <t>Área (m^2)</t>
  </si>
  <si>
    <t>CRITERIO</t>
  </si>
  <si>
    <t>IMPORTANCIA</t>
  </si>
  <si>
    <t>PONDERADO</t>
  </si>
  <si>
    <t>SUMA</t>
  </si>
  <si>
    <t>criterio</t>
  </si>
  <si>
    <t>promedio</t>
  </si>
  <si>
    <t>Coeficiente</t>
  </si>
  <si>
    <t>TOTAL</t>
  </si>
  <si>
    <t>VALORACION</t>
  </si>
  <si>
    <t>COSTOS</t>
  </si>
  <si>
    <t>RANGO</t>
  </si>
  <si>
    <t xml:space="preserve">CALIFICACION </t>
  </si>
  <si>
    <t>PESO</t>
  </si>
  <si>
    <t>COEFICIENTE</t>
  </si>
  <si>
    <t>AREA</t>
  </si>
  <si>
    <t>POTENCIA MAXIMA</t>
  </si>
  <si>
    <t>VALORACIÓN</t>
  </si>
  <si>
    <t>A</t>
  </si>
  <si>
    <t>INVERSOR 1</t>
  </si>
  <si>
    <t>INVERSOR 2</t>
  </si>
  <si>
    <t>INVERSOR 3</t>
  </si>
  <si>
    <t>INVERSOR 4</t>
  </si>
  <si>
    <t>V</t>
  </si>
  <si>
    <t>W</t>
  </si>
  <si>
    <t xml:space="preserve">INVERSOR 3 </t>
  </si>
  <si>
    <t>EFICIENCIA</t>
  </si>
  <si>
    <t>Simbologia</t>
  </si>
  <si>
    <t>corriente de corto circuito proveedor</t>
  </si>
  <si>
    <t>coeficiente de
temperatura de la corriente de corto circuito</t>
  </si>
  <si>
    <t>Iccp</t>
  </si>
  <si>
    <t>Kcc</t>
  </si>
  <si>
    <t>voltaje de circuito abierto del panel proveedor</t>
  </si>
  <si>
    <t>coeficiente de temperatura de la tensión de corto circuito proveedor</t>
  </si>
  <si>
    <t>Vcap</t>
  </si>
  <si>
    <t>Kca</t>
  </si>
  <si>
    <t>Area</t>
  </si>
  <si>
    <t>Peso</t>
  </si>
  <si>
    <t>%/°K</t>
  </si>
  <si>
    <t>corriente en el MPP del provedor</t>
  </si>
  <si>
    <t>Imp</t>
  </si>
  <si>
    <t>voltaje en el MPP del provedor</t>
  </si>
  <si>
    <t>Vmp</t>
  </si>
  <si>
    <t>Calificacion Numérica</t>
  </si>
  <si>
    <t xml:space="preserve">Planteamiento Verbal </t>
  </si>
  <si>
    <t>Explicación</t>
  </si>
  <si>
    <t xml:space="preserve">Extremadamente preferible </t>
  </si>
  <si>
    <t>Moderadamente preferible</t>
  </si>
  <si>
    <t>Igualmente preferible</t>
  </si>
  <si>
    <t>ESTADO</t>
  </si>
  <si>
    <t>TEMPERATURA(°C)</t>
  </si>
  <si>
    <t>STC</t>
  </si>
  <si>
    <t>Tmax</t>
  </si>
  <si>
    <t>Tmin</t>
  </si>
  <si>
    <t>E(W/m^2)</t>
  </si>
  <si>
    <t>CONDICIONES AMBIENTALES</t>
  </si>
  <si>
    <t>MÓDULO FV</t>
  </si>
  <si>
    <t>Icco (A)</t>
  </si>
  <si>
    <t>Vcao (V)</t>
  </si>
  <si>
    <t>Ipmp (A)</t>
  </si>
  <si>
    <t>Vpmp (V)</t>
  </si>
  <si>
    <t>Tc (°C)</t>
  </si>
  <si>
    <t>MÓDULO FOTOVOLTAICO (ficha tecnica)</t>
  </si>
  <si>
    <t>Potencia Nominal</t>
  </si>
  <si>
    <t>Tension de potencia maxima</t>
  </si>
  <si>
    <t>Corriente de potencia maxima</t>
  </si>
  <si>
    <t xml:space="preserve">Voltage en circuito abierto </t>
  </si>
  <si>
    <t xml:space="preserve">Corriente en circuito cerrado </t>
  </si>
  <si>
    <t>Coeficiente de temperatura corriente</t>
  </si>
  <si>
    <t xml:space="preserve">Coeficiente de temperatura voltaje </t>
  </si>
  <si>
    <t xml:space="preserve">Coeficiente de temperatura potencia </t>
  </si>
  <si>
    <t>Temperatura de  la celula en condiciones nominales</t>
  </si>
  <si>
    <t>VALOR</t>
  </si>
  <si>
    <t>UNIDAD</t>
  </si>
  <si>
    <t>°C</t>
  </si>
  <si>
    <t xml:space="preserve">Potencia máxima 
</t>
  </si>
  <si>
    <t>Coeficiente-eficiencia</t>
  </si>
  <si>
    <t>Peso (kg)</t>
  </si>
  <si>
    <t xml:space="preserve">Costos </t>
  </si>
  <si>
    <t xml:space="preserve">Costo </t>
  </si>
  <si>
    <t>Capacidad (Ah)</t>
  </si>
  <si>
    <t xml:space="preserve">Durabilidad </t>
  </si>
  <si>
    <t xml:space="preserve">Mantenibilidad </t>
  </si>
  <si>
    <t>no</t>
  </si>
  <si>
    <t>si</t>
  </si>
  <si>
    <t>CAPACIDAD</t>
  </si>
  <si>
    <t>DURABILIDAD</t>
  </si>
  <si>
    <t>MANTENIBILIDAD</t>
  </si>
  <si>
    <t>Capacidad</t>
  </si>
  <si>
    <t>Criterios de evaluación</t>
  </si>
  <si>
    <t>Protecciones</t>
  </si>
  <si>
    <t>PROTECCIONES</t>
  </si>
  <si>
    <t>Regulador 1</t>
  </si>
  <si>
    <t>Regulador 2</t>
  </si>
  <si>
    <t>Regulador 3</t>
  </si>
  <si>
    <t>Regulador 4</t>
  </si>
  <si>
    <t>Valoración</t>
  </si>
  <si>
    <t>Criterios de Evaluación</t>
  </si>
  <si>
    <t xml:space="preserve">Muy Fuertemente preferible </t>
  </si>
  <si>
    <t>Fuertemente preferible</t>
  </si>
  <si>
    <t>La evidencia favorece en la más alta medida.</t>
  </si>
  <si>
    <t>Un criterio es favorecido muy fuertemente sobre el otro. En la practica se puede mostrar su dominio</t>
  </si>
  <si>
    <t>La experiencia y el juicio favorecen fuertemente a un criterio frente al otro</t>
  </si>
  <si>
    <t>La experiencia y el juicio favorecen un poco a un criterio frente al otro</t>
  </si>
  <si>
    <t>Los dos criterios contribuyen igual al objetivo</t>
  </si>
  <si>
    <t>ESCALAS DE COMPARACIÓN DE SAATY</t>
  </si>
  <si>
    <t>PONDERADO (%)</t>
  </si>
  <si>
    <t xml:space="preserve">Potencia Máxima (W) </t>
  </si>
  <si>
    <t>Precio ($COP)</t>
  </si>
  <si>
    <t>Costos ($COP)</t>
  </si>
  <si>
    <t xml:space="preserve">Potencia máxima (W)
</t>
  </si>
  <si>
    <t xml:space="preserve">CRITERIOS DE EVALUACIÓN </t>
  </si>
  <si>
    <t>CRITERIOS DE EVALUACIÓN</t>
  </si>
  <si>
    <t xml:space="preserve">EVALUACIÓN POR MATRIZ PUGH </t>
  </si>
  <si>
    <t>CARACTERISTICAS DE LOS MODULOS</t>
  </si>
  <si>
    <t>Eficiencia (%)</t>
  </si>
  <si>
    <t>PROMEDIO</t>
  </si>
  <si>
    <t>POTENCIA MAXIMA DE SALIDA (W)</t>
  </si>
  <si>
    <t>EFICIENCIA (%)</t>
  </si>
  <si>
    <t>COSTO ($COP)</t>
  </si>
  <si>
    <t>MÓDULO 1</t>
  </si>
  <si>
    <t>MÓDULO 2</t>
  </si>
  <si>
    <t>MÓDULO 3</t>
  </si>
  <si>
    <t>MÓDULO 4</t>
  </si>
  <si>
    <t>MÓDULO 5</t>
  </si>
  <si>
    <t>Costo ($COP)</t>
  </si>
  <si>
    <t>Durabilidad (semanas)</t>
  </si>
  <si>
    <t>Mantenibilidad (SI/NO)</t>
  </si>
  <si>
    <t>BATERÍA 1</t>
  </si>
  <si>
    <t>BATERÍA 2</t>
  </si>
  <si>
    <t>BATERÍA 3</t>
  </si>
  <si>
    <t>BATERÍA 4</t>
  </si>
  <si>
    <t>NO</t>
  </si>
  <si>
    <t>SI</t>
  </si>
  <si>
    <t>CARACTERISTICAS DE LOS INVERSORES</t>
  </si>
  <si>
    <t>CARACTERISTICAS DE LAS BATERÍAS</t>
  </si>
  <si>
    <t>CARACTERISTICAS DE LOS REGULADORES</t>
  </si>
  <si>
    <t>FORMULAS UTILIZADAS</t>
  </si>
  <si>
    <t>Condiciones</t>
  </si>
  <si>
    <t>MES</t>
  </si>
  <si>
    <t>N</t>
  </si>
  <si>
    <t>ANN</t>
  </si>
  <si>
    <t>HSP</t>
  </si>
  <si>
    <r>
      <t>H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[kWh/(m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.día)]</t>
    </r>
  </si>
  <si>
    <r>
      <t>H</t>
    </r>
    <r>
      <rPr>
        <vertAlign val="sub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[kWh/(m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.año)]</t>
    </r>
  </si>
  <si>
    <t>DATOS MEDIOS DIARIOS MENSUALES EN EL PLANO INCLINADO [kWh/(m2.día)]</t>
  </si>
  <si>
    <t>Enero</t>
  </si>
  <si>
    <t>Febrero</t>
  </si>
  <si>
    <t xml:space="preserve">Marzo 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</si>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</sst>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0.0"/>
    <numFmt numFmtId="165" formatCode="_-&quot;$&quot;\ * #,##0_-;\-&quot;$&quot;\ * #,##0_-;_-&quot;$&quot;\ * &quot;-&quot;??_-;_-@_-"/>
    <numFmt numFmtId="166" formatCode="_-&quot;$&quot;\ * #,##0.00_-;\-&quot;$&quot;\ * #,##0.00_-;_-&quot;$&quot;\ * &quot;-&quot;??_-;_-@_-"/>
    <numFmt numFmtId="167" formatCode="&quot;$&quot;#,##0.00"/>
    <numFmt numFmtId="168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omic Sans MS"/>
      <family val="4"/>
    </font>
    <font>
      <sz val="32"/>
      <color rgb="FF1D8649"/>
      <name val="Arial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vertical="center" wrapText="1"/>
    </xf>
    <xf numFmtId="166" fontId="0" fillId="0" borderId="1" xfId="2" applyFont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1" fontId="0" fillId="0" borderId="1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2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0" borderId="1" xfId="2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3" fontId="4" fillId="0" borderId="0" xfId="0" applyNumberFormat="1" applyFont="1"/>
    <xf numFmtId="1" fontId="0" fillId="0" borderId="0" xfId="1" applyNumberFormat="1" applyFont="1" applyBorder="1" applyAlignment="1">
      <alignment horizontal="center"/>
    </xf>
    <xf numFmtId="0" fontId="0" fillId="0" borderId="1" xfId="2" applyNumberFormat="1" applyFont="1" applyBorder="1" applyAlignment="1">
      <alignment horizontal="center" vertical="center"/>
    </xf>
    <xf numFmtId="167" fontId="0" fillId="0" borderId="1" xfId="2" applyNumberFormat="1" applyFont="1" applyFill="1" applyBorder="1" applyAlignment="1">
      <alignment horizontal="center"/>
    </xf>
    <xf numFmtId="168" fontId="0" fillId="0" borderId="1" xfId="2" applyNumberFormat="1" applyFon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/>
    </xf>
    <xf numFmtId="0" fontId="0" fillId="0" borderId="1" xfId="2" applyNumberFormat="1" applyFont="1" applyFill="1" applyBorder="1" applyAlignment="1">
      <alignment horizontal="center" vertical="center"/>
    </xf>
    <xf numFmtId="168" fontId="0" fillId="0" borderId="1" xfId="2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6" borderId="6" xfId="0" applyFill="1" applyBorder="1"/>
    <xf numFmtId="0" fontId="0" fillId="6" borderId="7" xfId="0" applyFill="1" applyBorder="1"/>
    <xf numFmtId="0" fontId="0" fillId="6" borderId="9" xfId="0" applyFill="1" applyBorder="1"/>
    <xf numFmtId="0" fontId="0" fillId="6" borderId="10" xfId="0" applyFill="1" applyBorder="1"/>
    <xf numFmtId="0" fontId="0" fillId="0" borderId="11" xfId="0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6" borderId="12" xfId="0" applyFill="1" applyBorder="1"/>
    <xf numFmtId="0" fontId="0" fillId="0" borderId="13" xfId="0" applyBorder="1"/>
    <xf numFmtId="0" fontId="0" fillId="0" borderId="15" xfId="0" applyBorder="1"/>
    <xf numFmtId="0" fontId="0" fillId="3" borderId="6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11" xfId="0" applyBorder="1"/>
    <xf numFmtId="0" fontId="0" fillId="3" borderId="12" xfId="0" applyFill="1" applyBorder="1"/>
    <xf numFmtId="0" fontId="0" fillId="6" borderId="17" xfId="0" applyFill="1" applyBorder="1"/>
    <xf numFmtId="0" fontId="0" fillId="0" borderId="18" xfId="0" applyBorder="1"/>
    <xf numFmtId="0" fontId="0" fillId="0" borderId="19" xfId="0" applyBorder="1"/>
    <xf numFmtId="0" fontId="0" fillId="6" borderId="2" xfId="0" applyFill="1" applyBorder="1"/>
    <xf numFmtId="0" fontId="0" fillId="6" borderId="6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right"/>
    </xf>
    <xf numFmtId="1" fontId="0" fillId="0" borderId="11" xfId="0" applyNumberFormat="1" applyBorder="1" applyAlignment="1">
      <alignment horizontal="center"/>
    </xf>
    <xf numFmtId="0" fontId="0" fillId="2" borderId="12" xfId="0" applyFill="1" applyBorder="1"/>
    <xf numFmtId="1" fontId="0" fillId="0" borderId="15" xfId="0" applyNumberFormat="1" applyBorder="1"/>
    <xf numFmtId="0" fontId="0" fillId="6" borderId="7" xfId="0" applyFill="1" applyBorder="1" applyAlignment="1">
      <alignment horizontal="center"/>
    </xf>
    <xf numFmtId="0" fontId="0" fillId="6" borderId="10" xfId="0" applyFill="1" applyBorder="1" applyAlignment="1">
      <alignment horizontal="center" vertical="center" wrapText="1"/>
    </xf>
    <xf numFmtId="167" fontId="0" fillId="0" borderId="11" xfId="2" applyNumberFormat="1" applyFont="1" applyFill="1" applyBorder="1" applyAlignment="1">
      <alignment horizontal="center"/>
    </xf>
    <xf numFmtId="0" fontId="0" fillId="0" borderId="10" xfId="0" applyBorder="1" applyAlignment="1">
      <alignment vertical="top" wrapText="1"/>
    </xf>
    <xf numFmtId="2" fontId="0" fillId="0" borderId="11" xfId="0" applyNumberFormat="1" applyBorder="1" applyAlignment="1">
      <alignment horizontal="center" vertical="center"/>
    </xf>
    <xf numFmtId="0" fontId="0" fillId="0" borderId="11" xfId="2" applyNumberFormat="1" applyFon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26" xfId="0" applyBorder="1"/>
    <xf numFmtId="0" fontId="0" fillId="0" borderId="31" xfId="0" applyBorder="1"/>
    <xf numFmtId="0" fontId="0" fillId="4" borderId="11" xfId="0" applyFill="1" applyBorder="1"/>
    <xf numFmtId="0" fontId="0" fillId="3" borderId="25" xfId="0" applyFill="1" applyBorder="1"/>
    <xf numFmtId="0" fontId="0" fillId="0" borderId="14" xfId="0" applyBorder="1"/>
    <xf numFmtId="0" fontId="0" fillId="0" borderId="32" xfId="0" applyBorder="1"/>
    <xf numFmtId="9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9" fontId="0" fillId="0" borderId="1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6" fontId="0" fillId="0" borderId="0" xfId="2" applyFont="1" applyFill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vertical="center"/>
    </xf>
    <xf numFmtId="0" fontId="0" fillId="6" borderId="8" xfId="0" applyFill="1" applyBorder="1" applyAlignment="1">
      <alignment horizontal="center"/>
    </xf>
    <xf numFmtId="0" fontId="0" fillId="6" borderId="11" xfId="0" applyFill="1" applyBorder="1" applyAlignment="1">
      <alignment horizontal="center" vertical="center" wrapText="1"/>
    </xf>
    <xf numFmtId="0" fontId="0" fillId="0" borderId="16" xfId="0" applyBorder="1"/>
    <xf numFmtId="168" fontId="0" fillId="0" borderId="11" xfId="2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6" borderId="7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2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22" xfId="0" applyBorder="1"/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0" fillId="0" borderId="36" xfId="0" applyBorder="1"/>
    <xf numFmtId="168" fontId="0" fillId="0" borderId="11" xfId="2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1" xfId="2" applyNumberFormat="1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/>
    </xf>
    <xf numFmtId="2" fontId="0" fillId="8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/>
    <xf numFmtId="2" fontId="2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0" fillId="6" borderId="37" xfId="0" applyFont="1" applyFill="1" applyBorder="1" applyAlignment="1">
      <alignment horizontal="center"/>
    </xf>
    <xf numFmtId="0" fontId="0" fillId="6" borderId="28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center" wrapText="1"/>
    </xf>
    <xf numFmtId="0" fontId="0" fillId="0" borderId="30" xfId="0" applyFont="1" applyBorder="1"/>
    <xf numFmtId="0" fontId="0" fillId="2" borderId="10" xfId="0" applyFont="1" applyFill="1" applyBorder="1" applyAlignment="1">
      <alignment horizontal="center"/>
    </xf>
    <xf numFmtId="0" fontId="0" fillId="0" borderId="29" xfId="0" applyFont="1" applyBorder="1"/>
    <xf numFmtId="0" fontId="0" fillId="2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 wrapText="1"/>
    </xf>
    <xf numFmtId="2" fontId="0" fillId="8" borderId="13" xfId="0" applyNumberFormat="1" applyFont="1" applyFill="1" applyBorder="1" applyAlignment="1">
      <alignment horizontal="center" vertical="center"/>
    </xf>
    <xf numFmtId="2" fontId="0" fillId="8" borderId="13" xfId="0" applyNumberFormat="1" applyFont="1" applyFill="1" applyBorder="1" applyAlignment="1">
      <alignment horizontal="center" vertical="center"/>
    </xf>
    <xf numFmtId="0" fontId="0" fillId="9" borderId="13" xfId="0" applyFont="1" applyFill="1" applyBorder="1" applyAlignment="1">
      <alignment horizontal="center" vertical="center" wrapText="1"/>
    </xf>
    <xf numFmtId="0" fontId="0" fillId="0" borderId="26" xfId="0" applyFont="1" applyBorder="1"/>
    <xf numFmtId="0" fontId="0" fillId="0" borderId="0" xfId="0" applyBorder="1" applyAlignment="1">
      <alignment vertical="center"/>
    </xf>
    <xf numFmtId="1" fontId="0" fillId="0" borderId="0" xfId="2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12" xfId="0" applyBorder="1" applyAlignment="1">
      <alignment vertical="center"/>
    </xf>
    <xf numFmtId="165" fontId="0" fillId="0" borderId="13" xfId="2" applyNumberFormat="1" applyFont="1" applyBorder="1" applyAlignment="1">
      <alignment horizontal="center" vertical="center"/>
    </xf>
    <xf numFmtId="165" fontId="0" fillId="0" borderId="13" xfId="2" applyNumberFormat="1" applyFont="1" applyBorder="1" applyAlignment="1">
      <alignment vertical="center"/>
    </xf>
    <xf numFmtId="165" fontId="0" fillId="0" borderId="15" xfId="2" applyNumberFormat="1" applyFont="1" applyBorder="1" applyAlignment="1">
      <alignment horizontal="center" vertical="center"/>
    </xf>
  </cellXfs>
  <cellStyles count="3">
    <cellStyle name="Moneda" xfId="1" builtinId="4"/>
    <cellStyle name="Moneda 2" xfId="2" xr:uid="{5CE6EC03-4E96-452A-AF5B-174A96C450F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HSP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HSP!$C$8:$C$19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HSP!$E$8:$E$19</c:f>
              <c:numCache>
                <c:formatCode>0.00</c:formatCode>
                <c:ptCount val="12"/>
                <c:pt idx="0">
                  <c:v>5.07</c:v>
                </c:pt>
                <c:pt idx="1">
                  <c:v>4.4000000000000004</c:v>
                </c:pt>
                <c:pt idx="2">
                  <c:v>4.25</c:v>
                </c:pt>
                <c:pt idx="3">
                  <c:v>3.95</c:v>
                </c:pt>
                <c:pt idx="4">
                  <c:v>3.96</c:v>
                </c:pt>
                <c:pt idx="5">
                  <c:v>3.67</c:v>
                </c:pt>
                <c:pt idx="6">
                  <c:v>3.74</c:v>
                </c:pt>
                <c:pt idx="7">
                  <c:v>4.16</c:v>
                </c:pt>
                <c:pt idx="8">
                  <c:v>4.6399999999999997</c:v>
                </c:pt>
                <c:pt idx="9">
                  <c:v>4.66</c:v>
                </c:pt>
                <c:pt idx="10">
                  <c:v>4.7</c:v>
                </c:pt>
                <c:pt idx="11">
                  <c:v>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3D-4F5E-872F-C358DF501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58864"/>
        <c:axId val="1193590160"/>
      </c:lineChart>
      <c:catAx>
        <c:axId val="3945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93590160"/>
        <c:crosses val="autoZero"/>
        <c:auto val="1"/>
        <c:lblAlgn val="ctr"/>
        <c:lblOffset val="100"/>
        <c:noMultiLvlLbl val="0"/>
      </c:catAx>
      <c:valAx>
        <c:axId val="119359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kWh/(m</a:t>
                </a:r>
                <a:r>
                  <a:rPr lang="es-AR" sz="1000" b="1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s-AR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.día)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58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6</xdr:row>
      <xdr:rowOff>223837</xdr:rowOff>
    </xdr:from>
    <xdr:to>
      <xdr:col>11</xdr:col>
      <xdr:colOff>180975</xdr:colOff>
      <xdr:row>19</xdr:row>
      <xdr:rowOff>42862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661A55F-9BB0-BDB4-0306-93B7B117C5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231321</xdr:colOff>
      <xdr:row>10</xdr:row>
      <xdr:rowOff>297656</xdr:rowOff>
    </xdr:from>
    <xdr:to>
      <xdr:col>10</xdr:col>
      <xdr:colOff>263293</xdr:colOff>
      <xdr:row>12</xdr:row>
      <xdr:rowOff>188716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3CE716-F513-6A09-A87A-4F34F639A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0642" y="2951049"/>
          <a:ext cx="2767007" cy="6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197304</xdr:colOff>
      <xdr:row>15</xdr:row>
      <xdr:rowOff>124166</xdr:rowOff>
    </xdr:from>
    <xdr:to>
      <xdr:col>11</xdr:col>
      <xdr:colOff>238704</xdr:colOff>
      <xdr:row>19</xdr:row>
      <xdr:rowOff>102642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366BA9-FB43-F5D6-A018-B0EFE7D19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6625" y="4968309"/>
          <a:ext cx="3538435" cy="740476"/>
        </a:xfrm>
        <a:prstGeom prst="rect">
          <a:avLst/>
        </a:prstGeom>
      </xdr:spPr>
    </xdr:pic>
    <xdr:clientData/>
  </xdr:twoCellAnchor>
  <xdr:twoCellAnchor editAs="oneCell">
    <xdr:from>
      <xdr:col>7</xdr:col>
      <xdr:colOff>324870</xdr:colOff>
      <xdr:row>13</xdr:row>
      <xdr:rowOff>510269</xdr:rowOff>
    </xdr:from>
    <xdr:to>
      <xdr:col>10</xdr:col>
      <xdr:colOff>452080</xdr:colOff>
      <xdr:row>16</xdr:row>
      <xdr:rowOff>39383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2CC12F-D113-B1A8-01E0-668889A37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14191" y="4388305"/>
          <a:ext cx="2862245" cy="628571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166689</xdr:colOff>
      <xdr:row>12</xdr:row>
      <xdr:rowOff>110559</xdr:rowOff>
    </xdr:from>
    <xdr:to>
      <xdr:col>11</xdr:col>
      <xdr:colOff>227137</xdr:colOff>
      <xdr:row>15</xdr:row>
      <xdr:rowOff>182571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8B5A047-88BC-574D-67FA-A705CF75E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56010" y="3607595"/>
          <a:ext cx="3557483" cy="847619"/>
        </a:xfrm>
        <a:prstGeom prst="rect">
          <a:avLst/>
        </a:prstGeom>
      </xdr:spPr>
    </xdr:pic>
    <xdr:clientData/>
  </xdr:twoCellAnchor>
  <xdr:twoCellAnchor editAs="oneCell">
    <xdr:from>
      <xdr:col>7</xdr:col>
      <xdr:colOff>235404</xdr:colOff>
      <xdr:row>19</xdr:row>
      <xdr:rowOff>103755</xdr:rowOff>
    </xdr:from>
    <xdr:to>
      <xdr:col>10</xdr:col>
      <xdr:colOff>353090</xdr:colOff>
      <xdr:row>22</xdr:row>
      <xdr:rowOff>179874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9C2E49-4EE0-241F-4407-4DEDDA019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24725" y="5709898"/>
          <a:ext cx="2852721" cy="647619"/>
        </a:xfrm>
        <a:prstGeom prst="rect">
          <a:avLst/>
        </a:prstGeom>
      </xdr:spPr>
    </xdr:pic>
    <xdr:clientData/>
  </xdr:twoCellAnchor>
  <xdr:twoCellAnchor editAs="oneCell">
    <xdr:from>
      <xdr:col>7</xdr:col>
      <xdr:colOff>261939</xdr:colOff>
      <xdr:row>22</xdr:row>
      <xdr:rowOff>170429</xdr:rowOff>
    </xdr:from>
    <xdr:to>
      <xdr:col>9</xdr:col>
      <xdr:colOff>684482</xdr:colOff>
      <xdr:row>30</xdr:row>
      <xdr:rowOff>94048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C714E07-B858-C0CA-062F-638EDC4B5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51260" y="6348072"/>
          <a:ext cx="2395578" cy="14476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trabajo%20de%20grado\CALCULOS%20FOTOVOLTAICOS.xlsm" TargetMode="External"/><Relationship Id="rId1" Type="http://schemas.openxmlformats.org/officeDocument/2006/relationships/externalLinkPath" Target="file:///F:\trabajo%20de%20grado\CALCULOS%20FOTOVOLTAIC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UMO ELECTRICO"/>
      <sheetName val="PEGAR DATOS"/>
      <sheetName val="DATOS_MEDIOS_DIARIOS_MENSUALES"/>
      <sheetName val="BASE_DATOS"/>
      <sheetName val="TABLA DINAMICA"/>
      <sheetName val="FUNCIONES"/>
      <sheetName val="RESUMEN"/>
      <sheetName val="AUX"/>
      <sheetName val="rendimiento"/>
      <sheetName val="calculo de paneles "/>
    </sheetNames>
    <sheetDataSet>
      <sheetData sheetId="0"/>
      <sheetData sheetId="1">
        <row r="4">
          <cell r="G4" t="str">
            <v>Enero</v>
          </cell>
        </row>
        <row r="17">
          <cell r="AK17" t="str">
            <v>DATO OPTIMO</v>
          </cell>
        </row>
      </sheetData>
      <sheetData sheetId="2">
        <row r="4">
          <cell r="D4" t="str">
            <v>Hh [kWh/(m2.día)]</v>
          </cell>
          <cell r="E4" t="str">
            <v>HT [kWh/(m2.día)]</v>
          </cell>
        </row>
        <row r="5">
          <cell r="D5">
            <v>5.0199999999999996</v>
          </cell>
          <cell r="E5">
            <v>5.07</v>
          </cell>
        </row>
        <row r="6">
          <cell r="D6">
            <v>4.38</v>
          </cell>
          <cell r="E6">
            <v>4.4000000000000004</v>
          </cell>
        </row>
        <row r="7">
          <cell r="D7">
            <v>4.25</v>
          </cell>
          <cell r="E7">
            <v>4.25</v>
          </cell>
        </row>
        <row r="8">
          <cell r="D8">
            <v>3.96</v>
          </cell>
          <cell r="E8">
            <v>3.95</v>
          </cell>
        </row>
        <row r="9">
          <cell r="D9">
            <v>3.98</v>
          </cell>
          <cell r="E9">
            <v>3.96</v>
          </cell>
        </row>
        <row r="10">
          <cell r="D10">
            <v>3.7</v>
          </cell>
          <cell r="E10">
            <v>3.67</v>
          </cell>
        </row>
        <row r="11">
          <cell r="D11">
            <v>3.76</v>
          </cell>
          <cell r="E11">
            <v>3.74</v>
          </cell>
        </row>
        <row r="12">
          <cell r="D12">
            <v>4.17</v>
          </cell>
          <cell r="E12">
            <v>4.16</v>
          </cell>
        </row>
        <row r="13">
          <cell r="D13">
            <v>4.6500000000000004</v>
          </cell>
          <cell r="E13">
            <v>4.6399999999999997</v>
          </cell>
        </row>
        <row r="14">
          <cell r="D14">
            <v>4.6399999999999997</v>
          </cell>
          <cell r="E14">
            <v>4.66</v>
          </cell>
        </row>
        <row r="15">
          <cell r="D15">
            <v>4.67</v>
          </cell>
          <cell r="E15">
            <v>4.7</v>
          </cell>
        </row>
        <row r="16">
          <cell r="D16">
            <v>4.91</v>
          </cell>
          <cell r="E16">
            <v>4.95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E1AD-ECAE-47D9-94E8-B77825B55366}">
  <dimension ref="B3:M23"/>
  <sheetViews>
    <sheetView topLeftCell="A10" workbookViewId="0">
      <selection activeCell="O7" sqref="O7"/>
    </sheetView>
  </sheetViews>
  <sheetFormatPr baseColWidth="10" defaultRowHeight="15" x14ac:dyDescent="0.25"/>
  <cols>
    <col min="1" max="16384" width="11.42578125" style="186"/>
  </cols>
  <sheetData>
    <row r="3" spans="2:12" x14ac:dyDescent="0.25"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2:12" x14ac:dyDescent="0.25">
      <c r="B4" s="193"/>
      <c r="C4" s="193"/>
      <c r="D4" s="193"/>
      <c r="E4" s="193"/>
      <c r="F4" s="193"/>
      <c r="G4" s="194"/>
      <c r="H4" s="193"/>
      <c r="I4" s="193"/>
      <c r="J4" s="193"/>
      <c r="K4" s="193"/>
      <c r="L4" s="193"/>
    </row>
    <row r="5" spans="2:12" ht="15.75" thickBot="1" x14ac:dyDescent="0.3"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</row>
    <row r="6" spans="2:12" x14ac:dyDescent="0.25">
      <c r="B6" s="193"/>
      <c r="C6" s="195" t="s">
        <v>148</v>
      </c>
      <c r="D6" s="196"/>
      <c r="E6" s="196"/>
      <c r="F6" s="196"/>
      <c r="G6" s="196"/>
      <c r="H6" s="196"/>
      <c r="I6" s="196"/>
      <c r="J6" s="196"/>
      <c r="K6" s="196"/>
      <c r="L6" s="197"/>
    </row>
    <row r="7" spans="2:12" ht="50.25" x14ac:dyDescent="0.25">
      <c r="B7" s="193"/>
      <c r="C7" s="198" t="s">
        <v>142</v>
      </c>
      <c r="D7" s="188" t="s">
        <v>143</v>
      </c>
      <c r="E7" s="187" t="s">
        <v>146</v>
      </c>
      <c r="F7" s="193"/>
      <c r="G7" s="193"/>
      <c r="H7" s="193"/>
      <c r="I7" s="193"/>
      <c r="J7" s="193"/>
      <c r="K7" s="193"/>
      <c r="L7" s="199"/>
    </row>
    <row r="8" spans="2:12" x14ac:dyDescent="0.25">
      <c r="B8" s="193"/>
      <c r="C8" s="200" t="s">
        <v>149</v>
      </c>
      <c r="D8" s="189">
        <v>31</v>
      </c>
      <c r="E8" s="190">
        <v>5.07</v>
      </c>
      <c r="F8" s="193"/>
      <c r="G8" s="193"/>
      <c r="H8" s="193"/>
      <c r="I8" s="193"/>
      <c r="J8" s="193"/>
      <c r="K8" s="193"/>
      <c r="L8" s="199"/>
    </row>
    <row r="9" spans="2:12" x14ac:dyDescent="0.25">
      <c r="B9" s="193"/>
      <c r="C9" s="200" t="s">
        <v>150</v>
      </c>
      <c r="D9" s="189">
        <v>28</v>
      </c>
      <c r="E9" s="190">
        <v>4.4000000000000004</v>
      </c>
      <c r="F9" s="193"/>
      <c r="G9" s="193"/>
      <c r="H9" s="193"/>
      <c r="I9" s="193"/>
      <c r="J9" s="193"/>
      <c r="K9" s="193"/>
      <c r="L9" s="199"/>
    </row>
    <row r="10" spans="2:12" x14ac:dyDescent="0.25">
      <c r="B10" s="193"/>
      <c r="C10" s="200" t="s">
        <v>151</v>
      </c>
      <c r="D10" s="189">
        <v>31</v>
      </c>
      <c r="E10" s="190">
        <v>4.25</v>
      </c>
      <c r="F10" s="193"/>
      <c r="G10" s="193"/>
      <c r="H10" s="193"/>
      <c r="I10" s="193"/>
      <c r="J10" s="193"/>
      <c r="K10" s="193"/>
      <c r="L10" s="199"/>
    </row>
    <row r="11" spans="2:12" x14ac:dyDescent="0.25">
      <c r="B11" s="193"/>
      <c r="C11" s="200" t="s">
        <v>152</v>
      </c>
      <c r="D11" s="189">
        <v>30</v>
      </c>
      <c r="E11" s="190">
        <v>3.95</v>
      </c>
      <c r="F11" s="193"/>
      <c r="G11" s="193"/>
      <c r="H11" s="193"/>
      <c r="I11" s="193"/>
      <c r="J11" s="193"/>
      <c r="K11" s="193"/>
      <c r="L11" s="199"/>
    </row>
    <row r="12" spans="2:12" x14ac:dyDescent="0.25">
      <c r="B12" s="193"/>
      <c r="C12" s="200" t="s">
        <v>153</v>
      </c>
      <c r="D12" s="189">
        <v>31</v>
      </c>
      <c r="E12" s="190">
        <v>3.96</v>
      </c>
      <c r="F12" s="193"/>
      <c r="G12" s="193"/>
      <c r="H12" s="193"/>
      <c r="I12" s="193"/>
      <c r="J12" s="193"/>
      <c r="K12" s="193"/>
      <c r="L12" s="199"/>
    </row>
    <row r="13" spans="2:12" x14ac:dyDescent="0.25">
      <c r="B13" s="193"/>
      <c r="C13" s="200" t="s">
        <v>154</v>
      </c>
      <c r="D13" s="189">
        <v>30</v>
      </c>
      <c r="E13" s="190">
        <v>3.67</v>
      </c>
      <c r="F13" s="193"/>
      <c r="G13" s="193"/>
      <c r="H13" s="193"/>
      <c r="I13" s="193"/>
      <c r="J13" s="193"/>
      <c r="K13" s="193"/>
      <c r="L13" s="199"/>
    </row>
    <row r="14" spans="2:12" x14ac:dyDescent="0.25">
      <c r="B14" s="193"/>
      <c r="C14" s="200" t="s">
        <v>155</v>
      </c>
      <c r="D14" s="189">
        <v>31</v>
      </c>
      <c r="E14" s="190">
        <v>3.74</v>
      </c>
      <c r="F14" s="193"/>
      <c r="G14" s="193"/>
      <c r="H14" s="193"/>
      <c r="I14" s="193"/>
      <c r="J14" s="193"/>
      <c r="K14" s="193"/>
      <c r="L14" s="199"/>
    </row>
    <row r="15" spans="2:12" x14ac:dyDescent="0.25">
      <c r="B15" s="193"/>
      <c r="C15" s="200" t="s">
        <v>156</v>
      </c>
      <c r="D15" s="189">
        <v>31</v>
      </c>
      <c r="E15" s="190">
        <v>4.16</v>
      </c>
      <c r="F15" s="193"/>
      <c r="G15" s="193"/>
      <c r="H15" s="193"/>
      <c r="I15" s="193"/>
      <c r="J15" s="193"/>
      <c r="K15" s="193"/>
      <c r="L15" s="199"/>
    </row>
    <row r="16" spans="2:12" x14ac:dyDescent="0.25">
      <c r="B16" s="193"/>
      <c r="C16" s="200" t="s">
        <v>157</v>
      </c>
      <c r="D16" s="189">
        <v>30</v>
      </c>
      <c r="E16" s="190">
        <v>4.6399999999999997</v>
      </c>
      <c r="F16" s="193"/>
      <c r="G16" s="193"/>
      <c r="H16" s="193"/>
      <c r="I16" s="193"/>
      <c r="J16" s="193"/>
      <c r="K16" s="193"/>
      <c r="L16" s="199"/>
    </row>
    <row r="17" spans="2:13" x14ac:dyDescent="0.25">
      <c r="B17" s="193"/>
      <c r="C17" s="200" t="s">
        <v>158</v>
      </c>
      <c r="D17" s="189">
        <v>31</v>
      </c>
      <c r="E17" s="190">
        <v>4.66</v>
      </c>
      <c r="F17" s="193"/>
      <c r="G17" s="193"/>
      <c r="H17" s="193"/>
      <c r="I17" s="193"/>
      <c r="J17" s="193"/>
      <c r="K17" s="193"/>
      <c r="L17" s="199"/>
    </row>
    <row r="18" spans="2:13" x14ac:dyDescent="0.25">
      <c r="B18" s="193"/>
      <c r="C18" s="200" t="s">
        <v>159</v>
      </c>
      <c r="D18" s="189">
        <v>30</v>
      </c>
      <c r="E18" s="190">
        <v>4.7</v>
      </c>
      <c r="F18" s="193"/>
      <c r="G18" s="193"/>
      <c r="H18" s="193"/>
      <c r="I18" s="193"/>
      <c r="J18" s="193"/>
      <c r="K18" s="193"/>
      <c r="L18" s="199"/>
    </row>
    <row r="19" spans="2:13" x14ac:dyDescent="0.25">
      <c r="B19" s="193"/>
      <c r="C19" s="200" t="s">
        <v>160</v>
      </c>
      <c r="D19" s="189">
        <v>31</v>
      </c>
      <c r="E19" s="190">
        <v>4.95</v>
      </c>
      <c r="F19" s="193"/>
      <c r="G19" s="193"/>
      <c r="H19" s="193"/>
      <c r="I19" s="193"/>
      <c r="J19" s="193"/>
      <c r="K19" s="193"/>
      <c r="L19" s="199"/>
    </row>
    <row r="20" spans="2:13" x14ac:dyDescent="0.25">
      <c r="B20" s="193"/>
      <c r="C20" s="198" t="s">
        <v>161</v>
      </c>
      <c r="D20" s="191"/>
      <c r="E20" s="192">
        <v>4.3458333333333341</v>
      </c>
      <c r="F20" s="193"/>
      <c r="G20" s="193"/>
      <c r="H20" s="193"/>
      <c r="I20" s="193"/>
      <c r="J20" s="193"/>
      <c r="K20" s="193"/>
      <c r="L20" s="199"/>
    </row>
    <row r="21" spans="2:13" x14ac:dyDescent="0.25">
      <c r="B21" s="193"/>
      <c r="C21" s="201"/>
      <c r="D21" s="193"/>
      <c r="E21" s="193"/>
      <c r="F21" s="193"/>
      <c r="G21" s="193"/>
      <c r="H21" s="193"/>
      <c r="I21" s="193"/>
      <c r="J21" s="193"/>
      <c r="K21" s="193"/>
      <c r="L21" s="199"/>
    </row>
    <row r="22" spans="2:13" ht="51" thickBot="1" x14ac:dyDescent="0.3">
      <c r="B22" s="193"/>
      <c r="C22" s="202" t="s">
        <v>144</v>
      </c>
      <c r="D22" s="203"/>
      <c r="E22" s="203">
        <f>+E20*365</f>
        <v>1586.229166666667</v>
      </c>
      <c r="F22" s="204" t="s">
        <v>147</v>
      </c>
      <c r="G22" s="205" t="str">
        <f>+'[1]PEGAR DATOS'!$AK$17</f>
        <v>DATO OPTIMO</v>
      </c>
      <c r="H22" s="205"/>
      <c r="I22" s="206">
        <v>3.67</v>
      </c>
      <c r="J22" s="204" t="s">
        <v>146</v>
      </c>
      <c r="K22" s="207" t="s">
        <v>145</v>
      </c>
      <c r="L22" s="208"/>
    </row>
    <row r="23" spans="2:13" x14ac:dyDescent="0.25"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</row>
  </sheetData>
  <mergeCells count="2">
    <mergeCell ref="G22:H22"/>
    <mergeCell ref="C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"/>
  <sheetViews>
    <sheetView topLeftCell="I1" zoomScale="80" zoomScaleNormal="80" workbookViewId="0">
      <selection activeCell="V34" sqref="V34"/>
    </sheetView>
  </sheetViews>
  <sheetFormatPr baseColWidth="10" defaultRowHeight="15" x14ac:dyDescent="0.25"/>
  <cols>
    <col min="2" max="2" width="26.5703125" bestFit="1" customWidth="1"/>
    <col min="3" max="3" width="22.42578125" bestFit="1" customWidth="1"/>
    <col min="4" max="4" width="12.85546875" bestFit="1" customWidth="1"/>
    <col min="5" max="5" width="26.5703125" bestFit="1" customWidth="1"/>
    <col min="6" max="6" width="25.7109375" bestFit="1" customWidth="1"/>
    <col min="8" max="8" width="20.42578125" bestFit="1" customWidth="1"/>
    <col min="9" max="9" width="15.85546875" bestFit="1" customWidth="1"/>
    <col min="14" max="15" width="22.42578125" bestFit="1" customWidth="1"/>
    <col min="16" max="16" width="12.28515625" bestFit="1" customWidth="1"/>
    <col min="18" max="18" width="13.5703125" customWidth="1"/>
  </cols>
  <sheetData>
    <row r="1" spans="1:18" ht="48.75" customHeight="1" x14ac:dyDescent="0.5">
      <c r="A1" s="13"/>
      <c r="B1" s="13"/>
      <c r="C1" s="13"/>
      <c r="D1" s="13"/>
      <c r="E1" s="13"/>
      <c r="F1" s="13"/>
      <c r="G1" s="13"/>
      <c r="H1" s="13"/>
      <c r="I1" s="13"/>
    </row>
    <row r="2" spans="1:18" ht="15.75" thickBot="1" x14ac:dyDescent="0.3"/>
    <row r="3" spans="1:18" ht="29.25" customHeight="1" x14ac:dyDescent="0.25">
      <c r="B3" s="80" t="s">
        <v>115</v>
      </c>
      <c r="C3" s="81" t="s">
        <v>5</v>
      </c>
      <c r="E3" s="80" t="str">
        <f>B3</f>
        <v>CRITERIOS DE EVALUACIÓN</v>
      </c>
      <c r="F3" s="81" t="s">
        <v>109</v>
      </c>
    </row>
    <row r="4" spans="1:18" ht="0.75" customHeight="1" x14ac:dyDescent="0.25">
      <c r="B4" s="82"/>
      <c r="C4" s="83"/>
      <c r="E4" s="82"/>
      <c r="F4" s="83"/>
    </row>
    <row r="5" spans="1:18" ht="1.5" customHeight="1" thickBot="1" x14ac:dyDescent="0.3">
      <c r="B5" s="35"/>
      <c r="C5" s="74"/>
      <c r="E5" s="35" t="e">
        <f>#N/A</f>
        <v>#N/A</v>
      </c>
      <c r="F5" s="74"/>
    </row>
    <row r="6" spans="1:18" ht="17.25" customHeight="1" x14ac:dyDescent="0.25">
      <c r="A6">
        <v>1</v>
      </c>
      <c r="B6" s="35" t="s">
        <v>110</v>
      </c>
      <c r="C6" s="65">
        <v>9</v>
      </c>
      <c r="E6" s="35" t="str">
        <f>B6</f>
        <v xml:space="preserve">Potencia Máxima (W) </v>
      </c>
      <c r="F6" s="87">
        <f t="shared" ref="F6:F15" si="0">IFERROR(Z24*100,"")</f>
        <v>36.833333333333329</v>
      </c>
      <c r="H6" s="150" t="s">
        <v>108</v>
      </c>
      <c r="I6" s="151"/>
      <c r="J6" s="151"/>
      <c r="K6" s="151"/>
      <c r="L6" s="151"/>
      <c r="M6" s="151"/>
      <c r="N6" s="151"/>
      <c r="O6" s="151"/>
      <c r="P6" s="151"/>
      <c r="Q6" s="151"/>
      <c r="R6" s="152"/>
    </row>
    <row r="7" spans="1:18" x14ac:dyDescent="0.25">
      <c r="A7">
        <v>2</v>
      </c>
      <c r="B7" s="35" t="s">
        <v>0</v>
      </c>
      <c r="C7" s="65">
        <v>8</v>
      </c>
      <c r="E7" s="35" t="str">
        <f>B7</f>
        <v xml:space="preserve">Coeficiente </v>
      </c>
      <c r="F7" s="87">
        <f t="shared" si="0"/>
        <v>20.638888888888886</v>
      </c>
      <c r="H7" s="148" t="s">
        <v>46</v>
      </c>
      <c r="I7" s="146"/>
      <c r="J7" s="146" t="s">
        <v>47</v>
      </c>
      <c r="K7" s="149"/>
      <c r="L7" s="149"/>
      <c r="M7" s="146" t="s">
        <v>48</v>
      </c>
      <c r="N7" s="146"/>
      <c r="O7" s="146"/>
      <c r="P7" s="146"/>
      <c r="Q7" s="146"/>
      <c r="R7" s="147"/>
    </row>
    <row r="8" spans="1:18" ht="15" customHeight="1" x14ac:dyDescent="0.25">
      <c r="A8">
        <v>3</v>
      </c>
      <c r="B8" s="35" t="s">
        <v>111</v>
      </c>
      <c r="C8" s="65">
        <v>8</v>
      </c>
      <c r="E8" s="35" t="s">
        <v>1</v>
      </c>
      <c r="F8" s="87">
        <f t="shared" si="0"/>
        <v>20.638888888888886</v>
      </c>
      <c r="H8" s="148"/>
      <c r="I8" s="146"/>
      <c r="J8" s="149"/>
      <c r="K8" s="149"/>
      <c r="L8" s="149"/>
      <c r="M8" s="146"/>
      <c r="N8" s="146"/>
      <c r="O8" s="146"/>
      <c r="P8" s="146"/>
      <c r="Q8" s="146"/>
      <c r="R8" s="147"/>
    </row>
    <row r="9" spans="1:18" ht="12.75" customHeight="1" x14ac:dyDescent="0.25">
      <c r="A9">
        <v>4</v>
      </c>
      <c r="B9" s="35" t="s">
        <v>2</v>
      </c>
      <c r="C9" s="65">
        <v>7</v>
      </c>
      <c r="E9" s="35" t="s">
        <v>2</v>
      </c>
      <c r="F9" s="87">
        <f t="shared" si="0"/>
        <v>10.944444444444443</v>
      </c>
      <c r="H9" s="138">
        <v>9</v>
      </c>
      <c r="I9" s="139"/>
      <c r="J9" s="139" t="s">
        <v>49</v>
      </c>
      <c r="K9" s="139"/>
      <c r="L9" s="139"/>
      <c r="M9" s="142" t="s">
        <v>103</v>
      </c>
      <c r="N9" s="142"/>
      <c r="O9" s="142"/>
      <c r="P9" s="142"/>
      <c r="Q9" s="142"/>
      <c r="R9" s="143"/>
    </row>
    <row r="10" spans="1:18" ht="15" customHeight="1" x14ac:dyDescent="0.25">
      <c r="A10">
        <v>5</v>
      </c>
      <c r="B10" s="35" t="s">
        <v>3</v>
      </c>
      <c r="C10" s="65">
        <v>7</v>
      </c>
      <c r="E10" s="35" t="s">
        <v>3</v>
      </c>
      <c r="F10" s="87">
        <f t="shared" si="0"/>
        <v>10.944444444444443</v>
      </c>
      <c r="H10" s="138">
        <v>7</v>
      </c>
      <c r="I10" s="139"/>
      <c r="J10" s="139" t="s">
        <v>101</v>
      </c>
      <c r="K10" s="139"/>
      <c r="L10" s="139"/>
      <c r="M10" s="142" t="s">
        <v>104</v>
      </c>
      <c r="N10" s="142"/>
      <c r="O10" s="142"/>
      <c r="P10" s="142"/>
      <c r="Q10" s="142"/>
      <c r="R10" s="143"/>
    </row>
    <row r="11" spans="1:18" ht="14.25" customHeight="1" x14ac:dyDescent="0.25">
      <c r="A11">
        <v>6</v>
      </c>
      <c r="B11" s="35"/>
      <c r="C11" s="65"/>
      <c r="E11" s="35">
        <v>0</v>
      </c>
      <c r="F11" s="74">
        <f t="shared" si="0"/>
        <v>0</v>
      </c>
      <c r="H11" s="138">
        <v>5</v>
      </c>
      <c r="I11" s="139"/>
      <c r="J11" s="139" t="s">
        <v>102</v>
      </c>
      <c r="K11" s="139"/>
      <c r="L11" s="139"/>
      <c r="M11" s="142" t="s">
        <v>105</v>
      </c>
      <c r="N11" s="142"/>
      <c r="O11" s="142"/>
      <c r="P11" s="142"/>
      <c r="Q11" s="142"/>
      <c r="R11" s="143"/>
    </row>
    <row r="12" spans="1:18" ht="13.5" customHeight="1" x14ac:dyDescent="0.25">
      <c r="A12">
        <v>7</v>
      </c>
      <c r="B12" s="35"/>
      <c r="C12" s="65"/>
      <c r="E12" s="35">
        <v>0</v>
      </c>
      <c r="F12" s="74">
        <f t="shared" si="0"/>
        <v>0</v>
      </c>
      <c r="H12" s="138">
        <v>3</v>
      </c>
      <c r="I12" s="139"/>
      <c r="J12" s="139" t="s">
        <v>50</v>
      </c>
      <c r="K12" s="139"/>
      <c r="L12" s="139"/>
      <c r="M12" s="142" t="s">
        <v>106</v>
      </c>
      <c r="N12" s="142"/>
      <c r="O12" s="142"/>
      <c r="P12" s="142"/>
      <c r="Q12" s="142"/>
      <c r="R12" s="143"/>
    </row>
    <row r="13" spans="1:18" ht="15" customHeight="1" thickBot="1" x14ac:dyDescent="0.3">
      <c r="A13">
        <v>8</v>
      </c>
      <c r="B13" s="35"/>
      <c r="C13" s="65"/>
      <c r="E13" s="35">
        <v>0</v>
      </c>
      <c r="F13" s="74">
        <f t="shared" si="0"/>
        <v>0</v>
      </c>
      <c r="H13" s="140">
        <v>1</v>
      </c>
      <c r="I13" s="141"/>
      <c r="J13" s="141" t="s">
        <v>51</v>
      </c>
      <c r="K13" s="141"/>
      <c r="L13" s="141"/>
      <c r="M13" s="144" t="s">
        <v>107</v>
      </c>
      <c r="N13" s="144"/>
      <c r="O13" s="144"/>
      <c r="P13" s="144"/>
      <c r="Q13" s="144"/>
      <c r="R13" s="145"/>
    </row>
    <row r="14" spans="1:18" ht="15" customHeight="1" x14ac:dyDescent="0.25">
      <c r="A14">
        <v>9</v>
      </c>
      <c r="B14" s="35"/>
      <c r="C14" s="65"/>
      <c r="E14" s="35">
        <v>0</v>
      </c>
      <c r="F14" s="74">
        <f t="shared" si="0"/>
        <v>0</v>
      </c>
    </row>
    <row r="15" spans="1:18" x14ac:dyDescent="0.25">
      <c r="A15">
        <v>10</v>
      </c>
      <c r="B15" s="84"/>
      <c r="C15" s="85"/>
      <c r="E15" s="35">
        <v>0</v>
      </c>
      <c r="F15" s="74">
        <f t="shared" si="0"/>
        <v>0</v>
      </c>
    </row>
    <row r="16" spans="1:18" ht="15.75" thickBot="1" x14ac:dyDescent="0.3">
      <c r="A16" s="79" t="s">
        <v>11</v>
      </c>
      <c r="B16" s="36">
        <f>COUNTA(B6:B15)</f>
        <v>5</v>
      </c>
      <c r="C16" s="86">
        <f>COUNT(C6:C15)</f>
        <v>5</v>
      </c>
      <c r="E16" s="88" t="s">
        <v>7</v>
      </c>
      <c r="F16" s="89">
        <f>SUM(F6:F15)</f>
        <v>99.999999999999986</v>
      </c>
    </row>
    <row r="22" spans="2:26" ht="15.75" thickBot="1" x14ac:dyDescent="0.3"/>
    <row r="23" spans="2:26" x14ac:dyDescent="0.25">
      <c r="B23" s="61" t="s">
        <v>8</v>
      </c>
      <c r="C23" s="62" t="str">
        <f>B24</f>
        <v xml:space="preserve">Potencia Máxima (W) </v>
      </c>
      <c r="D23" s="62" t="str">
        <f>B25</f>
        <v xml:space="preserve">Coeficiente </v>
      </c>
      <c r="E23" s="62" t="str">
        <f>B26</f>
        <v>Precio ($COP)</v>
      </c>
      <c r="F23" s="62" t="str">
        <f>B27</f>
        <v>Peso (Kg)</v>
      </c>
      <c r="G23" s="62" t="str">
        <f>B28</f>
        <v>Área (m^2)</v>
      </c>
      <c r="H23" s="62">
        <f>B29</f>
        <v>0</v>
      </c>
      <c r="I23" s="62">
        <f>B30</f>
        <v>0</v>
      </c>
      <c r="J23" s="62">
        <f>B31</f>
        <v>0</v>
      </c>
      <c r="K23" s="62">
        <f>B32</f>
        <v>0</v>
      </c>
      <c r="L23" s="63">
        <f>B33</f>
        <v>0</v>
      </c>
      <c r="N23" s="70" t="str">
        <f>B23</f>
        <v>criterio</v>
      </c>
      <c r="O23" s="71" t="str">
        <f>C23</f>
        <v xml:space="preserve">Potencia Máxima (W) </v>
      </c>
      <c r="P23" s="71" t="s">
        <v>10</v>
      </c>
      <c r="Q23" s="71" t="s">
        <v>1</v>
      </c>
      <c r="R23" s="71" t="s">
        <v>40</v>
      </c>
      <c r="S23" s="71" t="s">
        <v>39</v>
      </c>
      <c r="T23" s="71">
        <v>0</v>
      </c>
      <c r="U23" s="71">
        <v>0</v>
      </c>
      <c r="V23" s="71">
        <v>0</v>
      </c>
      <c r="W23" s="71">
        <v>0</v>
      </c>
      <c r="X23" s="72">
        <v>0</v>
      </c>
      <c r="Z23" s="76" t="s">
        <v>9</v>
      </c>
    </row>
    <row r="24" spans="2:26" x14ac:dyDescent="0.25">
      <c r="B24" s="64" t="str">
        <f>B6</f>
        <v xml:space="preserve">Potencia Máxima (W) </v>
      </c>
      <c r="C24" s="60">
        <v>1</v>
      </c>
      <c r="D24" s="2">
        <f>IF(C6-$C$7+1&gt;=10,0,C6-$C$7+1)</f>
        <v>2</v>
      </c>
      <c r="E24" s="2">
        <f>IF(C6-$C$8+1&gt;=10,0,C6-$C$8+1)</f>
        <v>2</v>
      </c>
      <c r="F24" s="2">
        <f>IF(C6-$C$9+1&gt;=10,0,C6-$C$9+1)</f>
        <v>3</v>
      </c>
      <c r="G24" s="2">
        <f>IF(C6-$C$10+1&gt;=10,0,C6-$C$10+1)</f>
        <v>3</v>
      </c>
      <c r="H24" s="2">
        <f>IF($C$6-C11+1&gt;=10,0,$C$6-C11+1)</f>
        <v>0</v>
      </c>
      <c r="I24" s="2">
        <f t="shared" ref="I24:I29" si="1">IF(C6-C12+1&gt;=10,0,C6-C12+1)</f>
        <v>0</v>
      </c>
      <c r="J24" s="2">
        <f>IF(C6-C13+1&gt;=10,0,C6-C13+1)</f>
        <v>0</v>
      </c>
      <c r="K24" s="2">
        <f>IF(C6-C14+1&gt;=10,0,C6-C14+1)</f>
        <v>0</v>
      </c>
      <c r="L24" s="65">
        <f>IF(C6-G11+1&gt;=10,0,C6-G11+1)</f>
        <v>0</v>
      </c>
      <c r="N24" s="73" t="str">
        <f>B24</f>
        <v xml:space="preserve">Potencia Máxima (W) </v>
      </c>
      <c r="O24" s="1">
        <f t="shared" ref="O24:T24" si="2">IF(ISERROR(C24/C$34),0,C24/C$34)</f>
        <v>0.37499999999999994</v>
      </c>
      <c r="P24" s="1">
        <f t="shared" si="2"/>
        <v>0.4</v>
      </c>
      <c r="Q24" s="1">
        <f t="shared" si="2"/>
        <v>0.4</v>
      </c>
      <c r="R24" s="1">
        <f t="shared" si="2"/>
        <v>0.33333333333333331</v>
      </c>
      <c r="S24" s="1">
        <f t="shared" si="2"/>
        <v>0.33333333333333331</v>
      </c>
      <c r="T24" s="1">
        <f t="shared" si="2"/>
        <v>0</v>
      </c>
      <c r="U24" s="1">
        <f>IF(ISERROR(I24/I$34),0,I24/I$34)</f>
        <v>0</v>
      </c>
      <c r="V24" s="1">
        <f>IF(ISERROR(J24/J$34),0,J24/J$34)</f>
        <v>0</v>
      </c>
      <c r="W24" s="1">
        <f>IF(ISERROR(K24/K$34),0,K24/K$34)</f>
        <v>0</v>
      </c>
      <c r="X24" s="74">
        <f>IF(ISERROR(L24/L$34),0,L24/L$34)</f>
        <v>0</v>
      </c>
      <c r="Z24" s="77">
        <f>(O24+P24+Q24+R24+S24+T24+U24+V24+W24+X24)/$C$16</f>
        <v>0.36833333333333329</v>
      </c>
    </row>
    <row r="25" spans="2:26" x14ac:dyDescent="0.25">
      <c r="B25" s="64" t="str">
        <f t="shared" ref="B25:B28" si="3">B7</f>
        <v xml:space="preserve">Coeficiente </v>
      </c>
      <c r="C25" s="2">
        <f>IF(B25=0,0,IF(ISERROR(1/D24),0,1/D24))</f>
        <v>0.5</v>
      </c>
      <c r="D25" s="60">
        <f>IF(C7-$C$7+1&gt;=10,0,C7-$C$7+1)</f>
        <v>1</v>
      </c>
      <c r="E25" s="2">
        <f>IF(C7-$C$8+1&gt;=10,0,C7-$C$8+1)</f>
        <v>1</v>
      </c>
      <c r="F25" s="2">
        <f>IF(C7-$C$9+1&gt;=10,0,C7-$C$9+1)</f>
        <v>2</v>
      </c>
      <c r="G25" s="2">
        <f>IF(C7-$C$10+1&gt;=10,0,C7-$C$10+1)</f>
        <v>2</v>
      </c>
      <c r="H25" s="2">
        <f>IF($C$6-C12+1&gt;=10,0,$C$6-C12+1)</f>
        <v>0</v>
      </c>
      <c r="I25" s="2">
        <f t="shared" si="1"/>
        <v>9</v>
      </c>
      <c r="J25" s="2">
        <f t="shared" ref="J25:J30" si="4">IF(C7-C14+1&gt;=10,0,C7-C14+1)</f>
        <v>9</v>
      </c>
      <c r="K25" s="2">
        <f t="shared" ref="K25:K31" si="5">IF(C7-C15+1&gt;=10,0,C7-C15+1)</f>
        <v>9</v>
      </c>
      <c r="L25" s="65">
        <f t="shared" ref="L25:L32" si="6">IF(C7-G12+1&gt;=10,0,C7-G12+1)</f>
        <v>9</v>
      </c>
      <c r="N25" s="73" t="str">
        <f>B25</f>
        <v xml:space="preserve">Coeficiente </v>
      </c>
      <c r="O25" s="1">
        <f t="shared" ref="O25:O33" si="7">IF(ISERROR(C25/C$34),0,C25/C$34)</f>
        <v>0.18749999999999997</v>
      </c>
      <c r="P25" s="1">
        <f t="shared" ref="P25:P33" si="8">IF(ISERROR(D25/D$34),0,D25/D$34)</f>
        <v>0.2</v>
      </c>
      <c r="Q25" s="1">
        <f t="shared" ref="Q25:Q33" si="9">IF(ISERROR(E25/E$34),0,E25/E$34)</f>
        <v>0.2</v>
      </c>
      <c r="R25" s="1">
        <f t="shared" ref="R25:R33" si="10">IF(ISERROR(F25/F$34),0,F25/F$34)</f>
        <v>0.22222222222222221</v>
      </c>
      <c r="S25" s="1">
        <f t="shared" ref="S25:S33" si="11">IF(ISERROR(G25/G$34),0,G25/G$34)</f>
        <v>0.22222222222222221</v>
      </c>
      <c r="T25" s="1">
        <f t="shared" ref="T25:T33" si="12">IF(ISERROR(H25/H$34),0,H25/H$34)</f>
        <v>0</v>
      </c>
      <c r="U25" s="1">
        <f t="shared" ref="U25:U33" si="13">IF(ISERROR(I25/I$34),0,I25/I$34)</f>
        <v>0</v>
      </c>
      <c r="V25" s="1">
        <f t="shared" ref="V25:V33" si="14">IF(ISERROR(J25/J$34),0,J25/J$34)</f>
        <v>0</v>
      </c>
      <c r="W25" s="1">
        <f t="shared" ref="W25:W33" si="15">IF(ISERROR(K25/K$34),0,K25/K$34)</f>
        <v>0</v>
      </c>
      <c r="X25" s="74">
        <f t="shared" ref="X25:X33" si="16">IF(ISERROR(L25/L$34),0,L25/L$34)</f>
        <v>0</v>
      </c>
      <c r="Z25" s="77">
        <f t="shared" ref="Z25:Z33" si="17">(O25+P25+Q25+R25+S25+T25+U25+V25+W25+X25)/$C$16</f>
        <v>0.20638888888888887</v>
      </c>
    </row>
    <row r="26" spans="2:26" x14ac:dyDescent="0.25">
      <c r="B26" s="64" t="str">
        <f t="shared" si="3"/>
        <v>Precio ($COP)</v>
      </c>
      <c r="C26" s="9">
        <f>IF(B26=0,0,IF(ISERROR(1/E24),0,1/E24))</f>
        <v>0.5</v>
      </c>
      <c r="D26" s="2">
        <f>IF(B26=0,0,IF(ISERROR(1/E25),0,1/E25))</f>
        <v>1</v>
      </c>
      <c r="E26" s="60">
        <f>IF(C8-$C$8+1&gt;=10,0,C8-$C$8+1)</f>
        <v>1</v>
      </c>
      <c r="F26" s="2">
        <f>IF(C8-$C$9+1&gt;=10,0,C8-$C$9+1)</f>
        <v>2</v>
      </c>
      <c r="G26" s="2">
        <f>IF(C8-$C$10+1&gt;=10,0,C8-$C$10+1)</f>
        <v>2</v>
      </c>
      <c r="H26" s="2">
        <f>IF($C$6-C13+1&gt;=10,0,$C$6-C13+1)</f>
        <v>0</v>
      </c>
      <c r="I26" s="2">
        <f t="shared" si="1"/>
        <v>9</v>
      </c>
      <c r="J26" s="2">
        <f t="shared" si="4"/>
        <v>9</v>
      </c>
      <c r="K26" s="2">
        <f t="shared" si="5"/>
        <v>4</v>
      </c>
      <c r="L26" s="65">
        <f t="shared" si="6"/>
        <v>9</v>
      </c>
      <c r="N26" s="73" t="str">
        <f>B26</f>
        <v>Precio ($COP)</v>
      </c>
      <c r="O26" s="1">
        <f t="shared" si="7"/>
        <v>0.18749999999999997</v>
      </c>
      <c r="P26" s="1">
        <f t="shared" si="8"/>
        <v>0.2</v>
      </c>
      <c r="Q26" s="1">
        <f t="shared" si="9"/>
        <v>0.2</v>
      </c>
      <c r="R26" s="1">
        <f t="shared" si="10"/>
        <v>0.22222222222222221</v>
      </c>
      <c r="S26" s="1">
        <f t="shared" si="11"/>
        <v>0.22222222222222221</v>
      </c>
      <c r="T26" s="1">
        <f t="shared" si="12"/>
        <v>0</v>
      </c>
      <c r="U26" s="1">
        <f t="shared" si="13"/>
        <v>0</v>
      </c>
      <c r="V26" s="1">
        <f t="shared" si="14"/>
        <v>0</v>
      </c>
      <c r="W26" s="1">
        <f t="shared" si="15"/>
        <v>0</v>
      </c>
      <c r="X26" s="74">
        <f t="shared" si="16"/>
        <v>0</v>
      </c>
      <c r="Z26" s="77">
        <f t="shared" si="17"/>
        <v>0.20638888888888887</v>
      </c>
    </row>
    <row r="27" spans="2:26" ht="16.5" customHeight="1" x14ac:dyDescent="0.25">
      <c r="B27" s="64" t="str">
        <f t="shared" si="3"/>
        <v>Peso (Kg)</v>
      </c>
      <c r="C27" s="2">
        <f>IF(B27=0,0,IF(ISERROR(1/F24),0,1/F24))</f>
        <v>0.33333333333333331</v>
      </c>
      <c r="D27" s="2">
        <f>IF(B27=0,0,IF(ISERROR(1/F25),0,1/F25))</f>
        <v>0.5</v>
      </c>
      <c r="E27" s="2">
        <f>IF(B27=0,0,IF(ISERROR(1/F26),0,1/F26))</f>
        <v>0.5</v>
      </c>
      <c r="F27" s="60">
        <f>IF(C9-$C$9+1&gt;=10,0,C9-$C$9+1)</f>
        <v>1</v>
      </c>
      <c r="G27" s="2">
        <f>IF(C9-$C$10+1&gt;=10,0,C9-$C$10+1)</f>
        <v>1</v>
      </c>
      <c r="H27" s="2">
        <f>IF($C$6-C14+1&gt;=10,0,$C$6-C14+1)</f>
        <v>0</v>
      </c>
      <c r="I27" s="2">
        <f t="shared" si="1"/>
        <v>8</v>
      </c>
      <c r="J27" s="2">
        <f t="shared" si="4"/>
        <v>3</v>
      </c>
      <c r="K27" s="2">
        <f t="shared" si="5"/>
        <v>8</v>
      </c>
      <c r="L27" s="65">
        <f t="shared" si="6"/>
        <v>8</v>
      </c>
      <c r="N27" s="73" t="s">
        <v>40</v>
      </c>
      <c r="O27" s="1">
        <f t="shared" si="7"/>
        <v>0.12499999999999997</v>
      </c>
      <c r="P27" s="1">
        <f t="shared" si="8"/>
        <v>0.1</v>
      </c>
      <c r="Q27" s="1">
        <f t="shared" si="9"/>
        <v>0.1</v>
      </c>
      <c r="R27" s="1">
        <f t="shared" si="10"/>
        <v>0.1111111111111111</v>
      </c>
      <c r="S27" s="1">
        <f t="shared" si="11"/>
        <v>0.1111111111111111</v>
      </c>
      <c r="T27" s="1">
        <f t="shared" si="12"/>
        <v>0</v>
      </c>
      <c r="U27" s="1">
        <f t="shared" si="13"/>
        <v>0</v>
      </c>
      <c r="V27" s="1">
        <f t="shared" si="14"/>
        <v>0</v>
      </c>
      <c r="W27" s="1">
        <f t="shared" si="15"/>
        <v>0</v>
      </c>
      <c r="X27" s="74">
        <f t="shared" si="16"/>
        <v>0</v>
      </c>
      <c r="Z27" s="77">
        <f t="shared" si="17"/>
        <v>0.10944444444444443</v>
      </c>
    </row>
    <row r="28" spans="2:26" ht="20.25" customHeight="1" x14ac:dyDescent="0.25">
      <c r="B28" s="64" t="str">
        <f t="shared" si="3"/>
        <v>Área (m^2)</v>
      </c>
      <c r="C28" s="2">
        <f>IF(B28=0,0,IF(ISERROR(1/G24),0,1/G24))</f>
        <v>0.33333333333333331</v>
      </c>
      <c r="D28" s="2">
        <f>IF(B28=0,0,IF(ISERROR(1/G25),0,1/G25))</f>
        <v>0.5</v>
      </c>
      <c r="E28" s="2">
        <f>IF(B28=0,0,IF(ISERROR(1/G26),0,1/G26))</f>
        <v>0.5</v>
      </c>
      <c r="F28" s="2">
        <f>IF(B28=0,0,IF(ISERROR(1/G27),0,1/G27))</f>
        <v>1</v>
      </c>
      <c r="G28" s="60">
        <f>IF(C10-$C$10+1&gt;=10,0,C10-$C$10+1)</f>
        <v>1</v>
      </c>
      <c r="H28" s="2">
        <f>IF($C$6-C15+1&gt;=10,0,$C$6-C15+1)</f>
        <v>0</v>
      </c>
      <c r="I28" s="2">
        <f t="shared" si="1"/>
        <v>3</v>
      </c>
      <c r="J28" s="2">
        <f t="shared" si="4"/>
        <v>8</v>
      </c>
      <c r="K28" s="2">
        <f t="shared" si="5"/>
        <v>8</v>
      </c>
      <c r="L28" s="65">
        <f t="shared" si="6"/>
        <v>8</v>
      </c>
      <c r="N28" s="73" t="s">
        <v>39</v>
      </c>
      <c r="O28" s="1">
        <f t="shared" si="7"/>
        <v>0.12499999999999997</v>
      </c>
      <c r="P28" s="1">
        <f t="shared" si="8"/>
        <v>0.1</v>
      </c>
      <c r="Q28" s="1">
        <f t="shared" si="9"/>
        <v>0.1</v>
      </c>
      <c r="R28" s="1">
        <f t="shared" si="10"/>
        <v>0.1111111111111111</v>
      </c>
      <c r="S28" s="1">
        <f t="shared" si="11"/>
        <v>0.1111111111111111</v>
      </c>
      <c r="T28" s="1">
        <f t="shared" si="12"/>
        <v>0</v>
      </c>
      <c r="U28" s="1">
        <f t="shared" si="13"/>
        <v>0</v>
      </c>
      <c r="V28" s="1">
        <f t="shared" si="14"/>
        <v>0</v>
      </c>
      <c r="W28" s="1">
        <f t="shared" si="15"/>
        <v>0</v>
      </c>
      <c r="X28" s="74">
        <f t="shared" si="16"/>
        <v>0</v>
      </c>
      <c r="Z28" s="77">
        <f t="shared" si="17"/>
        <v>0.10944444444444443</v>
      </c>
    </row>
    <row r="29" spans="2:26" ht="25.5" customHeight="1" x14ac:dyDescent="0.25">
      <c r="B29" s="64">
        <f>+B11</f>
        <v>0</v>
      </c>
      <c r="C29" s="2">
        <f>IF(B29=0,0,IF(ISERROR(1/H24),0,1/H24))</f>
        <v>0</v>
      </c>
      <c r="D29" s="2">
        <f>IF(B29=0,0,IF(ISERROR(1/H25),0,1/H25))</f>
        <v>0</v>
      </c>
      <c r="E29" s="2">
        <f>IF(B29=0,0,IF(ISERROR(1/H26),0,1/H26))</f>
        <v>0</v>
      </c>
      <c r="F29" s="2">
        <f>IF(B29=0,0,IF(ISERROR(1/H27),0,1/H27))</f>
        <v>0</v>
      </c>
      <c r="G29" s="2">
        <f>IF(B29=0,0,IF(ISERROR(1/H28),0,1/H28))</f>
        <v>0</v>
      </c>
      <c r="H29" s="60">
        <f>IF(C11-$C$11+1&gt;=10,0,C11-$C$11+1)</f>
        <v>1</v>
      </c>
      <c r="I29" s="2">
        <f t="shared" si="1"/>
        <v>1</v>
      </c>
      <c r="J29" s="2">
        <f t="shared" si="4"/>
        <v>1</v>
      </c>
      <c r="K29" s="2">
        <f t="shared" si="5"/>
        <v>1</v>
      </c>
      <c r="L29" s="65">
        <f t="shared" si="6"/>
        <v>1</v>
      </c>
      <c r="N29" s="73">
        <v>0</v>
      </c>
      <c r="O29" s="1">
        <f t="shared" si="7"/>
        <v>0</v>
      </c>
      <c r="P29" s="1">
        <f t="shared" si="8"/>
        <v>0</v>
      </c>
      <c r="Q29" s="1">
        <f t="shared" si="9"/>
        <v>0</v>
      </c>
      <c r="R29" s="1">
        <f t="shared" si="10"/>
        <v>0</v>
      </c>
      <c r="S29" s="1">
        <f t="shared" si="11"/>
        <v>0</v>
      </c>
      <c r="T29" s="1">
        <f t="shared" si="12"/>
        <v>0</v>
      </c>
      <c r="U29" s="1">
        <f t="shared" si="13"/>
        <v>0</v>
      </c>
      <c r="V29" s="1">
        <f t="shared" si="14"/>
        <v>0</v>
      </c>
      <c r="W29" s="1">
        <f t="shared" si="15"/>
        <v>0</v>
      </c>
      <c r="X29" s="74">
        <f t="shared" si="16"/>
        <v>0</v>
      </c>
      <c r="Z29" s="77">
        <f t="shared" si="17"/>
        <v>0</v>
      </c>
    </row>
    <row r="30" spans="2:26" ht="18.75" customHeight="1" x14ac:dyDescent="0.25">
      <c r="B30" s="64">
        <f>+B12</f>
        <v>0</v>
      </c>
      <c r="C30" s="2">
        <f>IF(B30=0,0,IF(ISERROR(1/I24),0,1/I24))</f>
        <v>0</v>
      </c>
      <c r="D30" s="2">
        <f>IF(B30=0,0,IF(ISERROR(1/I25),0,1/I25))</f>
        <v>0</v>
      </c>
      <c r="E30" s="2">
        <f>IF(B30=0,0,IF(ISERROR(1/I26),0,1/I26))</f>
        <v>0</v>
      </c>
      <c r="F30" s="2">
        <f>IF(B30=0,0,IF(ISERROR(1/I27),0,1/I27))</f>
        <v>0</v>
      </c>
      <c r="G30" s="2">
        <f>IF(B30=0,0,IF(ISERROR(1/I28),0,1/I28))</f>
        <v>0</v>
      </c>
      <c r="H30" s="2">
        <f>IF(B30=0,0,IF(ISERROR(1/I29),0,1/I29))</f>
        <v>0</v>
      </c>
      <c r="I30" s="60" t="e">
        <f>#N/A</f>
        <v>#N/A</v>
      </c>
      <c r="J30" s="2">
        <f t="shared" si="4"/>
        <v>1</v>
      </c>
      <c r="K30" s="2">
        <f t="shared" si="5"/>
        <v>1</v>
      </c>
      <c r="L30" s="65">
        <f t="shared" si="6"/>
        <v>1</v>
      </c>
      <c r="N30" s="73">
        <v>0</v>
      </c>
      <c r="O30" s="1">
        <f t="shared" si="7"/>
        <v>0</v>
      </c>
      <c r="P30" s="1">
        <f t="shared" si="8"/>
        <v>0</v>
      </c>
      <c r="Q30" s="1">
        <f t="shared" si="9"/>
        <v>0</v>
      </c>
      <c r="R30" s="1">
        <f t="shared" si="10"/>
        <v>0</v>
      </c>
      <c r="S30" s="1">
        <f t="shared" si="11"/>
        <v>0</v>
      </c>
      <c r="T30" s="1">
        <f t="shared" si="12"/>
        <v>0</v>
      </c>
      <c r="U30" s="1">
        <f t="shared" si="13"/>
        <v>0</v>
      </c>
      <c r="V30" s="1">
        <f t="shared" si="14"/>
        <v>0</v>
      </c>
      <c r="W30" s="1">
        <f t="shared" si="15"/>
        <v>0</v>
      </c>
      <c r="X30" s="74">
        <f t="shared" si="16"/>
        <v>0</v>
      </c>
      <c r="Z30" s="77">
        <f t="shared" si="17"/>
        <v>0</v>
      </c>
    </row>
    <row r="31" spans="2:26" ht="18" customHeight="1" x14ac:dyDescent="0.25">
      <c r="B31" s="64">
        <f>+B13</f>
        <v>0</v>
      </c>
      <c r="C31" s="2">
        <f>IF(B31=0,0,IF(ISERROR(1/J24),0,1/J24))</f>
        <v>0</v>
      </c>
      <c r="D31" s="2">
        <f>IF(B31=0,0,IF(ISERROR(1/J25),0,1/J25))</f>
        <v>0</v>
      </c>
      <c r="E31" s="2">
        <f>IF(B31=0,0,IF(ISERROR(1/J26),0,1/J26))</f>
        <v>0</v>
      </c>
      <c r="F31" s="2">
        <f>IF(B31=0,0,IF(ISERROR(1/J27),0,1/J27))</f>
        <v>0</v>
      </c>
      <c r="G31" s="2">
        <f>IF(B31=0,0,IF(ISERROR(1/J28),0,1/J28))</f>
        <v>0</v>
      </c>
      <c r="H31" s="2">
        <f>IF(B31=0,0,IF(ISERROR(1/J29),0,1/J29))</f>
        <v>0</v>
      </c>
      <c r="I31" s="2">
        <f>IF(B31=0,0,IF(ISERROR(1/J30),0,1/J30))</f>
        <v>0</v>
      </c>
      <c r="J31" s="60" t="e">
        <f>#N/A</f>
        <v>#N/A</v>
      </c>
      <c r="K31" s="2">
        <f t="shared" si="5"/>
        <v>1</v>
      </c>
      <c r="L31" s="65">
        <f t="shared" si="6"/>
        <v>1</v>
      </c>
      <c r="N31" s="73">
        <v>0</v>
      </c>
      <c r="O31" s="1">
        <f t="shared" si="7"/>
        <v>0</v>
      </c>
      <c r="P31" s="1">
        <f t="shared" si="8"/>
        <v>0</v>
      </c>
      <c r="Q31" s="1">
        <f t="shared" si="9"/>
        <v>0</v>
      </c>
      <c r="R31" s="1">
        <f t="shared" si="10"/>
        <v>0</v>
      </c>
      <c r="S31" s="1">
        <f t="shared" si="11"/>
        <v>0</v>
      </c>
      <c r="T31" s="1">
        <f t="shared" si="12"/>
        <v>0</v>
      </c>
      <c r="U31" s="1">
        <f t="shared" si="13"/>
        <v>0</v>
      </c>
      <c r="V31" s="1">
        <f t="shared" si="14"/>
        <v>0</v>
      </c>
      <c r="W31" s="1">
        <f t="shared" si="15"/>
        <v>0</v>
      </c>
      <c r="X31" s="74">
        <f t="shared" si="16"/>
        <v>0</v>
      </c>
      <c r="Z31" s="77">
        <f t="shared" si="17"/>
        <v>0</v>
      </c>
    </row>
    <row r="32" spans="2:26" ht="17.25" customHeight="1" x14ac:dyDescent="0.25">
      <c r="B32" s="64">
        <f>+B14</f>
        <v>0</v>
      </c>
      <c r="C32" s="2">
        <f>IF(B32=0,0,IF(ISERROR(1/K24),0,1/K24))</f>
        <v>0</v>
      </c>
      <c r="D32" s="2">
        <f>IF(B32=0,0,IF(ISERROR(1/K25),0,1/K25))</f>
        <v>0</v>
      </c>
      <c r="E32" s="2">
        <f>IF(B32=0,0,IF(ISERROR(1/K26),0,1/K26))</f>
        <v>0</v>
      </c>
      <c r="F32" s="2">
        <f>IF(B32=0,0,IF(ISERROR(1/K27),0,1/K27))</f>
        <v>0</v>
      </c>
      <c r="G32" s="2">
        <f>IF(B32=0,0,IF(ISERROR(1/K28),0,1/K28))</f>
        <v>0</v>
      </c>
      <c r="H32" s="2">
        <f>IF(B32=0,0,IF(ISERROR(1/K29),0,1/K29))</f>
        <v>0</v>
      </c>
      <c r="I32" s="2">
        <f>IF(B32=0,0,IF(ISERROR(1/K30),0,1/K30))</f>
        <v>0</v>
      </c>
      <c r="J32" s="2">
        <f>IF(B32=0,0,IF(ISERROR(1/K31),0,1/K31))</f>
        <v>0</v>
      </c>
      <c r="K32" s="60" t="e">
        <f>#N/A</f>
        <v>#N/A</v>
      </c>
      <c r="L32" s="65">
        <f t="shared" si="6"/>
        <v>1</v>
      </c>
      <c r="N32" s="73">
        <v>0</v>
      </c>
      <c r="O32" s="1">
        <f t="shared" si="7"/>
        <v>0</v>
      </c>
      <c r="P32" s="1">
        <f t="shared" si="8"/>
        <v>0</v>
      </c>
      <c r="Q32" s="1">
        <f t="shared" si="9"/>
        <v>0</v>
      </c>
      <c r="R32" s="1">
        <f t="shared" si="10"/>
        <v>0</v>
      </c>
      <c r="S32" s="1">
        <f t="shared" si="11"/>
        <v>0</v>
      </c>
      <c r="T32" s="1">
        <f t="shared" si="12"/>
        <v>0</v>
      </c>
      <c r="U32" s="1">
        <f t="shared" si="13"/>
        <v>0</v>
      </c>
      <c r="V32" s="1">
        <f t="shared" si="14"/>
        <v>0</v>
      </c>
      <c r="W32" s="1">
        <f t="shared" si="15"/>
        <v>0</v>
      </c>
      <c r="X32" s="74">
        <f t="shared" si="16"/>
        <v>0</v>
      </c>
      <c r="Z32" s="77">
        <f t="shared" si="17"/>
        <v>0</v>
      </c>
    </row>
    <row r="33" spans="2:26" ht="27.75" customHeight="1" thickBot="1" x14ac:dyDescent="0.3">
      <c r="B33" s="64">
        <f>+B15</f>
        <v>0</v>
      </c>
      <c r="C33" s="2">
        <f>IF(B33=0,0,IF(ISERROR(1/L24),0,1/L24))</f>
        <v>0</v>
      </c>
      <c r="D33" s="2">
        <f>IF(B33=0,0,IF(ISERROR(1/L25),0,1/L25))</f>
        <v>0</v>
      </c>
      <c r="E33" s="2">
        <f>IF(B33=0,0,IF(ISERROR(1/L26),0,1/L26))</f>
        <v>0</v>
      </c>
      <c r="F33" s="2">
        <f>IF(B33=0,0,IF(ISERROR(1/L27),0,1/L27))</f>
        <v>0</v>
      </c>
      <c r="G33" s="2">
        <f>IF(B33=0,0,IF(ISERROR(1/L28),0,1/L28))</f>
        <v>0</v>
      </c>
      <c r="H33" s="2">
        <f>IF(B33=0,0,IF(ISERROR(1/L29),0,1/L29))</f>
        <v>0</v>
      </c>
      <c r="I33" s="2">
        <f>IF(B33=0,0,IF(ISERROR(1/L30),0,1/L30))</f>
        <v>0</v>
      </c>
      <c r="J33" s="2">
        <f>IF(B33=0,0,IF(ISERROR(1/L31),0,1/L31))</f>
        <v>0</v>
      </c>
      <c r="K33" s="2">
        <f>IF(B33=0,0,IF(ISERROR(1/L32),0,1/L32))</f>
        <v>0</v>
      </c>
      <c r="L33" s="66">
        <f>IF(C15-$C$15+1&gt;1,0,C15-$C$15+1)</f>
        <v>1</v>
      </c>
      <c r="N33" s="75">
        <v>0</v>
      </c>
      <c r="O33" s="68">
        <f t="shared" si="7"/>
        <v>0</v>
      </c>
      <c r="P33" s="68">
        <f t="shared" si="8"/>
        <v>0</v>
      </c>
      <c r="Q33" s="68">
        <f t="shared" si="9"/>
        <v>0</v>
      </c>
      <c r="R33" s="68">
        <f t="shared" si="10"/>
        <v>0</v>
      </c>
      <c r="S33" s="68">
        <f t="shared" si="11"/>
        <v>0</v>
      </c>
      <c r="T33" s="68">
        <f t="shared" si="12"/>
        <v>0</v>
      </c>
      <c r="U33" s="68">
        <f t="shared" si="13"/>
        <v>0</v>
      </c>
      <c r="V33" s="68">
        <f t="shared" si="14"/>
        <v>0</v>
      </c>
      <c r="W33" s="68">
        <f t="shared" si="15"/>
        <v>0</v>
      </c>
      <c r="X33" s="69">
        <f t="shared" si="16"/>
        <v>0</v>
      </c>
      <c r="Z33" s="77">
        <f t="shared" si="17"/>
        <v>0</v>
      </c>
    </row>
    <row r="34" spans="2:26" ht="17.25" customHeight="1" thickBot="1" x14ac:dyDescent="0.3">
      <c r="B34" s="67" t="s">
        <v>7</v>
      </c>
      <c r="C34" s="68">
        <f t="shared" ref="C34:L34" si="18">IF(C23=0,0,SUM(C24:C33))</f>
        <v>2.666666666666667</v>
      </c>
      <c r="D34" s="68">
        <f t="shared" si="18"/>
        <v>5</v>
      </c>
      <c r="E34" s="68">
        <f t="shared" si="18"/>
        <v>5</v>
      </c>
      <c r="F34" s="68">
        <f t="shared" si="18"/>
        <v>9</v>
      </c>
      <c r="G34" s="68">
        <f t="shared" si="18"/>
        <v>9</v>
      </c>
      <c r="H34" s="68">
        <f t="shared" si="18"/>
        <v>0</v>
      </c>
      <c r="I34" s="68">
        <f t="shared" si="18"/>
        <v>0</v>
      </c>
      <c r="J34" s="68">
        <f t="shared" si="18"/>
        <v>0</v>
      </c>
      <c r="K34" s="68">
        <f t="shared" si="18"/>
        <v>0</v>
      </c>
      <c r="L34" s="69">
        <f t="shared" si="18"/>
        <v>0</v>
      </c>
      <c r="Y34" s="114" t="s">
        <v>11</v>
      </c>
      <c r="Z34" s="78">
        <f>SUM(Z24:Z33)</f>
        <v>0.99999999999999989</v>
      </c>
    </row>
  </sheetData>
  <mergeCells count="19">
    <mergeCell ref="H6:R6"/>
    <mergeCell ref="M7:R8"/>
    <mergeCell ref="H7:I8"/>
    <mergeCell ref="J7:L8"/>
    <mergeCell ref="H11:I11"/>
    <mergeCell ref="J11:L11"/>
    <mergeCell ref="H9:I9"/>
    <mergeCell ref="J9:L9"/>
    <mergeCell ref="H10:I10"/>
    <mergeCell ref="J10:L10"/>
    <mergeCell ref="M9:R9"/>
    <mergeCell ref="M10:R10"/>
    <mergeCell ref="H12:I12"/>
    <mergeCell ref="J12:L12"/>
    <mergeCell ref="H13:I13"/>
    <mergeCell ref="J13:L13"/>
    <mergeCell ref="M11:R11"/>
    <mergeCell ref="M12:R12"/>
    <mergeCell ref="M13:R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9C60-274B-489C-BAC2-35121BA84D27}">
  <dimension ref="B2:O40"/>
  <sheetViews>
    <sheetView zoomScale="80" zoomScaleNormal="80" workbookViewId="0">
      <selection activeCell="I3" sqref="I3:O3"/>
    </sheetView>
  </sheetViews>
  <sheetFormatPr baseColWidth="10" defaultRowHeight="15" x14ac:dyDescent="0.25"/>
  <cols>
    <col min="2" max="2" width="22.85546875" customWidth="1"/>
    <col min="3" max="3" width="16.28515625" bestFit="1" customWidth="1"/>
    <col min="4" max="4" width="16.5703125" customWidth="1"/>
    <col min="5" max="7" width="18.42578125" bestFit="1" customWidth="1"/>
    <col min="9" max="9" width="20.7109375" bestFit="1" customWidth="1"/>
    <col min="10" max="10" width="20.7109375" customWidth="1"/>
    <col min="11" max="12" width="16.28515625" bestFit="1" customWidth="1"/>
    <col min="13" max="15" width="18.42578125" bestFit="1" customWidth="1"/>
  </cols>
  <sheetData>
    <row r="2" spans="2:15" ht="15.75" thickBot="1" x14ac:dyDescent="0.3"/>
    <row r="3" spans="2:15" x14ac:dyDescent="0.25">
      <c r="B3" s="158" t="s">
        <v>117</v>
      </c>
      <c r="C3" s="159"/>
      <c r="D3" s="159"/>
      <c r="E3" s="159"/>
      <c r="F3" s="159"/>
      <c r="G3" s="160"/>
      <c r="I3" s="158" t="s">
        <v>116</v>
      </c>
      <c r="J3" s="159"/>
      <c r="K3" s="159"/>
      <c r="L3" s="159"/>
      <c r="M3" s="159"/>
      <c r="N3" s="159"/>
      <c r="O3" s="160"/>
    </row>
    <row r="4" spans="2:15" ht="45" customHeight="1" x14ac:dyDescent="0.25">
      <c r="B4" s="91" t="s">
        <v>114</v>
      </c>
      <c r="C4" s="59" t="s">
        <v>123</v>
      </c>
      <c r="D4" s="59" t="s">
        <v>124</v>
      </c>
      <c r="E4" s="59" t="s">
        <v>125</v>
      </c>
      <c r="F4" s="59" t="s">
        <v>126</v>
      </c>
      <c r="G4" s="113" t="s">
        <v>127</v>
      </c>
      <c r="I4" s="91" t="s">
        <v>115</v>
      </c>
      <c r="J4" s="56" t="s">
        <v>12</v>
      </c>
      <c r="K4" s="59" t="s">
        <v>123</v>
      </c>
      <c r="L4" s="59" t="s">
        <v>124</v>
      </c>
      <c r="M4" s="59" t="s">
        <v>125</v>
      </c>
      <c r="N4" s="59" t="s">
        <v>126</v>
      </c>
      <c r="O4" s="113" t="s">
        <v>127</v>
      </c>
    </row>
    <row r="5" spans="2:15" x14ac:dyDescent="0.25">
      <c r="B5" s="35" t="s">
        <v>112</v>
      </c>
      <c r="C5" s="51">
        <v>340750</v>
      </c>
      <c r="D5" s="51">
        <v>330000</v>
      </c>
      <c r="E5" s="51">
        <v>615938</v>
      </c>
      <c r="F5" s="51">
        <v>619472</v>
      </c>
      <c r="G5" s="92">
        <v>734000</v>
      </c>
      <c r="I5" s="35" t="s">
        <v>81</v>
      </c>
      <c r="J5" s="8">
        <v>21</v>
      </c>
      <c r="K5" s="46">
        <v>1</v>
      </c>
      <c r="L5" s="46">
        <v>1</v>
      </c>
      <c r="M5" s="46">
        <v>-1</v>
      </c>
      <c r="N5" s="46">
        <v>-1</v>
      </c>
      <c r="O5" s="95">
        <v>-1</v>
      </c>
    </row>
    <row r="6" spans="2:15" ht="19.5" customHeight="1" x14ac:dyDescent="0.25">
      <c r="B6" s="93" t="s">
        <v>113</v>
      </c>
      <c r="C6" s="5">
        <v>175</v>
      </c>
      <c r="D6" s="12">
        <v>200</v>
      </c>
      <c r="E6" s="12">
        <v>350</v>
      </c>
      <c r="F6" s="12">
        <v>465</v>
      </c>
      <c r="G6" s="34">
        <v>405</v>
      </c>
      <c r="I6" s="35" t="s">
        <v>78</v>
      </c>
      <c r="J6" s="8">
        <v>38</v>
      </c>
      <c r="K6" s="5">
        <v>-1</v>
      </c>
      <c r="L6" s="12">
        <v>-1</v>
      </c>
      <c r="M6" s="12">
        <v>0</v>
      </c>
      <c r="N6" s="12">
        <v>1</v>
      </c>
      <c r="O6" s="34">
        <v>1</v>
      </c>
    </row>
    <row r="7" spans="2:15" x14ac:dyDescent="0.25">
      <c r="B7" s="35" t="s">
        <v>79</v>
      </c>
      <c r="C7" s="23">
        <v>0.17649999999999999</v>
      </c>
      <c r="D7" s="23">
        <v>0.15190000000000001</v>
      </c>
      <c r="E7" s="23">
        <v>0.20799999999999999</v>
      </c>
      <c r="F7" s="23">
        <v>0.20399999999999999</v>
      </c>
      <c r="G7" s="94">
        <v>0.21099999999999999</v>
      </c>
      <c r="I7" s="35" t="s">
        <v>79</v>
      </c>
      <c r="J7" s="8">
        <v>21</v>
      </c>
      <c r="K7" s="12">
        <v>0</v>
      </c>
      <c r="L7" s="12">
        <v>-1</v>
      </c>
      <c r="M7" s="12">
        <v>1</v>
      </c>
      <c r="N7" s="12">
        <v>1</v>
      </c>
      <c r="O7" s="34">
        <v>1</v>
      </c>
    </row>
    <row r="8" spans="2:15" x14ac:dyDescent="0.25">
      <c r="B8" s="35" t="s">
        <v>80</v>
      </c>
      <c r="C8" s="12">
        <v>11</v>
      </c>
      <c r="D8" s="12">
        <v>13</v>
      </c>
      <c r="E8" s="12">
        <v>18.7</v>
      </c>
      <c r="F8" s="12">
        <v>25</v>
      </c>
      <c r="G8" s="34">
        <v>21</v>
      </c>
      <c r="I8" s="35" t="s">
        <v>80</v>
      </c>
      <c r="J8" s="8">
        <v>10</v>
      </c>
      <c r="K8" s="12">
        <v>1</v>
      </c>
      <c r="L8" s="12">
        <v>1</v>
      </c>
      <c r="M8" s="12">
        <v>0</v>
      </c>
      <c r="N8" s="12">
        <v>-1</v>
      </c>
      <c r="O8" s="34">
        <v>-1</v>
      </c>
    </row>
    <row r="9" spans="2:15" ht="15.75" thickBot="1" x14ac:dyDescent="0.3">
      <c r="B9" s="36" t="s">
        <v>3</v>
      </c>
      <c r="C9" s="37">
        <v>0.9</v>
      </c>
      <c r="D9" s="37">
        <v>1.2</v>
      </c>
      <c r="E9" s="37">
        <v>1.6</v>
      </c>
      <c r="F9" s="37">
        <v>2.2000000000000002</v>
      </c>
      <c r="G9" s="39">
        <v>1.9</v>
      </c>
      <c r="I9" s="35" t="s">
        <v>3</v>
      </c>
      <c r="J9" s="8">
        <v>10</v>
      </c>
      <c r="K9" s="12">
        <v>1</v>
      </c>
      <c r="L9" s="12">
        <v>0</v>
      </c>
      <c r="M9" s="12">
        <v>0</v>
      </c>
      <c r="N9" s="12">
        <v>-1</v>
      </c>
      <c r="O9" s="34">
        <v>0</v>
      </c>
    </row>
    <row r="10" spans="2:15" ht="15.75" thickBot="1" x14ac:dyDescent="0.3">
      <c r="I10" s="36" t="s">
        <v>11</v>
      </c>
      <c r="J10" s="96">
        <f>+SUM(J5:J9)</f>
        <v>100</v>
      </c>
      <c r="K10" s="96">
        <f>(J5*K5)+(J6*K6)+(J7*K7)+(J8*K8)+(J9*K9)</f>
        <v>3</v>
      </c>
      <c r="L10" s="96">
        <f t="shared" ref="L10:O10" si="0">(K5*L5)+(K6*L6)+(K7*L7)+(K8*L8)+(K9*L9)</f>
        <v>3</v>
      </c>
      <c r="M10" s="96">
        <f t="shared" si="0"/>
        <v>-2</v>
      </c>
      <c r="N10" s="96">
        <f t="shared" si="0"/>
        <v>2</v>
      </c>
      <c r="O10" s="97">
        <f t="shared" si="0"/>
        <v>4</v>
      </c>
    </row>
    <row r="12" spans="2:15" x14ac:dyDescent="0.25">
      <c r="B12" s="153" t="s">
        <v>13</v>
      </c>
      <c r="C12" s="154"/>
      <c r="D12" s="155"/>
    </row>
    <row r="13" spans="2:15" x14ac:dyDescent="0.25">
      <c r="B13" s="156" t="s">
        <v>14</v>
      </c>
      <c r="C13" s="157"/>
      <c r="D13" s="58" t="s">
        <v>15</v>
      </c>
    </row>
    <row r="14" spans="2:15" x14ac:dyDescent="0.25">
      <c r="B14" s="6">
        <f>MAX($C$5:$G$5)-((MAX($C$5:$G$5)-MIN($C$5:$G$5))/3)</f>
        <v>599333.33333333337</v>
      </c>
      <c r="C14" s="6"/>
      <c r="D14" s="2">
        <v>-1</v>
      </c>
    </row>
    <row r="15" spans="2:15" x14ac:dyDescent="0.25">
      <c r="B15" s="6">
        <f>2*((MAX($C$5:$G$5)-MIN($C$5:$G$5))/3)+MIN($C$5:$G$5)</f>
        <v>599333.33333333326</v>
      </c>
      <c r="C15" s="6">
        <f>MAX($C$5:$G$5)-2*((MAX($C$5:$G$5)-MIN($C$5:$G$5))/3)</f>
        <v>464666.66666666669</v>
      </c>
      <c r="D15" s="2">
        <v>0</v>
      </c>
    </row>
    <row r="16" spans="2:15" x14ac:dyDescent="0.25">
      <c r="B16" s="6">
        <f>MAX($B$4:$H$4)-2*((MAX($B$4:$H$4)-MIN($B$4:$H$4))/3)</f>
        <v>0</v>
      </c>
      <c r="C16" s="6">
        <f>MAX(C5:G5)-2*((MAX($C$5:$G$5)-MIN($C$5:$G$5))/3)</f>
        <v>464666.66666666669</v>
      </c>
      <c r="D16" s="2">
        <v>1</v>
      </c>
    </row>
    <row r="18" spans="2:4" x14ac:dyDescent="0.25">
      <c r="B18" s="153" t="s">
        <v>16</v>
      </c>
      <c r="C18" s="154"/>
      <c r="D18" s="155"/>
    </row>
    <row r="19" spans="2:4" x14ac:dyDescent="0.25">
      <c r="B19" s="156" t="s">
        <v>14</v>
      </c>
      <c r="C19" s="157"/>
      <c r="D19" s="58" t="s">
        <v>15</v>
      </c>
    </row>
    <row r="20" spans="2:4" x14ac:dyDescent="0.25">
      <c r="B20" s="7">
        <f>MAX($C$8:$G$8)-((MAX($C$8:$G$8)-MIN($C$8:$G$8))/3)</f>
        <v>20.333333333333332</v>
      </c>
      <c r="C20" s="7"/>
      <c r="D20" s="2">
        <v>-1</v>
      </c>
    </row>
    <row r="21" spans="2:4" x14ac:dyDescent="0.25">
      <c r="B21" s="7">
        <f>2*((MAX($C$8:$G$8)-MIN($C$8:$G$8))/3)+MIN($C$8:$G$8)</f>
        <v>20.333333333333336</v>
      </c>
      <c r="C21" s="7">
        <f>MAX($C$8:$G$8)-2*((MAX($C$8:$G$8)-MIN($C$8:$G$8))/3)</f>
        <v>15.666666666666666</v>
      </c>
      <c r="D21" s="2">
        <v>0</v>
      </c>
    </row>
    <row r="22" spans="2:4" x14ac:dyDescent="0.25">
      <c r="B22" s="7"/>
      <c r="C22" s="7">
        <f>MAX(C8:G8)-2*((MAX($C$8:$G$8)-MIN($C$8:$G$8))/3)</f>
        <v>15.666666666666666</v>
      </c>
      <c r="D22" s="2">
        <v>1</v>
      </c>
    </row>
    <row r="24" spans="2:4" x14ac:dyDescent="0.25">
      <c r="B24" s="153" t="s">
        <v>19</v>
      </c>
      <c r="C24" s="154"/>
      <c r="D24" s="155"/>
    </row>
    <row r="25" spans="2:4" x14ac:dyDescent="0.25">
      <c r="B25" s="156" t="s">
        <v>14</v>
      </c>
      <c r="C25" s="157"/>
      <c r="D25" s="58" t="s">
        <v>15</v>
      </c>
    </row>
    <row r="26" spans="2:4" x14ac:dyDescent="0.25">
      <c r="B26" s="8">
        <f>((MAX($C$6:$G$6)-MIN($C$6:$G$6))/3)+MIN($C$6:$G$6)</f>
        <v>271.66666666666669</v>
      </c>
      <c r="C26" s="8"/>
      <c r="D26" s="2">
        <v>-1</v>
      </c>
    </row>
    <row r="27" spans="2:4" x14ac:dyDescent="0.25">
      <c r="B27" s="8">
        <f>((MAX($C$6:$G$6)-MIN($C$6:$G$6))/3)+MIN($C$6:$G$6)</f>
        <v>271.66666666666669</v>
      </c>
      <c r="C27" s="8">
        <f>2*((MAX($C$6:$G$6)-MIN($C$6:$G$6))/3)+MIN($C$6:$G$6)</f>
        <v>368.33333333333337</v>
      </c>
      <c r="D27" s="2">
        <v>0</v>
      </c>
    </row>
    <row r="28" spans="2:4" x14ac:dyDescent="0.25">
      <c r="B28" s="8"/>
      <c r="C28" s="8">
        <f>2*((MAX($C$6:$G$6)-MIN($C$6:$G$6))/3)+MIN($C$6:$G$6)</f>
        <v>368.33333333333337</v>
      </c>
      <c r="D28" s="2">
        <v>1</v>
      </c>
    </row>
    <row r="30" spans="2:4" x14ac:dyDescent="0.25">
      <c r="B30" s="153" t="s">
        <v>17</v>
      </c>
      <c r="C30" s="154"/>
      <c r="D30" s="155"/>
    </row>
    <row r="31" spans="2:4" x14ac:dyDescent="0.25">
      <c r="B31" s="156" t="s">
        <v>14</v>
      </c>
      <c r="C31" s="157"/>
      <c r="D31" s="58" t="s">
        <v>15</v>
      </c>
    </row>
    <row r="32" spans="2:4" x14ac:dyDescent="0.25">
      <c r="B32" s="47">
        <f>((MAX($C$7:$G$7)-MIN($C$7:$G$7))/3)+MIN($C$7:$G$7)</f>
        <v>0.1716</v>
      </c>
      <c r="C32" s="8"/>
      <c r="D32" s="2">
        <v>-1</v>
      </c>
    </row>
    <row r="33" spans="2:4" x14ac:dyDescent="0.25">
      <c r="B33" s="47">
        <f>((MAX($C$7:$G$7)-MIN($C$7:$G$7))/3)+MIN($C$7:$G$7)</f>
        <v>0.1716</v>
      </c>
      <c r="C33" s="47">
        <f>2*((MAX($C$7:$G$7)-MIN($C$7:$G$7))/3)+MIN($C$7:$G$7)</f>
        <v>0.1913</v>
      </c>
      <c r="D33" s="2">
        <v>0</v>
      </c>
    </row>
    <row r="34" spans="2:4" x14ac:dyDescent="0.25">
      <c r="B34" s="8"/>
      <c r="C34" s="47">
        <f>2*((MAX($C$7:$G$7)-MIN($C$7:$G$7))/3)+MIN($C$7:$G$7)</f>
        <v>0.1913</v>
      </c>
      <c r="D34" s="2">
        <v>1</v>
      </c>
    </row>
    <row r="36" spans="2:4" x14ac:dyDescent="0.25">
      <c r="B36" s="153" t="s">
        <v>18</v>
      </c>
      <c r="C36" s="154"/>
      <c r="D36" s="155"/>
    </row>
    <row r="37" spans="2:4" x14ac:dyDescent="0.25">
      <c r="B37" s="156" t="s">
        <v>14</v>
      </c>
      <c r="C37" s="157"/>
      <c r="D37" s="58" t="s">
        <v>15</v>
      </c>
    </row>
    <row r="38" spans="2:4" x14ac:dyDescent="0.25">
      <c r="B38" s="7">
        <f>MAX($C$9:$G$9)-((MAX($C$9:$G$9)-MIN($C$9:$G$9))/3)</f>
        <v>1.7666666666666668</v>
      </c>
      <c r="C38" s="7"/>
      <c r="D38" s="2">
        <v>-1</v>
      </c>
    </row>
    <row r="39" spans="2:4" x14ac:dyDescent="0.25">
      <c r="B39" s="7">
        <f>2*((MAX($C$9:$G$9)-MIN($C$9:$G$9))/3)+MIN($C$9:$G$9)</f>
        <v>1.7666666666666668</v>
      </c>
      <c r="C39" s="7">
        <f>MAX($C$9:$G$9)-2*((MAX($C$9:$G$9)-MIN($C$9:$G$9))/3)</f>
        <v>1.3333333333333335</v>
      </c>
      <c r="D39" s="2">
        <v>0</v>
      </c>
    </row>
    <row r="40" spans="2:4" x14ac:dyDescent="0.25">
      <c r="B40" s="7"/>
      <c r="C40" s="7">
        <f>MAX(C9:G9)-2*((MAX($C$9:$G$9)-MIN($C$9:$G$9))/3)</f>
        <v>1.3333333333333335</v>
      </c>
      <c r="D40" s="2">
        <v>1</v>
      </c>
    </row>
  </sheetData>
  <mergeCells count="12">
    <mergeCell ref="B30:D30"/>
    <mergeCell ref="B31:C31"/>
    <mergeCell ref="B36:D36"/>
    <mergeCell ref="B37:C37"/>
    <mergeCell ref="I3:O3"/>
    <mergeCell ref="B3:G3"/>
    <mergeCell ref="B12:D12"/>
    <mergeCell ref="B13:C13"/>
    <mergeCell ref="B18:D18"/>
    <mergeCell ref="B19:C19"/>
    <mergeCell ref="B24:D24"/>
    <mergeCell ref="B25:C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4EF5-A187-47B6-BB21-06592BCD9DB8}">
  <dimension ref="A2:V33"/>
  <sheetViews>
    <sheetView zoomScale="70" zoomScaleNormal="70" workbookViewId="0">
      <selection activeCell="F11" sqref="F11"/>
    </sheetView>
  </sheetViews>
  <sheetFormatPr baseColWidth="10" defaultRowHeight="15" x14ac:dyDescent="0.25"/>
  <cols>
    <col min="1" max="1" width="29.140625" customWidth="1"/>
    <col min="4" max="4" width="13.28515625" bestFit="1" customWidth="1"/>
    <col min="7" max="7" width="20" bestFit="1" customWidth="1"/>
    <col min="8" max="8" width="18.140625" customWidth="1"/>
    <col min="14" max="14" width="18.140625" bestFit="1" customWidth="1"/>
    <col min="15" max="15" width="49.140625" bestFit="1" customWidth="1"/>
  </cols>
  <sheetData>
    <row r="2" spans="1:22" ht="15.75" thickBot="1" x14ac:dyDescent="0.3"/>
    <row r="3" spans="1:22" x14ac:dyDescent="0.25">
      <c r="A3" s="80" t="s">
        <v>141</v>
      </c>
      <c r="B3" s="120" t="s">
        <v>30</v>
      </c>
      <c r="C3" s="120" t="s">
        <v>75</v>
      </c>
      <c r="D3" s="81" t="s">
        <v>76</v>
      </c>
      <c r="F3" s="173" t="s">
        <v>58</v>
      </c>
      <c r="G3" s="174"/>
      <c r="H3" s="174"/>
      <c r="I3" s="175" t="s">
        <v>59</v>
      </c>
      <c r="J3" s="175"/>
      <c r="K3" s="175"/>
      <c r="L3" s="175"/>
      <c r="M3" s="176"/>
      <c r="O3" s="30" t="s">
        <v>65</v>
      </c>
      <c r="P3" s="29" t="s">
        <v>75</v>
      </c>
      <c r="Q3" s="29" t="s">
        <v>76</v>
      </c>
    </row>
    <row r="4" spans="1:22" ht="30" x14ac:dyDescent="0.25">
      <c r="A4" s="136" t="s">
        <v>31</v>
      </c>
      <c r="B4" s="12" t="s">
        <v>33</v>
      </c>
      <c r="C4" s="21">
        <v>12.28</v>
      </c>
      <c r="D4" s="135" t="s">
        <v>21</v>
      </c>
      <c r="F4" s="40" t="s">
        <v>52</v>
      </c>
      <c r="G4" s="24" t="s">
        <v>53</v>
      </c>
      <c r="H4" s="24" t="s">
        <v>57</v>
      </c>
      <c r="I4" s="24" t="s">
        <v>60</v>
      </c>
      <c r="J4" s="24" t="s">
        <v>61</v>
      </c>
      <c r="K4" s="24" t="s">
        <v>62</v>
      </c>
      <c r="L4" s="24" t="s">
        <v>63</v>
      </c>
      <c r="M4" s="41" t="s">
        <v>64</v>
      </c>
      <c r="O4" s="28" t="s">
        <v>66</v>
      </c>
      <c r="P4" s="12">
        <v>400</v>
      </c>
      <c r="Q4" s="12" t="s">
        <v>27</v>
      </c>
      <c r="S4" s="165"/>
      <c r="T4" s="165"/>
    </row>
    <row r="5" spans="1:22" ht="45" x14ac:dyDescent="0.25">
      <c r="A5" s="136" t="s">
        <v>32</v>
      </c>
      <c r="B5" s="12" t="s">
        <v>34</v>
      </c>
      <c r="C5" s="12">
        <v>0.04</v>
      </c>
      <c r="D5" s="34" t="s">
        <v>41</v>
      </c>
      <c r="E5" s="20"/>
      <c r="F5" s="42" t="s">
        <v>54</v>
      </c>
      <c r="G5" s="12">
        <f>M5-((45-20)*(1000/800))</f>
        <v>-6.25</v>
      </c>
      <c r="H5" s="12">
        <v>1000</v>
      </c>
      <c r="I5" s="22">
        <f>$C$4*(1+(($C$5/100)*((M5+273.15)-(25+273.15))))*(1000/1000)</f>
        <v>12.28</v>
      </c>
      <c r="J5" s="22">
        <f>$C$6*(1+(($C$7/100)*((M5+273.15)-(25+273.15))))</f>
        <v>41.2</v>
      </c>
      <c r="K5" s="23">
        <f>$C$8*(1+(($C$5/100)*((M5+273.15)-(25+273.15)))*(1000/1000))</f>
        <v>11.7</v>
      </c>
      <c r="L5" s="22">
        <f>$C$9*(1+(($C$7/100)*((M5+273.15)-(25+273.15))))</f>
        <v>34.200000000000003</v>
      </c>
      <c r="M5" s="34">
        <v>25</v>
      </c>
      <c r="O5" s="27" t="s">
        <v>67</v>
      </c>
      <c r="P5" s="12">
        <v>41.2</v>
      </c>
      <c r="Q5" s="12" t="s">
        <v>26</v>
      </c>
      <c r="S5" s="177"/>
      <c r="T5" s="177"/>
      <c r="U5" s="165"/>
      <c r="V5" s="165"/>
    </row>
    <row r="6" spans="1:22" ht="30" x14ac:dyDescent="0.25">
      <c r="A6" s="136" t="s">
        <v>35</v>
      </c>
      <c r="B6" s="12" t="s">
        <v>37</v>
      </c>
      <c r="C6" s="12">
        <v>41.2</v>
      </c>
      <c r="D6" s="34" t="s">
        <v>26</v>
      </c>
      <c r="E6" s="20"/>
      <c r="F6" s="42" t="s">
        <v>56</v>
      </c>
      <c r="G6" s="12">
        <v>18</v>
      </c>
      <c r="H6" s="12">
        <v>1000</v>
      </c>
      <c r="I6" s="22">
        <f>$C$4*(1+(($C$5/100)*((M6+273.15)-(25+273.15))))*(1000/1000)</f>
        <v>12.386835999999999</v>
      </c>
      <c r="J6" s="22">
        <f>$C$6*(1+(($C$7/100)*((M6+273.15)-(25+273.15))))</f>
        <v>38.959750000000007</v>
      </c>
      <c r="K6" s="23">
        <f>$C$8*(1+(($C$5/100)*((M6+273.15)-(25+273.15)))*(1000/1000))</f>
        <v>11.801789999999999</v>
      </c>
      <c r="L6" s="22">
        <f>$C$9*(1+(($C$7/100)*((M6+273.15)-(25+273.15))))</f>
        <v>32.340375000000002</v>
      </c>
      <c r="M6" s="34">
        <f>G6+(43-20)*(1000/800)</f>
        <v>46.75</v>
      </c>
      <c r="O6" s="27" t="s">
        <v>68</v>
      </c>
      <c r="P6" s="12">
        <v>9.6</v>
      </c>
      <c r="Q6" s="12" t="s">
        <v>21</v>
      </c>
      <c r="S6" s="177"/>
      <c r="T6" s="177"/>
      <c r="U6" s="165"/>
      <c r="V6" s="165"/>
    </row>
    <row r="7" spans="1:22" ht="29.25" customHeight="1" thickBot="1" x14ac:dyDescent="0.3">
      <c r="A7" s="136" t="s">
        <v>36</v>
      </c>
      <c r="B7" s="12" t="s">
        <v>38</v>
      </c>
      <c r="C7" s="12">
        <v>-0.25</v>
      </c>
      <c r="D7" s="34" t="s">
        <v>41</v>
      </c>
      <c r="E7" s="20"/>
      <c r="F7" s="43" t="s">
        <v>55</v>
      </c>
      <c r="G7" s="37">
        <v>33</v>
      </c>
      <c r="H7" s="37">
        <v>1000</v>
      </c>
      <c r="I7" s="44">
        <f>$C$4*(1+(($C$5/100)*((M7+273.15)-(25+273.15))))*(1000/1000)</f>
        <v>12.460515999999998</v>
      </c>
      <c r="J7" s="44">
        <f>$C$6*(1+(($C$7/100)*((M7+273.15)-(25+273.15))))</f>
        <v>37.414749999999998</v>
      </c>
      <c r="K7" s="45">
        <f>$C$8*(1+(($C$5/100)*((M7+273.15)-(25+273.15)))*(1000/1000))</f>
        <v>11.871989999999998</v>
      </c>
      <c r="L7" s="44">
        <f>$C$9*(1+(($C$7/100)*((M7+273.15)-(25+273.15))))</f>
        <v>31.057875000000003</v>
      </c>
      <c r="M7" s="39">
        <f>G7+(43-20)*(1000/800)</f>
        <v>61.75</v>
      </c>
      <c r="O7" s="27" t="s">
        <v>69</v>
      </c>
      <c r="P7" s="12">
        <v>49.8</v>
      </c>
      <c r="Q7" s="12" t="s">
        <v>26</v>
      </c>
    </row>
    <row r="8" spans="1:22" ht="29.25" customHeight="1" x14ac:dyDescent="0.25">
      <c r="A8" s="136" t="s">
        <v>42</v>
      </c>
      <c r="B8" s="12" t="s">
        <v>43</v>
      </c>
      <c r="C8" s="12">
        <v>11.7</v>
      </c>
      <c r="D8" s="34" t="s">
        <v>21</v>
      </c>
      <c r="E8" s="20"/>
      <c r="F8" s="20"/>
      <c r="G8" s="20"/>
      <c r="H8" s="20"/>
      <c r="I8" s="26"/>
      <c r="J8" s="26"/>
      <c r="K8" s="26"/>
      <c r="O8" s="27" t="s">
        <v>70</v>
      </c>
      <c r="P8" s="12">
        <v>10.36</v>
      </c>
      <c r="Q8" s="12" t="s">
        <v>21</v>
      </c>
    </row>
    <row r="9" spans="1:22" ht="30" customHeight="1" thickBot="1" x14ac:dyDescent="0.3">
      <c r="A9" s="137" t="s">
        <v>44</v>
      </c>
      <c r="B9" s="37" t="s">
        <v>45</v>
      </c>
      <c r="C9" s="37">
        <v>34.200000000000003</v>
      </c>
      <c r="D9" s="39" t="s">
        <v>26</v>
      </c>
      <c r="E9" s="20"/>
      <c r="F9" s="20"/>
      <c r="G9" s="20"/>
      <c r="H9" s="20"/>
      <c r="I9" s="25"/>
      <c r="J9" s="25"/>
      <c r="K9" s="25"/>
      <c r="O9" s="27" t="s">
        <v>71</v>
      </c>
      <c r="P9" s="12">
        <v>2.9729999999999999E-2</v>
      </c>
      <c r="Q9" s="12" t="s">
        <v>41</v>
      </c>
    </row>
    <row r="10" spans="1:22" ht="15.75" thickBot="1" x14ac:dyDescent="0.3">
      <c r="E10" s="20"/>
      <c r="F10" s="20"/>
      <c r="G10" s="20"/>
      <c r="H10" s="170" t="s">
        <v>140</v>
      </c>
      <c r="I10" s="171"/>
      <c r="J10" s="171"/>
      <c r="K10" s="171"/>
      <c r="L10" s="172"/>
      <c r="O10" s="27" t="s">
        <v>72</v>
      </c>
      <c r="P10" s="12">
        <v>-0.38038</v>
      </c>
      <c r="Q10" s="12" t="s">
        <v>41</v>
      </c>
    </row>
    <row r="11" spans="1:22" ht="46.5" customHeight="1" x14ac:dyDescent="0.25">
      <c r="E11" s="20"/>
      <c r="F11" s="20"/>
      <c r="H11" s="161"/>
      <c r="I11" s="162"/>
      <c r="J11" s="162"/>
      <c r="K11" s="162"/>
      <c r="L11" s="163"/>
      <c r="O11" s="27" t="s">
        <v>73</v>
      </c>
      <c r="P11" s="12">
        <v>-0.57401999999999997</v>
      </c>
      <c r="Q11" s="12" t="s">
        <v>41</v>
      </c>
    </row>
    <row r="12" spans="1:22" x14ac:dyDescent="0.25">
      <c r="E12" s="20"/>
      <c r="F12" s="20"/>
      <c r="H12" s="164"/>
      <c r="I12" s="165"/>
      <c r="J12" s="165"/>
      <c r="K12" s="165"/>
      <c r="L12" s="166"/>
      <c r="O12" s="14" t="s">
        <v>74</v>
      </c>
      <c r="P12" s="12">
        <v>45</v>
      </c>
      <c r="Q12" s="12" t="s">
        <v>77</v>
      </c>
    </row>
    <row r="13" spans="1:22" x14ac:dyDescent="0.25">
      <c r="E13" s="20"/>
      <c r="H13" s="164"/>
      <c r="I13" s="165"/>
      <c r="J13" s="165"/>
      <c r="K13" s="165"/>
      <c r="L13" s="166"/>
    </row>
    <row r="14" spans="1:22" x14ac:dyDescent="0.25">
      <c r="E14" s="20"/>
      <c r="F14" s="20"/>
      <c r="H14" s="164"/>
      <c r="I14" s="165"/>
      <c r="J14" s="165"/>
      <c r="K14" s="165"/>
      <c r="L14" s="166"/>
    </row>
    <row r="15" spans="1:22" ht="31.5" customHeight="1" x14ac:dyDescent="0.25">
      <c r="H15" s="164"/>
      <c r="I15" s="165"/>
      <c r="J15" s="165"/>
      <c r="K15" s="165"/>
      <c r="L15" s="166"/>
    </row>
    <row r="16" spans="1:22" x14ac:dyDescent="0.25">
      <c r="H16" s="164"/>
      <c r="I16" s="165"/>
      <c r="J16" s="165"/>
      <c r="K16" s="165"/>
      <c r="L16" s="166"/>
    </row>
    <row r="17" spans="8:12" x14ac:dyDescent="0.25">
      <c r="H17" s="164"/>
      <c r="I17" s="165"/>
      <c r="J17" s="165"/>
      <c r="K17" s="165"/>
      <c r="L17" s="166"/>
    </row>
    <row r="18" spans="8:12" x14ac:dyDescent="0.25">
      <c r="H18" s="164"/>
      <c r="I18" s="165"/>
      <c r="J18" s="165"/>
      <c r="K18" s="165"/>
      <c r="L18" s="166"/>
    </row>
    <row r="19" spans="8:12" x14ac:dyDescent="0.25">
      <c r="H19" s="164"/>
      <c r="I19" s="165"/>
      <c r="J19" s="165"/>
      <c r="K19" s="165"/>
      <c r="L19" s="166"/>
    </row>
    <row r="20" spans="8:12" x14ac:dyDescent="0.25">
      <c r="H20" s="164"/>
      <c r="I20" s="165"/>
      <c r="J20" s="165"/>
      <c r="K20" s="165"/>
      <c r="L20" s="166"/>
    </row>
    <row r="21" spans="8:12" x14ac:dyDescent="0.25">
      <c r="H21" s="164"/>
      <c r="I21" s="165"/>
      <c r="J21" s="165"/>
      <c r="K21" s="165"/>
      <c r="L21" s="166"/>
    </row>
    <row r="22" spans="8:12" x14ac:dyDescent="0.25">
      <c r="H22" s="164"/>
      <c r="I22" s="165"/>
      <c r="J22" s="165"/>
      <c r="K22" s="165"/>
      <c r="L22" s="166"/>
    </row>
    <row r="23" spans="8:12" x14ac:dyDescent="0.25">
      <c r="H23" s="164"/>
      <c r="I23" s="165"/>
      <c r="J23" s="165"/>
      <c r="K23" s="165"/>
      <c r="L23" s="166"/>
    </row>
    <row r="24" spans="8:12" x14ac:dyDescent="0.25">
      <c r="H24" s="164"/>
      <c r="I24" s="165"/>
      <c r="J24" s="165"/>
      <c r="K24" s="165"/>
      <c r="L24" s="166"/>
    </row>
    <row r="25" spans="8:12" x14ac:dyDescent="0.25">
      <c r="H25" s="164"/>
      <c r="I25" s="165"/>
      <c r="J25" s="165"/>
      <c r="K25" s="165"/>
      <c r="L25" s="166"/>
    </row>
    <row r="26" spans="8:12" x14ac:dyDescent="0.25">
      <c r="H26" s="164"/>
      <c r="I26" s="165"/>
      <c r="J26" s="165"/>
      <c r="K26" s="165"/>
      <c r="L26" s="166"/>
    </row>
    <row r="27" spans="8:12" x14ac:dyDescent="0.25">
      <c r="H27" s="164"/>
      <c r="I27" s="165"/>
      <c r="J27" s="165"/>
      <c r="K27" s="165"/>
      <c r="L27" s="166"/>
    </row>
    <row r="28" spans="8:12" x14ac:dyDescent="0.25">
      <c r="H28" s="164"/>
      <c r="I28" s="165"/>
      <c r="J28" s="165"/>
      <c r="K28" s="165"/>
      <c r="L28" s="166"/>
    </row>
    <row r="29" spans="8:12" x14ac:dyDescent="0.25">
      <c r="H29" s="164"/>
      <c r="I29" s="165"/>
      <c r="J29" s="165"/>
      <c r="K29" s="165"/>
      <c r="L29" s="166"/>
    </row>
    <row r="30" spans="8:12" x14ac:dyDescent="0.25">
      <c r="H30" s="164"/>
      <c r="I30" s="165"/>
      <c r="J30" s="165"/>
      <c r="K30" s="165"/>
      <c r="L30" s="166"/>
    </row>
    <row r="31" spans="8:12" x14ac:dyDescent="0.25">
      <c r="H31" s="164"/>
      <c r="I31" s="165"/>
      <c r="J31" s="165"/>
      <c r="K31" s="165"/>
      <c r="L31" s="166"/>
    </row>
    <row r="32" spans="8:12" x14ac:dyDescent="0.25">
      <c r="H32" s="164"/>
      <c r="I32" s="165"/>
      <c r="J32" s="165"/>
      <c r="K32" s="165"/>
      <c r="L32" s="166"/>
    </row>
    <row r="33" spans="8:12" ht="15.75" thickBot="1" x14ac:dyDescent="0.3">
      <c r="H33" s="167"/>
      <c r="I33" s="168"/>
      <c r="J33" s="168"/>
      <c r="K33" s="168"/>
      <c r="L33" s="169"/>
    </row>
  </sheetData>
  <mergeCells count="8">
    <mergeCell ref="H11:L33"/>
    <mergeCell ref="H10:L10"/>
    <mergeCell ref="V5:V6"/>
    <mergeCell ref="F3:H3"/>
    <mergeCell ref="I3:M3"/>
    <mergeCell ref="S4:T4"/>
    <mergeCell ref="S5:T6"/>
    <mergeCell ref="U5:U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0240-EC9C-458E-B4DA-6B6AD714E431}">
  <dimension ref="A1:Z34"/>
  <sheetViews>
    <sheetView zoomScale="80" zoomScaleNormal="80" workbookViewId="0">
      <selection activeCell="F22" sqref="F22"/>
    </sheetView>
  </sheetViews>
  <sheetFormatPr baseColWidth="10" defaultRowHeight="15" x14ac:dyDescent="0.25"/>
  <cols>
    <col min="2" max="2" width="26.5703125" bestFit="1" customWidth="1"/>
    <col min="3" max="3" width="13.7109375" customWidth="1"/>
    <col min="5" max="5" width="26.5703125" bestFit="1" customWidth="1"/>
    <col min="6" max="6" width="25.7109375" bestFit="1" customWidth="1"/>
    <col min="8" max="8" width="16.7109375" bestFit="1" customWidth="1"/>
    <col min="9" max="9" width="12.42578125" bestFit="1" customWidth="1"/>
  </cols>
  <sheetData>
    <row r="1" spans="1:18" ht="48.75" customHeight="1" x14ac:dyDescent="0.5">
      <c r="A1" s="13"/>
      <c r="B1" s="13"/>
      <c r="C1" s="13"/>
      <c r="D1" s="13"/>
      <c r="E1" s="13"/>
      <c r="F1" s="13"/>
      <c r="G1" s="13"/>
      <c r="H1" s="13"/>
      <c r="I1" s="13"/>
    </row>
    <row r="2" spans="1:18" ht="15.75" thickBot="1" x14ac:dyDescent="0.3"/>
    <row r="3" spans="1:18" ht="29.25" customHeight="1" x14ac:dyDescent="0.25">
      <c r="B3" s="80" t="s">
        <v>115</v>
      </c>
      <c r="C3" s="81" t="s">
        <v>5</v>
      </c>
      <c r="E3" s="80" t="str">
        <f>B3</f>
        <v>CRITERIOS DE EVALUACIÓN</v>
      </c>
      <c r="F3" s="81" t="s">
        <v>109</v>
      </c>
    </row>
    <row r="4" spans="1:18" ht="0.75" customHeight="1" x14ac:dyDescent="0.25">
      <c r="B4" s="82"/>
      <c r="C4" s="83"/>
      <c r="E4" s="82"/>
      <c r="F4" s="83"/>
    </row>
    <row r="5" spans="1:18" ht="1.5" customHeight="1" thickBot="1" x14ac:dyDescent="0.3">
      <c r="B5" s="35"/>
      <c r="C5" s="74"/>
      <c r="E5" s="35" t="e">
        <f>#N/A</f>
        <v>#N/A</v>
      </c>
      <c r="F5" s="74"/>
    </row>
    <row r="6" spans="1:18" ht="17.25" customHeight="1" x14ac:dyDescent="0.25">
      <c r="A6">
        <v>1</v>
      </c>
      <c r="B6" s="35" t="s">
        <v>110</v>
      </c>
      <c r="C6" s="65">
        <v>9</v>
      </c>
      <c r="E6" s="35" t="str">
        <f>B6</f>
        <v xml:space="preserve">Potencia Máxima (W) </v>
      </c>
      <c r="F6" s="87">
        <f t="shared" ref="F6:F15" si="0">IFERROR(Z24*100,"")</f>
        <v>53.896103896103895</v>
      </c>
      <c r="H6" s="150" t="s">
        <v>108</v>
      </c>
      <c r="I6" s="151"/>
      <c r="J6" s="151"/>
      <c r="K6" s="151"/>
      <c r="L6" s="151"/>
      <c r="M6" s="151"/>
      <c r="N6" s="151"/>
      <c r="O6" s="151"/>
      <c r="P6" s="151"/>
      <c r="Q6" s="151"/>
      <c r="R6" s="152"/>
    </row>
    <row r="7" spans="1:18" x14ac:dyDescent="0.25">
      <c r="A7">
        <v>2</v>
      </c>
      <c r="B7" s="35" t="s">
        <v>118</v>
      </c>
      <c r="C7" s="65">
        <v>8</v>
      </c>
      <c r="E7" s="35" t="str">
        <f>B7</f>
        <v>Eficiencia (%)</v>
      </c>
      <c r="F7" s="87">
        <f t="shared" si="0"/>
        <v>29.725829725829726</v>
      </c>
      <c r="H7" s="148" t="s">
        <v>46</v>
      </c>
      <c r="I7" s="146"/>
      <c r="J7" s="146" t="s">
        <v>47</v>
      </c>
      <c r="K7" s="149"/>
      <c r="L7" s="149"/>
      <c r="M7" s="146" t="s">
        <v>48</v>
      </c>
      <c r="N7" s="146"/>
      <c r="O7" s="146"/>
      <c r="P7" s="146"/>
      <c r="Q7" s="146"/>
      <c r="R7" s="147"/>
    </row>
    <row r="8" spans="1:18" x14ac:dyDescent="0.25">
      <c r="A8">
        <v>3</v>
      </c>
      <c r="B8" s="35" t="s">
        <v>112</v>
      </c>
      <c r="C8" s="65">
        <v>7</v>
      </c>
      <c r="E8" s="35" t="str">
        <f>B8</f>
        <v>Costos ($COP)</v>
      </c>
      <c r="F8" s="87">
        <f t="shared" si="0"/>
        <v>16.378066378066379</v>
      </c>
      <c r="H8" s="148"/>
      <c r="I8" s="146"/>
      <c r="J8" s="149"/>
      <c r="K8" s="149"/>
      <c r="L8" s="149"/>
      <c r="M8" s="146"/>
      <c r="N8" s="146"/>
      <c r="O8" s="146"/>
      <c r="P8" s="146"/>
      <c r="Q8" s="146"/>
      <c r="R8" s="147"/>
    </row>
    <row r="9" spans="1:18" ht="12.75" customHeight="1" x14ac:dyDescent="0.25">
      <c r="A9">
        <v>4</v>
      </c>
      <c r="B9" s="35"/>
      <c r="C9" s="65"/>
      <c r="E9" s="35">
        <f>B9</f>
        <v>0</v>
      </c>
      <c r="F9" s="87">
        <f t="shared" si="0"/>
        <v>0</v>
      </c>
      <c r="H9" s="138">
        <v>9</v>
      </c>
      <c r="I9" s="139"/>
      <c r="J9" s="139" t="s">
        <v>49</v>
      </c>
      <c r="K9" s="139"/>
      <c r="L9" s="139"/>
      <c r="M9" s="142" t="s">
        <v>103</v>
      </c>
      <c r="N9" s="142"/>
      <c r="O9" s="142"/>
      <c r="P9" s="142"/>
      <c r="Q9" s="142"/>
      <c r="R9" s="143"/>
    </row>
    <row r="10" spans="1:18" x14ac:dyDescent="0.25">
      <c r="A10">
        <v>5</v>
      </c>
      <c r="B10" s="35"/>
      <c r="C10" s="65"/>
      <c r="E10" s="35">
        <f>B10</f>
        <v>0</v>
      </c>
      <c r="F10" s="87">
        <f t="shared" si="0"/>
        <v>0</v>
      </c>
      <c r="H10" s="138">
        <v>7</v>
      </c>
      <c r="I10" s="139"/>
      <c r="J10" s="139" t="s">
        <v>101</v>
      </c>
      <c r="K10" s="139"/>
      <c r="L10" s="139"/>
      <c r="M10" s="142" t="s">
        <v>104</v>
      </c>
      <c r="N10" s="142"/>
      <c r="O10" s="142"/>
      <c r="P10" s="142"/>
      <c r="Q10" s="142"/>
      <c r="R10" s="143"/>
    </row>
    <row r="11" spans="1:18" ht="14.25" customHeight="1" x14ac:dyDescent="0.25">
      <c r="A11">
        <v>6</v>
      </c>
      <c r="B11" s="35"/>
      <c r="C11" s="65"/>
      <c r="E11" s="35">
        <v>0</v>
      </c>
      <c r="F11" s="87">
        <f t="shared" si="0"/>
        <v>0</v>
      </c>
      <c r="H11" s="138">
        <v>5</v>
      </c>
      <c r="I11" s="139"/>
      <c r="J11" s="139" t="s">
        <v>102</v>
      </c>
      <c r="K11" s="139"/>
      <c r="L11" s="139"/>
      <c r="M11" s="142" t="s">
        <v>105</v>
      </c>
      <c r="N11" s="142"/>
      <c r="O11" s="142"/>
      <c r="P11" s="142"/>
      <c r="Q11" s="142"/>
      <c r="R11" s="143"/>
    </row>
    <row r="12" spans="1:18" ht="13.5" customHeight="1" x14ac:dyDescent="0.25">
      <c r="A12">
        <v>7</v>
      </c>
      <c r="B12" s="35"/>
      <c r="C12" s="65"/>
      <c r="E12" s="35">
        <v>0</v>
      </c>
      <c r="F12" s="87">
        <f t="shared" si="0"/>
        <v>0</v>
      </c>
      <c r="H12" s="138">
        <v>3</v>
      </c>
      <c r="I12" s="139"/>
      <c r="J12" s="139" t="s">
        <v>50</v>
      </c>
      <c r="K12" s="139"/>
      <c r="L12" s="139"/>
      <c r="M12" s="142" t="s">
        <v>106</v>
      </c>
      <c r="N12" s="142"/>
      <c r="O12" s="142"/>
      <c r="P12" s="142"/>
      <c r="Q12" s="142"/>
      <c r="R12" s="143"/>
    </row>
    <row r="13" spans="1:18" ht="15.75" thickBot="1" x14ac:dyDescent="0.3">
      <c r="A13">
        <v>8</v>
      </c>
      <c r="B13" s="35"/>
      <c r="C13" s="65"/>
      <c r="E13" s="35">
        <v>0</v>
      </c>
      <c r="F13" s="87">
        <f t="shared" si="0"/>
        <v>0</v>
      </c>
      <c r="H13" s="140">
        <v>1</v>
      </c>
      <c r="I13" s="141"/>
      <c r="J13" s="141" t="s">
        <v>51</v>
      </c>
      <c r="K13" s="141"/>
      <c r="L13" s="141"/>
      <c r="M13" s="144" t="s">
        <v>107</v>
      </c>
      <c r="N13" s="144"/>
      <c r="O13" s="144"/>
      <c r="P13" s="144"/>
      <c r="Q13" s="144"/>
      <c r="R13" s="145"/>
    </row>
    <row r="14" spans="1:18" x14ac:dyDescent="0.25">
      <c r="A14">
        <v>9</v>
      </c>
      <c r="B14" s="35"/>
      <c r="C14" s="65"/>
      <c r="E14" s="35">
        <v>0</v>
      </c>
      <c r="F14" s="87">
        <f t="shared" si="0"/>
        <v>0</v>
      </c>
      <c r="K14" s="178"/>
      <c r="L14" s="178"/>
      <c r="M14" s="178"/>
      <c r="N14" s="178"/>
      <c r="O14" s="178"/>
      <c r="P14" s="177"/>
      <c r="Q14" s="177"/>
      <c r="R14" s="177"/>
    </row>
    <row r="15" spans="1:18" x14ac:dyDescent="0.25">
      <c r="A15">
        <v>10</v>
      </c>
      <c r="B15" s="35"/>
      <c r="C15" s="65"/>
      <c r="E15" s="35">
        <v>0</v>
      </c>
      <c r="F15" s="87">
        <f t="shared" si="0"/>
        <v>0</v>
      </c>
    </row>
    <row r="16" spans="1:18" ht="15.75" thickBot="1" x14ac:dyDescent="0.3">
      <c r="A16" s="57" t="s">
        <v>11</v>
      </c>
      <c r="B16" s="99">
        <f>COUNTA(B6:B15)</f>
        <v>3</v>
      </c>
      <c r="C16" s="69">
        <f>COUNT(C6:C15)</f>
        <v>3</v>
      </c>
      <c r="E16" s="88" t="s">
        <v>7</v>
      </c>
      <c r="F16" s="69">
        <f>SUM(F6:F15)</f>
        <v>100</v>
      </c>
    </row>
    <row r="22" spans="2:26" ht="15.75" thickBot="1" x14ac:dyDescent="0.3"/>
    <row r="23" spans="2:26" x14ac:dyDescent="0.25">
      <c r="B23" s="70" t="s">
        <v>8</v>
      </c>
      <c r="C23" s="71" t="str">
        <f>B24</f>
        <v xml:space="preserve">Potencia Máxima (W) </v>
      </c>
      <c r="D23" s="71" t="str">
        <f>B25</f>
        <v>Eficiencia (%)</v>
      </c>
      <c r="E23" s="71" t="str">
        <f>B26</f>
        <v>Costos ($COP)</v>
      </c>
      <c r="F23" s="71">
        <f>B27</f>
        <v>0</v>
      </c>
      <c r="G23" s="71">
        <f>B28</f>
        <v>0</v>
      </c>
      <c r="H23" s="71">
        <f>B29</f>
        <v>0</v>
      </c>
      <c r="I23" s="71">
        <f>B30</f>
        <v>0</v>
      </c>
      <c r="J23" s="71">
        <f>B31</f>
        <v>0</v>
      </c>
      <c r="K23" s="71">
        <f>B32</f>
        <v>0</v>
      </c>
      <c r="L23" s="72">
        <f>B33</f>
        <v>0</v>
      </c>
      <c r="N23" s="70" t="str">
        <f t="shared" ref="N23:N29" si="1">B23</f>
        <v>criterio</v>
      </c>
      <c r="O23" s="71" t="str">
        <f>+N24</f>
        <v xml:space="preserve">Potencia Máxima (W) </v>
      </c>
      <c r="P23" s="71" t="str">
        <f>+N25</f>
        <v>Eficiencia (%)</v>
      </c>
      <c r="Q23" s="71" t="str">
        <f>+N26</f>
        <v>Costos ($COP)</v>
      </c>
      <c r="R23" s="71">
        <f>+N27</f>
        <v>0</v>
      </c>
      <c r="S23" s="71">
        <f>+N28</f>
        <v>0</v>
      </c>
      <c r="T23" s="71">
        <v>0</v>
      </c>
      <c r="U23" s="71">
        <v>0</v>
      </c>
      <c r="V23" s="71">
        <v>0</v>
      </c>
      <c r="W23" s="71">
        <v>0</v>
      </c>
      <c r="X23" s="72">
        <v>0</v>
      </c>
      <c r="Z23" s="76" t="s">
        <v>119</v>
      </c>
    </row>
    <row r="24" spans="2:26" x14ac:dyDescent="0.25">
      <c r="B24" s="73" t="str">
        <f>B6</f>
        <v xml:space="preserve">Potencia Máxima (W) </v>
      </c>
      <c r="C24" s="3">
        <v>1</v>
      </c>
      <c r="D24" s="1">
        <f>IF(C6-$C$7+1&gt;=10,0,C6-$C$7+1)</f>
        <v>2</v>
      </c>
      <c r="E24" s="1">
        <f>IF(C6-$C$8+1&gt;=10,0,C6-$C$8+1)</f>
        <v>3</v>
      </c>
      <c r="F24" s="1">
        <f>IF(C6-$C$9+1&gt;=10,0,C6-$C$9+1)</f>
        <v>0</v>
      </c>
      <c r="G24" s="1">
        <f>IF(C6-$C$10+1&gt;=10,0,C6-$C$10+1)</f>
        <v>0</v>
      </c>
      <c r="H24" s="1">
        <f>IF($C$6-C11+1&gt;=10,0,$C$6-C11+1)</f>
        <v>0</v>
      </c>
      <c r="I24" s="1">
        <f t="shared" ref="I24:I29" si="2">IF(C6-C12+1&gt;=10,0,C6-C12+1)</f>
        <v>0</v>
      </c>
      <c r="J24" s="1">
        <f>IF(C6-C13+1&gt;=10,0,C6-C13+1)</f>
        <v>0</v>
      </c>
      <c r="K24" s="1">
        <f>IF(C6-C14+1&gt;=10,0,C6-C14+1)</f>
        <v>0</v>
      </c>
      <c r="L24" s="74" t="e">
        <f>IF(C6-#REF!+1&gt;=10,0,C6-#REF!+1)</f>
        <v>#REF!</v>
      </c>
      <c r="N24" s="73" t="str">
        <f t="shared" si="1"/>
        <v xml:space="preserve">Potencia Máxima (W) </v>
      </c>
      <c r="O24" s="1">
        <f t="shared" ref="O24:X33" si="3">IF(ISERROR(C24/C$34),0,C24/C$34)</f>
        <v>0.54545454545454553</v>
      </c>
      <c r="P24" s="1">
        <f t="shared" si="3"/>
        <v>0.5714285714285714</v>
      </c>
      <c r="Q24" s="1">
        <f t="shared" si="3"/>
        <v>0.5</v>
      </c>
      <c r="R24" s="1">
        <f t="shared" si="3"/>
        <v>0</v>
      </c>
      <c r="S24" s="1">
        <f t="shared" si="3"/>
        <v>0</v>
      </c>
      <c r="T24" s="1">
        <f t="shared" si="3"/>
        <v>0</v>
      </c>
      <c r="U24" s="1">
        <f t="shared" si="3"/>
        <v>0</v>
      </c>
      <c r="V24" s="1">
        <f t="shared" si="3"/>
        <v>0</v>
      </c>
      <c r="W24" s="1">
        <f t="shared" si="3"/>
        <v>0</v>
      </c>
      <c r="X24" s="74">
        <f t="shared" si="3"/>
        <v>0</v>
      </c>
      <c r="Z24" s="77">
        <f>(O24+P24+Q24+R24+S24+T24+U24+V24+W24+X24)/$C$16</f>
        <v>0.53896103896103897</v>
      </c>
    </row>
    <row r="25" spans="2:26" x14ac:dyDescent="0.25">
      <c r="B25" s="73" t="str">
        <f t="shared" ref="B25:B33" si="4">B7</f>
        <v>Eficiencia (%)</v>
      </c>
      <c r="C25" s="1">
        <f>IF(B25=0,0,IF(ISERROR(1/D24),0,1/D24))</f>
        <v>0.5</v>
      </c>
      <c r="D25" s="3">
        <f>IF(C7-$C$7+1&gt;=10,0,C7-$C$7+1)</f>
        <v>1</v>
      </c>
      <c r="E25" s="1">
        <f>IF(C7-$C$8+1&gt;=10,0,C7-$C$8+1)</f>
        <v>2</v>
      </c>
      <c r="F25" s="1">
        <f>IF(C7-$C$9+1&gt;=10,0,C7-$C$9+1)</f>
        <v>9</v>
      </c>
      <c r="G25" s="1">
        <f>IF(C7-$C$10+1&gt;=10,0,C7-$C$10+1)</f>
        <v>9</v>
      </c>
      <c r="H25" s="1">
        <f>IF($C$6-C12+1&gt;=10,0,$C$6-C12+1)</f>
        <v>0</v>
      </c>
      <c r="I25" s="1">
        <f t="shared" si="2"/>
        <v>9</v>
      </c>
      <c r="J25" s="1">
        <f t="shared" ref="J25:J30" si="5">IF(C7-C14+1&gt;=10,0,C7-C14+1)</f>
        <v>9</v>
      </c>
      <c r="K25" s="1">
        <f t="shared" ref="K25:K31" si="6">IF(C7-C15+1&gt;=10,0,C7-C15+1)</f>
        <v>9</v>
      </c>
      <c r="L25" s="74" t="e">
        <f>IF(C7-#REF!+1&gt;=10,0,C7-#REF!+1)</f>
        <v>#REF!</v>
      </c>
      <c r="N25" s="73" t="str">
        <f t="shared" si="1"/>
        <v>Eficiencia (%)</v>
      </c>
      <c r="O25" s="1">
        <f t="shared" si="3"/>
        <v>0.27272727272727276</v>
      </c>
      <c r="P25" s="1">
        <f t="shared" si="3"/>
        <v>0.2857142857142857</v>
      </c>
      <c r="Q25" s="1">
        <f t="shared" si="3"/>
        <v>0.33333333333333331</v>
      </c>
      <c r="R25" s="1">
        <f t="shared" si="3"/>
        <v>0</v>
      </c>
      <c r="S25" s="1">
        <f t="shared" si="3"/>
        <v>0</v>
      </c>
      <c r="T25" s="1">
        <f t="shared" si="3"/>
        <v>0</v>
      </c>
      <c r="U25" s="1">
        <f t="shared" si="3"/>
        <v>0</v>
      </c>
      <c r="V25" s="1">
        <f t="shared" si="3"/>
        <v>0</v>
      </c>
      <c r="W25" s="1">
        <f t="shared" si="3"/>
        <v>0</v>
      </c>
      <c r="X25" s="74">
        <f t="shared" si="3"/>
        <v>0</v>
      </c>
      <c r="Z25" s="77">
        <f t="shared" ref="Z25:Z33" si="7">(O25+P25+Q25+R25+S25+T25+U25+V25+W25+X25)/$C$16</f>
        <v>0.29725829725829728</v>
      </c>
    </row>
    <row r="26" spans="2:26" x14ac:dyDescent="0.25">
      <c r="B26" s="73" t="str">
        <f t="shared" si="4"/>
        <v>Costos ($COP)</v>
      </c>
      <c r="C26" s="4">
        <f>IF(B26=0,0,IF(ISERROR(1/E24),0,1/E24))</f>
        <v>0.33333333333333331</v>
      </c>
      <c r="D26" s="1">
        <f>IF(B26=0,0,IF(ISERROR(1/E25),0,1/E25))</f>
        <v>0.5</v>
      </c>
      <c r="E26" s="3">
        <f>IF(C8-$C$8+1&gt;=10,0,C8-$C$8+1)</f>
        <v>1</v>
      </c>
      <c r="F26" s="1">
        <f>IF(C8-$C$9+1&gt;=10,0,C8-$C$9+1)</f>
        <v>8</v>
      </c>
      <c r="G26" s="1">
        <f>IF(C8-$C$10+1&gt;=10,0,C8-$C$10+1)</f>
        <v>8</v>
      </c>
      <c r="H26" s="1">
        <f>IF($C$6-C13+1&gt;=10,0,$C$6-C13+1)</f>
        <v>0</v>
      </c>
      <c r="I26" s="1">
        <f t="shared" si="2"/>
        <v>8</v>
      </c>
      <c r="J26" s="1">
        <f t="shared" si="5"/>
        <v>8</v>
      </c>
      <c r="K26" s="1">
        <f t="shared" si="6"/>
        <v>5</v>
      </c>
      <c r="L26" s="74" t="e">
        <f>IF(C8-#REF!+1&gt;=10,0,C8-#REF!+1)</f>
        <v>#REF!</v>
      </c>
      <c r="N26" s="73" t="str">
        <f t="shared" si="1"/>
        <v>Costos ($COP)</v>
      </c>
      <c r="O26" s="1">
        <f t="shared" si="3"/>
        <v>0.18181818181818182</v>
      </c>
      <c r="P26" s="1">
        <f t="shared" si="3"/>
        <v>0.14285714285714285</v>
      </c>
      <c r="Q26" s="1">
        <f t="shared" si="3"/>
        <v>0.16666666666666666</v>
      </c>
      <c r="R26" s="1">
        <f t="shared" si="3"/>
        <v>0</v>
      </c>
      <c r="S26" s="1">
        <f t="shared" si="3"/>
        <v>0</v>
      </c>
      <c r="T26" s="1">
        <f t="shared" si="3"/>
        <v>0</v>
      </c>
      <c r="U26" s="1">
        <f t="shared" si="3"/>
        <v>0</v>
      </c>
      <c r="V26" s="1">
        <f t="shared" si="3"/>
        <v>0</v>
      </c>
      <c r="W26" s="1">
        <f t="shared" si="3"/>
        <v>0</v>
      </c>
      <c r="X26" s="74">
        <f t="shared" si="3"/>
        <v>0</v>
      </c>
      <c r="Z26" s="77">
        <f t="shared" si="7"/>
        <v>0.16378066378066378</v>
      </c>
    </row>
    <row r="27" spans="2:26" ht="16.5" customHeight="1" x14ac:dyDescent="0.25">
      <c r="B27" s="73">
        <f t="shared" si="4"/>
        <v>0</v>
      </c>
      <c r="C27" s="1">
        <f>IF(B27=0,0,IF(ISERROR(1/F24),0,1/F24))</f>
        <v>0</v>
      </c>
      <c r="D27" s="1">
        <f>IF(B27=0,0,IF(ISERROR(1/F25),0,1/F25))</f>
        <v>0</v>
      </c>
      <c r="E27" s="1">
        <f>IF(B27=0,0,IF(ISERROR(1/F26),0,1/F26))</f>
        <v>0</v>
      </c>
      <c r="F27" s="3">
        <f>IF(C9-$C$9+1&gt;=10,0,C9-$C$9+1)</f>
        <v>1</v>
      </c>
      <c r="G27" s="1">
        <f>IF(C9-$C$10+1&gt;=10,0,C9-$C$10+1)</f>
        <v>1</v>
      </c>
      <c r="H27" s="1">
        <f>IF($C$6-C14+1&gt;=10,0,$C$6-C14+1)</f>
        <v>0</v>
      </c>
      <c r="I27" s="1">
        <f t="shared" si="2"/>
        <v>1</v>
      </c>
      <c r="J27" s="1">
        <f t="shared" si="5"/>
        <v>-2</v>
      </c>
      <c r="K27" s="1">
        <f t="shared" si="6"/>
        <v>1</v>
      </c>
      <c r="L27" s="74" t="e">
        <f>IF(C9-#REF!+1&gt;=10,0,C9-#REF!+1)</f>
        <v>#REF!</v>
      </c>
      <c r="N27" s="73">
        <f t="shared" si="1"/>
        <v>0</v>
      </c>
      <c r="O27" s="1">
        <f t="shared" si="3"/>
        <v>0</v>
      </c>
      <c r="P27" s="1">
        <f t="shared" si="3"/>
        <v>0</v>
      </c>
      <c r="Q27" s="1">
        <f t="shared" si="3"/>
        <v>0</v>
      </c>
      <c r="R27" s="1">
        <f t="shared" si="3"/>
        <v>0</v>
      </c>
      <c r="S27" s="1">
        <f t="shared" si="3"/>
        <v>0</v>
      </c>
      <c r="T27" s="1">
        <f t="shared" si="3"/>
        <v>0</v>
      </c>
      <c r="U27" s="1">
        <f t="shared" si="3"/>
        <v>0</v>
      </c>
      <c r="V27" s="1">
        <f t="shared" si="3"/>
        <v>0</v>
      </c>
      <c r="W27" s="1">
        <f t="shared" si="3"/>
        <v>0</v>
      </c>
      <c r="X27" s="74">
        <f t="shared" si="3"/>
        <v>0</v>
      </c>
      <c r="Z27" s="77">
        <f t="shared" si="7"/>
        <v>0</v>
      </c>
    </row>
    <row r="28" spans="2:26" ht="20.25" customHeight="1" x14ac:dyDescent="0.25">
      <c r="B28" s="73">
        <f t="shared" si="4"/>
        <v>0</v>
      </c>
      <c r="C28" s="1">
        <f>IF(B28=0,0,IF(ISERROR(1/G24),0,1/G24))</f>
        <v>0</v>
      </c>
      <c r="D28" s="1">
        <f>IF(B28=0,0,IF(ISERROR(1/G25),0,1/G25))</f>
        <v>0</v>
      </c>
      <c r="E28" s="1">
        <f>IF(B28=0,0,IF(ISERROR(1/G26),0,1/G26))</f>
        <v>0</v>
      </c>
      <c r="F28" s="1">
        <f>IF(B28=0,0,IF(ISERROR(1/G27),0,1/G27))</f>
        <v>0</v>
      </c>
      <c r="G28" s="3">
        <f>IF(C10-$C$10+1&gt;=10,0,C10-$C$10+1)</f>
        <v>1</v>
      </c>
      <c r="H28" s="1">
        <f>IF($C$6-C15+1&gt;=10,0,$C$6-C15+1)</f>
        <v>0</v>
      </c>
      <c r="I28" s="1">
        <f t="shared" si="2"/>
        <v>-2</v>
      </c>
      <c r="J28" s="1">
        <f t="shared" si="5"/>
        <v>1</v>
      </c>
      <c r="K28" s="1">
        <f t="shared" si="6"/>
        <v>1</v>
      </c>
      <c r="L28" s="74" t="e">
        <f>IF(C10-#REF!+1&gt;=10,0,C10-#REF!+1)</f>
        <v>#REF!</v>
      </c>
      <c r="N28" s="73">
        <f t="shared" si="1"/>
        <v>0</v>
      </c>
      <c r="O28" s="1">
        <f t="shared" si="3"/>
        <v>0</v>
      </c>
      <c r="P28" s="1">
        <f t="shared" si="3"/>
        <v>0</v>
      </c>
      <c r="Q28" s="1">
        <f t="shared" si="3"/>
        <v>0</v>
      </c>
      <c r="R28" s="1">
        <f t="shared" si="3"/>
        <v>0</v>
      </c>
      <c r="S28" s="1">
        <f t="shared" si="3"/>
        <v>0</v>
      </c>
      <c r="T28" s="1">
        <f t="shared" si="3"/>
        <v>0</v>
      </c>
      <c r="U28" s="1">
        <f t="shared" si="3"/>
        <v>0</v>
      </c>
      <c r="V28" s="1">
        <f t="shared" si="3"/>
        <v>0</v>
      </c>
      <c r="W28" s="1">
        <f t="shared" si="3"/>
        <v>0</v>
      </c>
      <c r="X28" s="74">
        <f t="shared" si="3"/>
        <v>0</v>
      </c>
      <c r="Z28" s="77">
        <f t="shared" si="7"/>
        <v>0</v>
      </c>
    </row>
    <row r="29" spans="2:26" ht="25.5" customHeight="1" x14ac:dyDescent="0.25">
      <c r="B29" s="73">
        <f t="shared" si="4"/>
        <v>0</v>
      </c>
      <c r="C29" s="1">
        <f>IF(B29=0,0,IF(ISERROR(1/H24),0,1/H24))</f>
        <v>0</v>
      </c>
      <c r="D29" s="1">
        <f>IF(B29=0,0,IF(ISERROR(1/H25),0,1/H25))</f>
        <v>0</v>
      </c>
      <c r="E29" s="1">
        <f>IF(B29=0,0,IF(ISERROR(1/H26),0,1/H26))</f>
        <v>0</v>
      </c>
      <c r="F29" s="1">
        <f>IF(B29=0,0,IF(ISERROR(1/H27),0,1/H27))</f>
        <v>0</v>
      </c>
      <c r="G29" s="1">
        <f>IF(B29=0,0,IF(ISERROR(1/H28),0,1/H28))</f>
        <v>0</v>
      </c>
      <c r="H29" s="3">
        <f>IF(C11-$C$11+1&gt;=10,0,C11-$C$11+1)</f>
        <v>1</v>
      </c>
      <c r="I29" s="1">
        <f t="shared" si="2"/>
        <v>1</v>
      </c>
      <c r="J29" s="1">
        <f t="shared" si="5"/>
        <v>1</v>
      </c>
      <c r="K29" s="1">
        <f t="shared" si="6"/>
        <v>1</v>
      </c>
      <c r="L29" s="74" t="e">
        <f>IF(C11-#REF!+1&gt;=10,0,C11-#REF!+1)</f>
        <v>#REF!</v>
      </c>
      <c r="N29" s="73">
        <f t="shared" si="1"/>
        <v>0</v>
      </c>
      <c r="O29" s="1">
        <f t="shared" si="3"/>
        <v>0</v>
      </c>
      <c r="P29" s="1">
        <f t="shared" si="3"/>
        <v>0</v>
      </c>
      <c r="Q29" s="1">
        <f t="shared" si="3"/>
        <v>0</v>
      </c>
      <c r="R29" s="1">
        <f t="shared" si="3"/>
        <v>0</v>
      </c>
      <c r="S29" s="1">
        <f t="shared" si="3"/>
        <v>0</v>
      </c>
      <c r="T29" s="1">
        <f t="shared" si="3"/>
        <v>0</v>
      </c>
      <c r="U29" s="1">
        <f t="shared" si="3"/>
        <v>0</v>
      </c>
      <c r="V29" s="1">
        <f t="shared" si="3"/>
        <v>0</v>
      </c>
      <c r="W29" s="1">
        <f t="shared" si="3"/>
        <v>0</v>
      </c>
      <c r="X29" s="74">
        <f t="shared" si="3"/>
        <v>0</v>
      </c>
      <c r="Z29" s="77">
        <f t="shared" si="7"/>
        <v>0</v>
      </c>
    </row>
    <row r="30" spans="2:26" ht="18.75" customHeight="1" x14ac:dyDescent="0.25">
      <c r="B30" s="73">
        <f t="shared" si="4"/>
        <v>0</v>
      </c>
      <c r="C30" s="1">
        <f>IF(B30=0,0,IF(ISERROR(1/I24),0,1/I24))</f>
        <v>0</v>
      </c>
      <c r="D30" s="1">
        <f>IF(B30=0,0,IF(ISERROR(1/I25),0,1/I25))</f>
        <v>0</v>
      </c>
      <c r="E30" s="1">
        <f>IF(B30=0,0,IF(ISERROR(1/I26),0,1/I26))</f>
        <v>0</v>
      </c>
      <c r="F30" s="1">
        <f>IF(B30=0,0,IF(ISERROR(1/I27),0,1/I27))</f>
        <v>0</v>
      </c>
      <c r="G30" s="1">
        <f>IF(B30=0,0,IF(ISERROR(1/I28),0,1/I28))</f>
        <v>0</v>
      </c>
      <c r="H30" s="1">
        <f>IF(B30=0,0,IF(ISERROR(1/I29),0,1/I29))</f>
        <v>0</v>
      </c>
      <c r="I30" s="3" t="e">
        <f>#N/A</f>
        <v>#N/A</v>
      </c>
      <c r="J30" s="1">
        <f t="shared" si="5"/>
        <v>1</v>
      </c>
      <c r="K30" s="1">
        <f t="shared" si="6"/>
        <v>1</v>
      </c>
      <c r="L30" s="74">
        <f t="shared" ref="L30:L32" si="8">IF(C12-G17+1&gt;=10,0,C12-G17+1)</f>
        <v>1</v>
      </c>
      <c r="N30" s="73">
        <v>0</v>
      </c>
      <c r="O30" s="1">
        <f t="shared" si="3"/>
        <v>0</v>
      </c>
      <c r="P30" s="1">
        <f t="shared" si="3"/>
        <v>0</v>
      </c>
      <c r="Q30" s="1">
        <f t="shared" si="3"/>
        <v>0</v>
      </c>
      <c r="R30" s="1">
        <f t="shared" si="3"/>
        <v>0</v>
      </c>
      <c r="S30" s="1">
        <f t="shared" si="3"/>
        <v>0</v>
      </c>
      <c r="T30" s="1">
        <f t="shared" si="3"/>
        <v>0</v>
      </c>
      <c r="U30" s="1">
        <f t="shared" si="3"/>
        <v>0</v>
      </c>
      <c r="V30" s="1">
        <f t="shared" si="3"/>
        <v>0</v>
      </c>
      <c r="W30" s="1">
        <f t="shared" si="3"/>
        <v>0</v>
      </c>
      <c r="X30" s="74">
        <f t="shared" si="3"/>
        <v>0</v>
      </c>
      <c r="Z30" s="77">
        <f t="shared" si="7"/>
        <v>0</v>
      </c>
    </row>
    <row r="31" spans="2:26" ht="18" customHeight="1" x14ac:dyDescent="0.25">
      <c r="B31" s="73">
        <f t="shared" si="4"/>
        <v>0</v>
      </c>
      <c r="C31" s="1">
        <f>IF(B31=0,0,IF(ISERROR(1/J24),0,1/J24))</f>
        <v>0</v>
      </c>
      <c r="D31" s="1">
        <f>IF(B31=0,0,IF(ISERROR(1/J25),0,1/J25))</f>
        <v>0</v>
      </c>
      <c r="E31" s="1">
        <f>IF(B31=0,0,IF(ISERROR(1/J26),0,1/J26))</f>
        <v>0</v>
      </c>
      <c r="F31" s="1">
        <f>IF(B31=0,0,IF(ISERROR(1/J27),0,1/J27))</f>
        <v>0</v>
      </c>
      <c r="G31" s="1">
        <f>IF(B31=0,0,IF(ISERROR(1/J28),0,1/J28))</f>
        <v>0</v>
      </c>
      <c r="H31" s="1">
        <f>IF(B31=0,0,IF(ISERROR(1/J29),0,1/J29))</f>
        <v>0</v>
      </c>
      <c r="I31" s="1">
        <f>IF(B31=0,0,IF(ISERROR(1/J30),0,1/J30))</f>
        <v>0</v>
      </c>
      <c r="J31" s="3" t="e">
        <f>#N/A</f>
        <v>#N/A</v>
      </c>
      <c r="K31" s="1">
        <f t="shared" si="6"/>
        <v>1</v>
      </c>
      <c r="L31" s="74">
        <f t="shared" si="8"/>
        <v>1</v>
      </c>
      <c r="N31" s="73">
        <v>0</v>
      </c>
      <c r="O31" s="1">
        <f t="shared" si="3"/>
        <v>0</v>
      </c>
      <c r="P31" s="1">
        <f t="shared" si="3"/>
        <v>0</v>
      </c>
      <c r="Q31" s="1">
        <f t="shared" si="3"/>
        <v>0</v>
      </c>
      <c r="R31" s="1">
        <f t="shared" si="3"/>
        <v>0</v>
      </c>
      <c r="S31" s="1">
        <f t="shared" si="3"/>
        <v>0</v>
      </c>
      <c r="T31" s="1">
        <f t="shared" si="3"/>
        <v>0</v>
      </c>
      <c r="U31" s="1">
        <f t="shared" si="3"/>
        <v>0</v>
      </c>
      <c r="V31" s="1">
        <f t="shared" si="3"/>
        <v>0</v>
      </c>
      <c r="W31" s="1">
        <f t="shared" si="3"/>
        <v>0</v>
      </c>
      <c r="X31" s="74">
        <f t="shared" si="3"/>
        <v>0</v>
      </c>
      <c r="Z31" s="77">
        <f t="shared" si="7"/>
        <v>0</v>
      </c>
    </row>
    <row r="32" spans="2:26" ht="17.25" customHeight="1" x14ac:dyDescent="0.25">
      <c r="B32" s="73">
        <f t="shared" si="4"/>
        <v>0</v>
      </c>
      <c r="C32" s="1">
        <f>IF(B32=0,0,IF(ISERROR(1/K24),0,1/K24))</f>
        <v>0</v>
      </c>
      <c r="D32" s="1">
        <f>IF(B32=0,0,IF(ISERROR(1/K25),0,1/K25))</f>
        <v>0</v>
      </c>
      <c r="E32" s="1">
        <f>IF(B32=0,0,IF(ISERROR(1/K26),0,1/K26))</f>
        <v>0</v>
      </c>
      <c r="F32" s="1">
        <f>IF(B32=0,0,IF(ISERROR(1/K27),0,1/K27))</f>
        <v>0</v>
      </c>
      <c r="G32" s="1">
        <f>IF(B32=0,0,IF(ISERROR(1/K28),0,1/K28))</f>
        <v>0</v>
      </c>
      <c r="H32" s="1">
        <f>IF(B32=0,0,IF(ISERROR(1/K29),0,1/K29))</f>
        <v>0</v>
      </c>
      <c r="I32" s="1">
        <f>IF(B32=0,0,IF(ISERROR(1/K30),0,1/K30))</f>
        <v>0</v>
      </c>
      <c r="J32" s="1">
        <f>IF(B32=0,0,IF(ISERROR(1/K31),0,1/K31))</f>
        <v>0</v>
      </c>
      <c r="K32" s="3" t="e">
        <f>#N/A</f>
        <v>#N/A</v>
      </c>
      <c r="L32" s="74">
        <f t="shared" si="8"/>
        <v>1</v>
      </c>
      <c r="N32" s="73">
        <v>0</v>
      </c>
      <c r="O32" s="1">
        <f t="shared" si="3"/>
        <v>0</v>
      </c>
      <c r="P32" s="1">
        <f t="shared" si="3"/>
        <v>0</v>
      </c>
      <c r="Q32" s="1">
        <f t="shared" si="3"/>
        <v>0</v>
      </c>
      <c r="R32" s="1">
        <f t="shared" si="3"/>
        <v>0</v>
      </c>
      <c r="S32" s="1">
        <f t="shared" si="3"/>
        <v>0</v>
      </c>
      <c r="T32" s="1">
        <f t="shared" si="3"/>
        <v>0</v>
      </c>
      <c r="U32" s="1">
        <f t="shared" si="3"/>
        <v>0</v>
      </c>
      <c r="V32" s="1">
        <f t="shared" si="3"/>
        <v>0</v>
      </c>
      <c r="W32" s="1">
        <f t="shared" si="3"/>
        <v>0</v>
      </c>
      <c r="X32" s="74">
        <f t="shared" si="3"/>
        <v>0</v>
      </c>
      <c r="Z32" s="77">
        <f t="shared" si="7"/>
        <v>0</v>
      </c>
    </row>
    <row r="33" spans="2:26" ht="27.75" customHeight="1" thickBot="1" x14ac:dyDescent="0.3">
      <c r="B33" s="73">
        <f t="shared" si="4"/>
        <v>0</v>
      </c>
      <c r="C33" s="1">
        <f>IF(B33=0,0,IF(ISERROR(1/L24),0,1/L24))</f>
        <v>0</v>
      </c>
      <c r="D33" s="1">
        <f>IF(B33=0,0,IF(ISERROR(1/L25),0,1/L25))</f>
        <v>0</v>
      </c>
      <c r="E33" s="1">
        <f>IF(B33=0,0,IF(ISERROR(1/L26),0,1/L26))</f>
        <v>0</v>
      </c>
      <c r="F33" s="1">
        <f>IF(B33=0,0,IF(ISERROR(1/L27),0,1/L27))</f>
        <v>0</v>
      </c>
      <c r="G33" s="1">
        <f>IF(B33=0,0,IF(ISERROR(1/L28),0,1/L28))</f>
        <v>0</v>
      </c>
      <c r="H33" s="1">
        <f>IF(B33=0,0,IF(ISERROR(1/L29),0,1/L29))</f>
        <v>0</v>
      </c>
      <c r="I33" s="1">
        <f>IF(B33=0,0,IF(ISERROR(1/L30),0,1/L30))</f>
        <v>0</v>
      </c>
      <c r="J33" s="1">
        <f>IF(B33=0,0,IF(ISERROR(1/L31),0,1/L31))</f>
        <v>0</v>
      </c>
      <c r="K33" s="1">
        <f>IF(B33=0,0,IF(ISERROR(1/L32),0,1/L32))</f>
        <v>0</v>
      </c>
      <c r="L33" s="100">
        <f>IF(C15-$C$15+1&gt;1,0,C15-$C$15+1)</f>
        <v>1</v>
      </c>
      <c r="N33" s="75">
        <v>0</v>
      </c>
      <c r="O33" s="68">
        <f t="shared" si="3"/>
        <v>0</v>
      </c>
      <c r="P33" s="68">
        <f t="shared" si="3"/>
        <v>0</v>
      </c>
      <c r="Q33" s="68">
        <f t="shared" si="3"/>
        <v>0</v>
      </c>
      <c r="R33" s="68">
        <f t="shared" si="3"/>
        <v>0</v>
      </c>
      <c r="S33" s="68">
        <f t="shared" si="3"/>
        <v>0</v>
      </c>
      <c r="T33" s="68">
        <f t="shared" si="3"/>
        <v>0</v>
      </c>
      <c r="U33" s="68">
        <f t="shared" si="3"/>
        <v>0</v>
      </c>
      <c r="V33" s="68">
        <f t="shared" si="3"/>
        <v>0</v>
      </c>
      <c r="W33" s="68">
        <f t="shared" si="3"/>
        <v>0</v>
      </c>
      <c r="X33" s="69">
        <f t="shared" si="3"/>
        <v>0</v>
      </c>
      <c r="Z33" s="77">
        <f t="shared" si="7"/>
        <v>0</v>
      </c>
    </row>
    <row r="34" spans="2:26" ht="17.25" customHeight="1" thickBot="1" x14ac:dyDescent="0.3">
      <c r="B34" s="101" t="s">
        <v>7</v>
      </c>
      <c r="C34" s="102">
        <f>IF(C23=0,0,SUM(C24:C33))</f>
        <v>1.8333333333333333</v>
      </c>
      <c r="D34" s="102">
        <f t="shared" ref="D34:L34" si="9">IF(D23=0,0,SUM(D24:D33))</f>
        <v>3.5</v>
      </c>
      <c r="E34" s="102">
        <f t="shared" si="9"/>
        <v>6</v>
      </c>
      <c r="F34" s="102">
        <f t="shared" si="9"/>
        <v>0</v>
      </c>
      <c r="G34" s="102">
        <f t="shared" si="9"/>
        <v>0</v>
      </c>
      <c r="H34" s="102">
        <f t="shared" si="9"/>
        <v>0</v>
      </c>
      <c r="I34" s="102">
        <f t="shared" si="9"/>
        <v>0</v>
      </c>
      <c r="J34" s="102">
        <f t="shared" si="9"/>
        <v>0</v>
      </c>
      <c r="K34" s="102">
        <f t="shared" si="9"/>
        <v>0</v>
      </c>
      <c r="L34" s="98">
        <f t="shared" si="9"/>
        <v>0</v>
      </c>
      <c r="Y34" s="114" t="s">
        <v>11</v>
      </c>
      <c r="Z34" s="78">
        <f>SUM(Z24:Z33)</f>
        <v>1</v>
      </c>
    </row>
  </sheetData>
  <mergeCells count="22">
    <mergeCell ref="P14:R14"/>
    <mergeCell ref="K14:L14"/>
    <mergeCell ref="M14:O14"/>
    <mergeCell ref="H6:R6"/>
    <mergeCell ref="H7:I8"/>
    <mergeCell ref="J7:L8"/>
    <mergeCell ref="M7:R8"/>
    <mergeCell ref="H9:I9"/>
    <mergeCell ref="J9:L9"/>
    <mergeCell ref="M9:R9"/>
    <mergeCell ref="H10:I10"/>
    <mergeCell ref="J10:L10"/>
    <mergeCell ref="M10:R10"/>
    <mergeCell ref="H13:I13"/>
    <mergeCell ref="J13:L13"/>
    <mergeCell ref="M13:R13"/>
    <mergeCell ref="H11:I11"/>
    <mergeCell ref="J11:L11"/>
    <mergeCell ref="M11:R11"/>
    <mergeCell ref="H12:I12"/>
    <mergeCell ref="J12:L12"/>
    <mergeCell ref="M12:R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EACBE-A7B5-44BD-9FD9-E986FCB78640}">
  <dimension ref="B1:AB46"/>
  <sheetViews>
    <sheetView zoomScale="90" zoomScaleNormal="90" workbookViewId="0">
      <selection activeCell="H10" sqref="H10"/>
    </sheetView>
  </sheetViews>
  <sheetFormatPr baseColWidth="10" defaultRowHeight="15" x14ac:dyDescent="0.25"/>
  <cols>
    <col min="2" max="2" width="23.85546875" customWidth="1"/>
    <col min="3" max="3" width="15.42578125" bestFit="1" customWidth="1"/>
    <col min="4" max="4" width="13.85546875" bestFit="1" customWidth="1"/>
    <col min="5" max="5" width="12.5703125" customWidth="1"/>
    <col min="6" max="7" width="13" customWidth="1"/>
    <col min="8" max="8" width="23.28515625" customWidth="1"/>
    <col min="11" max="11" width="12.28515625" hidden="1" customWidth="1"/>
    <col min="13" max="13" width="0" hidden="1" customWidth="1"/>
    <col min="14" max="14" width="11.42578125" customWidth="1"/>
    <col min="15" max="15" width="0" hidden="1" customWidth="1"/>
    <col min="19" max="19" width="17.42578125" customWidth="1"/>
    <col min="22" max="22" width="0" hidden="1" customWidth="1"/>
    <col min="24" max="24" width="0" hidden="1" customWidth="1"/>
    <col min="26" max="26" width="0" hidden="1" customWidth="1"/>
    <col min="28" max="28" width="0" hidden="1" customWidth="1"/>
  </cols>
  <sheetData>
    <row r="1" spans="2:28" ht="15.75" thickBot="1" x14ac:dyDescent="0.3">
      <c r="I1" s="108"/>
      <c r="L1" s="165"/>
      <c r="M1" s="165"/>
      <c r="N1" s="165"/>
      <c r="O1" s="165"/>
    </row>
    <row r="2" spans="2:28" ht="15.75" thickBot="1" x14ac:dyDescent="0.3">
      <c r="B2" s="158" t="s">
        <v>137</v>
      </c>
      <c r="C2" s="159"/>
      <c r="D2" s="159"/>
      <c r="E2" s="159"/>
      <c r="F2" s="160"/>
      <c r="G2" s="125"/>
      <c r="H2" s="183" t="s">
        <v>116</v>
      </c>
      <c r="I2" s="184"/>
      <c r="J2" s="184"/>
      <c r="K2" s="184"/>
      <c r="L2" s="184"/>
      <c r="M2" s="184"/>
      <c r="N2" s="184"/>
      <c r="O2" s="184"/>
      <c r="P2" s="185"/>
    </row>
    <row r="3" spans="2:28" x14ac:dyDescent="0.25">
      <c r="B3" s="64" t="s">
        <v>115</v>
      </c>
      <c r="C3" s="58" t="s">
        <v>22</v>
      </c>
      <c r="D3" s="58" t="s">
        <v>23</v>
      </c>
      <c r="E3" s="58" t="s">
        <v>24</v>
      </c>
      <c r="F3" s="126" t="s">
        <v>25</v>
      </c>
      <c r="H3" s="61" t="s">
        <v>115</v>
      </c>
      <c r="I3" s="90" t="s">
        <v>20</v>
      </c>
      <c r="J3" s="112" t="s">
        <v>22</v>
      </c>
      <c r="K3" s="90"/>
      <c r="L3" s="90" t="s">
        <v>23</v>
      </c>
      <c r="M3" s="90"/>
      <c r="N3" s="62" t="s">
        <v>28</v>
      </c>
      <c r="O3" s="62"/>
      <c r="P3" s="63" t="s">
        <v>25</v>
      </c>
    </row>
    <row r="4" spans="2:28" ht="28.5" customHeight="1" x14ac:dyDescent="0.25">
      <c r="B4" s="105" t="s">
        <v>120</v>
      </c>
      <c r="C4" s="12">
        <v>1500</v>
      </c>
      <c r="D4" s="12">
        <v>1500</v>
      </c>
      <c r="E4" s="12">
        <v>1500</v>
      </c>
      <c r="F4" s="34">
        <v>1500</v>
      </c>
      <c r="H4" s="33" t="s">
        <v>120</v>
      </c>
      <c r="I4" s="12">
        <v>54</v>
      </c>
      <c r="J4" s="12">
        <v>1</v>
      </c>
      <c r="K4" s="12">
        <f>+I4*J4</f>
        <v>54</v>
      </c>
      <c r="L4" s="12">
        <v>0</v>
      </c>
      <c r="M4" s="12">
        <f>+L4*I4</f>
        <v>0</v>
      </c>
      <c r="N4" s="12">
        <v>0</v>
      </c>
      <c r="O4" s="12">
        <f>+N4*I4</f>
        <v>0</v>
      </c>
      <c r="P4" s="34">
        <v>0</v>
      </c>
    </row>
    <row r="5" spans="2:28" x14ac:dyDescent="0.25">
      <c r="B5" s="106" t="s">
        <v>121</v>
      </c>
      <c r="C5" s="104">
        <v>0.85</v>
      </c>
      <c r="D5" s="104">
        <v>0.97</v>
      </c>
      <c r="E5" s="104">
        <v>0.95</v>
      </c>
      <c r="F5" s="107">
        <v>0.88</v>
      </c>
      <c r="H5" s="35" t="s">
        <v>121</v>
      </c>
      <c r="I5" s="12">
        <v>30</v>
      </c>
      <c r="J5" s="12">
        <v>0</v>
      </c>
      <c r="K5" s="12">
        <f>+I5*J5</f>
        <v>0</v>
      </c>
      <c r="L5" s="12">
        <v>0</v>
      </c>
      <c r="M5" s="12">
        <f>+L5*I5</f>
        <v>0</v>
      </c>
      <c r="N5" s="12">
        <v>1</v>
      </c>
      <c r="O5" s="12">
        <f>+N5*I5</f>
        <v>30</v>
      </c>
      <c r="P5" s="34">
        <v>-1</v>
      </c>
    </row>
    <row r="6" spans="2:28" ht="15.75" thickBot="1" x14ac:dyDescent="0.3">
      <c r="B6" s="213" t="s">
        <v>122</v>
      </c>
      <c r="C6" s="214">
        <v>2135803</v>
      </c>
      <c r="D6" s="215">
        <v>2127990</v>
      </c>
      <c r="E6" s="215">
        <v>2071552</v>
      </c>
      <c r="F6" s="216">
        <v>2289000</v>
      </c>
      <c r="H6" s="35" t="s">
        <v>122</v>
      </c>
      <c r="I6" s="12">
        <v>16</v>
      </c>
      <c r="J6" s="12">
        <v>-1</v>
      </c>
      <c r="K6" s="12">
        <f>+I6*J6</f>
        <v>-16</v>
      </c>
      <c r="L6" s="12">
        <v>-1</v>
      </c>
      <c r="M6" s="12">
        <f>+L6*I6</f>
        <v>-16</v>
      </c>
      <c r="N6" s="12">
        <v>-1</v>
      </c>
      <c r="O6" s="12">
        <f>+N6*I6</f>
        <v>-16</v>
      </c>
      <c r="P6" s="34">
        <v>1</v>
      </c>
    </row>
    <row r="7" spans="2:28" ht="15.75" thickBot="1" x14ac:dyDescent="0.3">
      <c r="B7" s="209"/>
      <c r="C7" s="210"/>
      <c r="D7" s="210"/>
      <c r="E7" s="210"/>
      <c r="F7" s="210"/>
      <c r="H7" s="36" t="s">
        <v>11</v>
      </c>
      <c r="I7" s="37">
        <f>+SUM(I4:I6)</f>
        <v>100</v>
      </c>
      <c r="J7" s="37">
        <f>+SUM(K4:K6)</f>
        <v>38</v>
      </c>
      <c r="K7" s="38"/>
      <c r="L7" s="37">
        <f>+SUM(M4:M6)</f>
        <v>-16</v>
      </c>
      <c r="M7" s="38"/>
      <c r="N7" s="37">
        <f>+SUM(O4:O6)</f>
        <v>14</v>
      </c>
      <c r="O7" s="38"/>
      <c r="P7" s="39">
        <f>+SUM(AB12:AB14)</f>
        <v>-14</v>
      </c>
    </row>
    <row r="8" spans="2:28" x14ac:dyDescent="0.25">
      <c r="B8" s="211"/>
      <c r="C8" s="212"/>
      <c r="D8" s="211"/>
      <c r="E8" s="212"/>
      <c r="F8" s="212"/>
    </row>
    <row r="10" spans="2:28" x14ac:dyDescent="0.25">
      <c r="R10" s="1"/>
    </row>
    <row r="11" spans="2:28" x14ac:dyDescent="0.25">
      <c r="B11" s="181" t="s">
        <v>13</v>
      </c>
      <c r="C11" s="181"/>
      <c r="D11" s="181"/>
      <c r="E11" s="10"/>
      <c r="F11" s="10"/>
      <c r="G11" s="10"/>
      <c r="H11" s="10"/>
      <c r="O11" s="10"/>
      <c r="P11" s="10"/>
      <c r="AB11" s="31"/>
    </row>
    <row r="12" spans="2:28" ht="13.5" customHeight="1" x14ac:dyDescent="0.25">
      <c r="B12" s="182" t="s">
        <v>14</v>
      </c>
      <c r="C12" s="182"/>
      <c r="D12" s="2" t="s">
        <v>15</v>
      </c>
      <c r="E12" s="10"/>
      <c r="F12" s="10"/>
      <c r="G12" s="10"/>
      <c r="H12" s="10"/>
      <c r="I12" s="10"/>
      <c r="J12" s="10"/>
      <c r="K12" s="10"/>
      <c r="L12" s="10"/>
      <c r="O12" s="10"/>
      <c r="P12" s="10"/>
      <c r="AB12" s="32">
        <f>+P4*I4</f>
        <v>0</v>
      </c>
    </row>
    <row r="13" spans="2:28" x14ac:dyDescent="0.25">
      <c r="B13" s="15">
        <f>MAX($C$6:$F$6)-((MAX($C$6:$F$6)-MIN($C$6:$F$6))/3)</f>
        <v>2216517.3333333335</v>
      </c>
      <c r="C13" s="15"/>
      <c r="D13" s="2">
        <v>-1</v>
      </c>
      <c r="E13" s="10"/>
      <c r="F13" s="10"/>
      <c r="G13" s="10"/>
      <c r="H13" s="10"/>
      <c r="I13" s="10"/>
      <c r="J13" s="10"/>
      <c r="K13" s="10"/>
      <c r="L13" s="10"/>
      <c r="O13" s="10"/>
      <c r="P13" s="10"/>
      <c r="AB13" s="32">
        <f>+P5*I5</f>
        <v>-30</v>
      </c>
    </row>
    <row r="14" spans="2:28" x14ac:dyDescent="0.25">
      <c r="B14" s="15">
        <f>2*((MAX($C$6:$F$6)-MIN($C$6:$F$6))/3)+MIN($C$6:$F$6)</f>
        <v>2216517.3333333335</v>
      </c>
      <c r="C14" s="15">
        <f>MAX($C$6:$F$6)-2*((MAX($C$6:$F$6)-MIN($C$6:$F$6))/3)</f>
        <v>2144034.6666666665</v>
      </c>
      <c r="D14" s="2">
        <v>0</v>
      </c>
      <c r="E14" s="10"/>
      <c r="F14" s="10"/>
      <c r="G14" s="10"/>
      <c r="H14" s="10"/>
      <c r="I14" s="10"/>
      <c r="J14" s="10"/>
      <c r="K14" s="10"/>
      <c r="L14" s="10"/>
      <c r="O14" s="10"/>
      <c r="P14" s="10"/>
      <c r="AB14" s="32">
        <f>+P6*I6</f>
        <v>16</v>
      </c>
    </row>
    <row r="15" spans="2:28" x14ac:dyDescent="0.25">
      <c r="B15" s="15">
        <f>MAX($C$6:$F$6)-2*((MAX($C$6:$F$6)-MIN($C$6:$F$6))/3)</f>
        <v>2144034.6666666665</v>
      </c>
      <c r="C15" s="15"/>
      <c r="D15" s="2">
        <v>1</v>
      </c>
      <c r="E15" s="10"/>
      <c r="F15" s="10"/>
      <c r="G15" s="10"/>
      <c r="H15" s="10"/>
      <c r="I15" s="10"/>
      <c r="J15" s="10"/>
      <c r="K15" s="10"/>
      <c r="L15" s="10"/>
      <c r="O15" s="10"/>
      <c r="P15" s="10"/>
    </row>
    <row r="16" spans="2:28" x14ac:dyDescent="0.25">
      <c r="O16" s="10"/>
      <c r="P16" s="10"/>
    </row>
    <row r="17" spans="2:16" x14ac:dyDescent="0.25">
      <c r="B17" s="153" t="s">
        <v>29</v>
      </c>
      <c r="C17" s="154"/>
      <c r="D17" s="155"/>
      <c r="O17" s="10"/>
      <c r="P17" s="10"/>
    </row>
    <row r="18" spans="2:16" x14ac:dyDescent="0.25">
      <c r="B18" s="179" t="s">
        <v>14</v>
      </c>
      <c r="C18" s="180"/>
      <c r="D18" s="2" t="s">
        <v>15</v>
      </c>
      <c r="O18" s="10"/>
      <c r="P18" s="10"/>
    </row>
    <row r="19" spans="2:16" x14ac:dyDescent="0.25">
      <c r="B19" s="16">
        <f>((MAX($C$5:$F$5)-MIN($C$5:$F$5))/3)+MIN($C$5:$F$5)</f>
        <v>0.89</v>
      </c>
      <c r="C19" s="17"/>
      <c r="D19" s="2">
        <v>-1</v>
      </c>
      <c r="O19" s="10"/>
      <c r="P19" s="10"/>
    </row>
    <row r="20" spans="2:16" x14ac:dyDescent="0.25">
      <c r="B20" s="16">
        <f>2*((MAX($C$5:$F$5)-MIN($C$5:$F$5))/3)+MIN($C$5:$F$5)</f>
        <v>0.92999999999999994</v>
      </c>
      <c r="C20" s="16">
        <f>MAX($C$5:$F$5)-2*((MAX($C$5:$F$5)-MIN($C$5:$F$5))/3)</f>
        <v>0.89</v>
      </c>
      <c r="D20" s="2">
        <v>0</v>
      </c>
      <c r="F20" s="109"/>
      <c r="G20" s="109"/>
      <c r="O20" s="10"/>
      <c r="P20" s="10"/>
    </row>
    <row r="21" spans="2:16" x14ac:dyDescent="0.25">
      <c r="B21" s="16">
        <f>2*((MAX($C$5:$F$5)-MIN($C$5:$F$5))/3)+MIN($C$5:$F$5)</f>
        <v>0.92999999999999994</v>
      </c>
      <c r="C21" s="16"/>
      <c r="D21" s="2">
        <v>1</v>
      </c>
      <c r="F21" s="109"/>
      <c r="G21" s="109"/>
      <c r="O21" s="10"/>
      <c r="P21" s="10"/>
    </row>
    <row r="22" spans="2:16" x14ac:dyDescent="0.25">
      <c r="F22" s="109"/>
      <c r="G22" s="109"/>
      <c r="O22" s="10"/>
      <c r="P22" s="10"/>
    </row>
    <row r="23" spans="2:16" x14ac:dyDescent="0.25">
      <c r="B23" s="153" t="s">
        <v>19</v>
      </c>
      <c r="C23" s="154"/>
      <c r="D23" s="155"/>
      <c r="O23" s="10"/>
      <c r="P23" s="10"/>
    </row>
    <row r="24" spans="2:16" x14ac:dyDescent="0.25">
      <c r="B24" s="179" t="s">
        <v>14</v>
      </c>
      <c r="C24" s="180"/>
      <c r="D24" s="2" t="s">
        <v>15</v>
      </c>
      <c r="I24" s="110"/>
      <c r="O24" s="10"/>
      <c r="P24" s="10"/>
    </row>
    <row r="25" spans="2:16" x14ac:dyDescent="0.25">
      <c r="B25" s="8">
        <f>2*((MAX($C$4:$F$4)-MIN($C$4:$F$4))/3)+MIN($C$4:$F$4)</f>
        <v>1500</v>
      </c>
      <c r="C25" s="8"/>
      <c r="D25" s="2">
        <v>-1</v>
      </c>
      <c r="I25" s="110"/>
      <c r="L25" s="110"/>
    </row>
    <row r="26" spans="2:16" x14ac:dyDescent="0.25">
      <c r="B26" s="8">
        <f>((MAX($C$4:$F$4)-MIN($C$4:$F$4))/3)+MIN($C$4:$F$4)</f>
        <v>1500</v>
      </c>
      <c r="C26" s="8">
        <f>2*((MAX($C$4:$F$4)-MIN($C$4:$F$4))/3)+MIN($C$4:$F$4)</f>
        <v>1500</v>
      </c>
      <c r="D26" s="2">
        <v>0</v>
      </c>
    </row>
    <row r="27" spans="2:16" x14ac:dyDescent="0.25">
      <c r="B27" s="8">
        <f>((MAX($C$4:$F$4)-MIN($C$4:$F$4))/3)+MIN($C$4:$F$4)</f>
        <v>1500</v>
      </c>
      <c r="C27" s="8"/>
      <c r="D27" s="2">
        <v>1</v>
      </c>
    </row>
    <row r="28" spans="2:16" x14ac:dyDescent="0.25">
      <c r="G28" s="10"/>
      <c r="H28" s="10"/>
      <c r="I28" s="10"/>
      <c r="J28" s="10"/>
      <c r="K28" s="10"/>
    </row>
    <row r="29" spans="2:16" x14ac:dyDescent="0.25">
      <c r="F29" s="108"/>
      <c r="G29" s="20"/>
      <c r="H29" s="20"/>
      <c r="I29" s="20"/>
      <c r="J29" s="20"/>
      <c r="K29" s="20"/>
      <c r="L29" s="20"/>
      <c r="M29" s="20"/>
      <c r="N29" s="20"/>
    </row>
    <row r="30" spans="2:16" x14ac:dyDescent="0.25">
      <c r="G30" s="20"/>
      <c r="H30" s="20"/>
      <c r="I30" s="20"/>
      <c r="J30" s="20"/>
      <c r="K30" s="20"/>
      <c r="L30" s="20"/>
      <c r="M30" s="20"/>
      <c r="N30" s="20"/>
    </row>
    <row r="31" spans="2:16" x14ac:dyDescent="0.25">
      <c r="B31" s="11"/>
      <c r="G31" s="20"/>
      <c r="H31" s="20"/>
      <c r="I31" s="20"/>
      <c r="J31" s="20"/>
      <c r="K31" s="20"/>
      <c r="L31" s="20"/>
      <c r="M31" s="20"/>
      <c r="N31" s="20"/>
    </row>
    <row r="32" spans="2:16" x14ac:dyDescent="0.25">
      <c r="B32" s="11"/>
      <c r="G32" s="20"/>
      <c r="H32" s="20"/>
      <c r="I32" s="111"/>
      <c r="J32" s="20"/>
      <c r="K32" s="111"/>
      <c r="L32" s="20"/>
      <c r="M32" s="111"/>
      <c r="N32" s="20"/>
    </row>
    <row r="36" spans="3:5" x14ac:dyDescent="0.25">
      <c r="C36" s="18"/>
      <c r="D36" s="18"/>
      <c r="E36" s="18"/>
    </row>
    <row r="37" spans="3:5" x14ac:dyDescent="0.25">
      <c r="C37" s="10"/>
      <c r="D37" s="10"/>
      <c r="E37" s="10"/>
    </row>
    <row r="38" spans="3:5" x14ac:dyDescent="0.25">
      <c r="C38" s="11"/>
      <c r="D38" s="11"/>
      <c r="E38" s="10"/>
    </row>
    <row r="39" spans="3:5" x14ac:dyDescent="0.25">
      <c r="C39" s="11"/>
      <c r="D39" s="11"/>
      <c r="E39" s="10"/>
    </row>
    <row r="40" spans="3:5" x14ac:dyDescent="0.25">
      <c r="C40" s="11"/>
      <c r="D40" s="11"/>
      <c r="E40" s="10"/>
    </row>
    <row r="42" spans="3:5" x14ac:dyDescent="0.25">
      <c r="C42" s="18"/>
      <c r="D42" s="18"/>
      <c r="E42" s="18"/>
    </row>
    <row r="43" spans="3:5" x14ac:dyDescent="0.25">
      <c r="C43" s="10"/>
      <c r="D43" s="10"/>
      <c r="E43" s="10"/>
    </row>
    <row r="44" spans="3:5" x14ac:dyDescent="0.25">
      <c r="C44" s="19"/>
      <c r="D44" s="19"/>
      <c r="E44" s="10"/>
    </row>
    <row r="45" spans="3:5" x14ac:dyDescent="0.25">
      <c r="C45" s="19"/>
      <c r="D45" s="19"/>
      <c r="E45" s="10"/>
    </row>
    <row r="46" spans="3:5" x14ac:dyDescent="0.25">
      <c r="C46" s="19"/>
      <c r="D46" s="19"/>
      <c r="E46" s="10"/>
    </row>
  </sheetData>
  <mergeCells count="9">
    <mergeCell ref="B24:C24"/>
    <mergeCell ref="B17:D17"/>
    <mergeCell ref="B23:D23"/>
    <mergeCell ref="B2:F2"/>
    <mergeCell ref="L1:O1"/>
    <mergeCell ref="B11:D11"/>
    <mergeCell ref="B12:C12"/>
    <mergeCell ref="B18:C18"/>
    <mergeCell ref="H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AE23-A2AB-4138-855C-88BCDE666705}">
  <dimension ref="A1:Z35"/>
  <sheetViews>
    <sheetView topLeftCell="E1" zoomScale="80" zoomScaleNormal="80" workbookViewId="0">
      <selection activeCell="H6" sqref="H6:R13"/>
    </sheetView>
  </sheetViews>
  <sheetFormatPr baseColWidth="10" defaultRowHeight="15" x14ac:dyDescent="0.25"/>
  <cols>
    <col min="2" max="2" width="26.5703125" bestFit="1" customWidth="1"/>
    <col min="3" max="3" width="13.7109375" customWidth="1"/>
    <col min="5" max="5" width="26.5703125" bestFit="1" customWidth="1"/>
    <col min="6" max="6" width="25.7109375" bestFit="1" customWidth="1"/>
    <col min="8" max="8" width="16.7109375" bestFit="1" customWidth="1"/>
    <col min="9" max="9" width="12.42578125" bestFit="1" customWidth="1"/>
  </cols>
  <sheetData>
    <row r="1" spans="1:18" ht="48.75" customHeight="1" x14ac:dyDescent="0.5">
      <c r="A1" s="13"/>
      <c r="B1" s="13"/>
      <c r="C1" s="13"/>
      <c r="D1" s="13"/>
      <c r="E1" s="13"/>
      <c r="F1" s="13"/>
      <c r="G1" s="13"/>
      <c r="H1" s="13"/>
      <c r="I1" s="13"/>
    </row>
    <row r="2" spans="1:18" ht="15.75" thickBot="1" x14ac:dyDescent="0.3"/>
    <row r="3" spans="1:18" ht="29.25" customHeight="1" x14ac:dyDescent="0.25">
      <c r="B3" s="80" t="s">
        <v>115</v>
      </c>
      <c r="C3" s="81" t="s">
        <v>5</v>
      </c>
      <c r="E3" s="80" t="str">
        <f>B3</f>
        <v>CRITERIOS DE EVALUACIÓN</v>
      </c>
      <c r="F3" s="81" t="s">
        <v>109</v>
      </c>
    </row>
    <row r="4" spans="1:18" ht="0.75" customHeight="1" x14ac:dyDescent="0.25">
      <c r="B4" s="82"/>
      <c r="C4" s="83"/>
      <c r="E4" s="82"/>
      <c r="F4" s="83"/>
    </row>
    <row r="5" spans="1:18" ht="1.5" customHeight="1" thickBot="1" x14ac:dyDescent="0.3">
      <c r="B5" s="35"/>
      <c r="C5" s="74"/>
      <c r="E5" s="35" t="e">
        <f>#N/A</f>
        <v>#N/A</v>
      </c>
      <c r="F5" s="74"/>
    </row>
    <row r="6" spans="1:18" ht="17.25" customHeight="1" x14ac:dyDescent="0.25">
      <c r="A6">
        <v>1</v>
      </c>
      <c r="B6" s="35" t="s">
        <v>128</v>
      </c>
      <c r="C6" s="74">
        <v>9</v>
      </c>
      <c r="E6" s="35" t="str">
        <f>B6</f>
        <v>Costo ($COP)</v>
      </c>
      <c r="F6" s="87">
        <f t="shared" ref="F6:F15" si="0">IFERROR(Z24*100,"")</f>
        <v>46.58193979933111</v>
      </c>
      <c r="H6" s="150" t="s">
        <v>108</v>
      </c>
      <c r="I6" s="151"/>
      <c r="J6" s="151"/>
      <c r="K6" s="151"/>
      <c r="L6" s="151"/>
      <c r="M6" s="151"/>
      <c r="N6" s="151"/>
      <c r="O6" s="151"/>
      <c r="P6" s="151"/>
      <c r="Q6" s="151"/>
      <c r="R6" s="152"/>
    </row>
    <row r="7" spans="1:18" x14ac:dyDescent="0.25">
      <c r="A7">
        <v>2</v>
      </c>
      <c r="B7" s="35" t="s">
        <v>83</v>
      </c>
      <c r="C7" s="74">
        <v>8</v>
      </c>
      <c r="E7" s="35" t="str">
        <f>B7</f>
        <v>Capacidad (Ah)</v>
      </c>
      <c r="F7" s="87">
        <f t="shared" si="0"/>
        <v>27.714046822742478</v>
      </c>
      <c r="H7" s="148" t="s">
        <v>46</v>
      </c>
      <c r="I7" s="146"/>
      <c r="J7" s="146" t="s">
        <v>47</v>
      </c>
      <c r="K7" s="149"/>
      <c r="L7" s="149"/>
      <c r="M7" s="146" t="s">
        <v>48</v>
      </c>
      <c r="N7" s="146"/>
      <c r="O7" s="146"/>
      <c r="P7" s="146"/>
      <c r="Q7" s="146"/>
      <c r="R7" s="147"/>
    </row>
    <row r="8" spans="1:18" x14ac:dyDescent="0.25">
      <c r="A8">
        <v>3</v>
      </c>
      <c r="B8" s="35" t="s">
        <v>129</v>
      </c>
      <c r="C8" s="74">
        <v>7</v>
      </c>
      <c r="E8" s="35" t="str">
        <f>B8</f>
        <v>Durabilidad (semanas)</v>
      </c>
      <c r="F8" s="87">
        <f t="shared" si="0"/>
        <v>16.107023411371237</v>
      </c>
      <c r="H8" s="148"/>
      <c r="I8" s="146"/>
      <c r="J8" s="149"/>
      <c r="K8" s="149"/>
      <c r="L8" s="149"/>
      <c r="M8" s="146"/>
      <c r="N8" s="146"/>
      <c r="O8" s="146"/>
      <c r="P8" s="146"/>
      <c r="Q8" s="146"/>
      <c r="R8" s="147"/>
    </row>
    <row r="9" spans="1:18" ht="12.75" customHeight="1" x14ac:dyDescent="0.25">
      <c r="A9">
        <v>4</v>
      </c>
      <c r="B9" s="35" t="s">
        <v>130</v>
      </c>
      <c r="C9" s="74">
        <v>6</v>
      </c>
      <c r="E9" s="35" t="str">
        <f>B9</f>
        <v>Mantenibilidad (SI/NO)</v>
      </c>
      <c r="F9" s="87">
        <f t="shared" si="0"/>
        <v>9.5969899665551832</v>
      </c>
      <c r="H9" s="138">
        <v>9</v>
      </c>
      <c r="I9" s="139"/>
      <c r="J9" s="139" t="s">
        <v>49</v>
      </c>
      <c r="K9" s="139"/>
      <c r="L9" s="139"/>
      <c r="M9" s="142" t="s">
        <v>103</v>
      </c>
      <c r="N9" s="142"/>
      <c r="O9" s="142"/>
      <c r="P9" s="142"/>
      <c r="Q9" s="142"/>
      <c r="R9" s="143"/>
    </row>
    <row r="10" spans="1:18" x14ac:dyDescent="0.25">
      <c r="A10">
        <v>5</v>
      </c>
      <c r="B10" s="35"/>
      <c r="C10" s="74"/>
      <c r="E10" s="35">
        <f>B10</f>
        <v>0</v>
      </c>
      <c r="F10" s="87">
        <f t="shared" si="0"/>
        <v>0</v>
      </c>
      <c r="H10" s="138">
        <v>7</v>
      </c>
      <c r="I10" s="139"/>
      <c r="J10" s="139" t="s">
        <v>101</v>
      </c>
      <c r="K10" s="139"/>
      <c r="L10" s="139"/>
      <c r="M10" s="142" t="s">
        <v>104</v>
      </c>
      <c r="N10" s="142"/>
      <c r="O10" s="142"/>
      <c r="P10" s="142"/>
      <c r="Q10" s="142"/>
      <c r="R10" s="143"/>
    </row>
    <row r="11" spans="1:18" ht="14.25" customHeight="1" x14ac:dyDescent="0.25">
      <c r="A11">
        <v>6</v>
      </c>
      <c r="B11" s="35"/>
      <c r="C11" s="74"/>
      <c r="E11" s="35">
        <v>0</v>
      </c>
      <c r="F11" s="87">
        <f t="shared" si="0"/>
        <v>0</v>
      </c>
      <c r="H11" s="138">
        <v>5</v>
      </c>
      <c r="I11" s="139"/>
      <c r="J11" s="139" t="s">
        <v>102</v>
      </c>
      <c r="K11" s="139"/>
      <c r="L11" s="139"/>
      <c r="M11" s="142" t="s">
        <v>105</v>
      </c>
      <c r="N11" s="142"/>
      <c r="O11" s="142"/>
      <c r="P11" s="142"/>
      <c r="Q11" s="142"/>
      <c r="R11" s="143"/>
    </row>
    <row r="12" spans="1:18" ht="13.5" customHeight="1" x14ac:dyDescent="0.25">
      <c r="A12">
        <v>7</v>
      </c>
      <c r="B12" s="35"/>
      <c r="C12" s="74"/>
      <c r="E12" s="35">
        <v>0</v>
      </c>
      <c r="F12" s="87">
        <f t="shared" si="0"/>
        <v>0</v>
      </c>
      <c r="H12" s="138">
        <v>3</v>
      </c>
      <c r="I12" s="139"/>
      <c r="J12" s="139" t="s">
        <v>50</v>
      </c>
      <c r="K12" s="139"/>
      <c r="L12" s="139"/>
      <c r="M12" s="142" t="s">
        <v>106</v>
      </c>
      <c r="N12" s="142"/>
      <c r="O12" s="142"/>
      <c r="P12" s="142"/>
      <c r="Q12" s="142"/>
      <c r="R12" s="143"/>
    </row>
    <row r="13" spans="1:18" ht="15.75" thickBot="1" x14ac:dyDescent="0.3">
      <c r="A13">
        <v>8</v>
      </c>
      <c r="B13" s="35"/>
      <c r="C13" s="74"/>
      <c r="E13" s="35">
        <v>0</v>
      </c>
      <c r="F13" s="87">
        <f t="shared" si="0"/>
        <v>0</v>
      </c>
      <c r="H13" s="140">
        <v>1</v>
      </c>
      <c r="I13" s="141"/>
      <c r="J13" s="141" t="s">
        <v>51</v>
      </c>
      <c r="K13" s="141"/>
      <c r="L13" s="141"/>
      <c r="M13" s="144" t="s">
        <v>107</v>
      </c>
      <c r="N13" s="144"/>
      <c r="O13" s="144"/>
      <c r="P13" s="144"/>
      <c r="Q13" s="144"/>
      <c r="R13" s="145"/>
    </row>
    <row r="14" spans="1:18" x14ac:dyDescent="0.25">
      <c r="A14">
        <v>9</v>
      </c>
      <c r="B14" s="35"/>
      <c r="C14" s="74"/>
      <c r="E14" s="35">
        <v>0</v>
      </c>
      <c r="F14" s="87">
        <f t="shared" si="0"/>
        <v>0</v>
      </c>
      <c r="K14" s="178"/>
      <c r="L14" s="178"/>
      <c r="M14" s="178"/>
      <c r="N14" s="178"/>
      <c r="O14" s="178"/>
      <c r="P14" s="177"/>
      <c r="Q14" s="177"/>
      <c r="R14" s="177"/>
    </row>
    <row r="15" spans="1:18" x14ac:dyDescent="0.25">
      <c r="A15">
        <v>10</v>
      </c>
      <c r="B15" s="35"/>
      <c r="C15" s="74"/>
      <c r="E15" s="35">
        <v>0</v>
      </c>
      <c r="F15" s="87">
        <f t="shared" si="0"/>
        <v>0</v>
      </c>
    </row>
    <row r="16" spans="1:18" ht="15.75" thickBot="1" x14ac:dyDescent="0.3">
      <c r="A16" s="57" t="s">
        <v>11</v>
      </c>
      <c r="B16" s="102">
        <f>COUNTA(B6:B15)</f>
        <v>4</v>
      </c>
      <c r="C16" s="98">
        <f>COUNT(C6:C15)</f>
        <v>4</v>
      </c>
      <c r="E16" s="88" t="s">
        <v>7</v>
      </c>
      <c r="F16" s="69">
        <f>SUM(F6:F15)</f>
        <v>100</v>
      </c>
    </row>
    <row r="22" spans="2:26" ht="15.75" thickBot="1" x14ac:dyDescent="0.3"/>
    <row r="23" spans="2:26" x14ac:dyDescent="0.25">
      <c r="B23" s="70" t="s">
        <v>8</v>
      </c>
      <c r="C23" s="71" t="str">
        <f>B24</f>
        <v>Costo ($COP)</v>
      </c>
      <c r="D23" s="71" t="str">
        <f>B25</f>
        <v>Capacidad (Ah)</v>
      </c>
      <c r="E23" s="71" t="str">
        <f>B26</f>
        <v>Durabilidad (semanas)</v>
      </c>
      <c r="F23" s="71" t="str">
        <f>B27</f>
        <v>Mantenibilidad (SI/NO)</v>
      </c>
      <c r="G23" s="71">
        <f>B28</f>
        <v>0</v>
      </c>
      <c r="H23" s="71">
        <f>B29</f>
        <v>0</v>
      </c>
      <c r="I23" s="71">
        <f>B30</f>
        <v>0</v>
      </c>
      <c r="J23" s="71">
        <f>B31</f>
        <v>0</v>
      </c>
      <c r="K23" s="71">
        <f>B32</f>
        <v>0</v>
      </c>
      <c r="L23" s="72">
        <f>B33</f>
        <v>0</v>
      </c>
      <c r="N23" s="70" t="str">
        <f t="shared" ref="N23:N29" si="1">B23</f>
        <v>criterio</v>
      </c>
      <c r="O23" s="71" t="str">
        <f>+N24</f>
        <v>Costo ($COP)</v>
      </c>
      <c r="P23" s="71" t="str">
        <f>+N25</f>
        <v>Capacidad (Ah)</v>
      </c>
      <c r="Q23" s="71" t="str">
        <f>+N26</f>
        <v>Durabilidad (semanas)</v>
      </c>
      <c r="R23" s="71" t="str">
        <f>+N27</f>
        <v>Mantenibilidad (SI/NO)</v>
      </c>
      <c r="S23" s="71">
        <f>+N28</f>
        <v>0</v>
      </c>
      <c r="T23" s="71">
        <v>0</v>
      </c>
      <c r="U23" s="71">
        <v>0</v>
      </c>
      <c r="V23" s="71">
        <v>0</v>
      </c>
      <c r="W23" s="71">
        <v>0</v>
      </c>
      <c r="X23" s="72">
        <v>0</v>
      </c>
      <c r="Z23" s="76" t="s">
        <v>9</v>
      </c>
    </row>
    <row r="24" spans="2:26" x14ac:dyDescent="0.25">
      <c r="B24" s="73" t="str">
        <f>B6</f>
        <v>Costo ($COP)</v>
      </c>
      <c r="C24" s="3">
        <v>1</v>
      </c>
      <c r="D24" s="1">
        <f>IF(C6-$C$7+1&gt;=10,0,C6-$C$7+1)</f>
        <v>2</v>
      </c>
      <c r="E24" s="1">
        <f>IF(C6-$C$8+1&gt;=10,0,C6-$C$8+1)</f>
        <v>3</v>
      </c>
      <c r="F24" s="1">
        <f>IF(C6-$C$9+1&gt;=10,0,C6-$C$9+1)</f>
        <v>4</v>
      </c>
      <c r="G24" s="1">
        <f>IF(C6-$C$10+1&gt;=10,0,C6-$C$10+1)</f>
        <v>0</v>
      </c>
      <c r="H24" s="1">
        <f>IF($C$6-C11+1&gt;=10,0,$C$6-C11+1)</f>
        <v>0</v>
      </c>
      <c r="I24" s="1">
        <f t="shared" ref="I24:I29" si="2">IF(C6-C12+1&gt;=10,0,C6-C12+1)</f>
        <v>0</v>
      </c>
      <c r="J24" s="1">
        <f>IF(C6-C13+1&gt;=10,0,C6-C13+1)</f>
        <v>0</v>
      </c>
      <c r="K24" s="1">
        <f>IF(C6-C14+1&gt;=10,0,C6-C14+1)</f>
        <v>0</v>
      </c>
      <c r="L24" s="74">
        <f>IF(C6-G11+1&gt;=10,0,C6-G11+1)</f>
        <v>0</v>
      </c>
      <c r="N24" s="73" t="str">
        <f t="shared" si="1"/>
        <v>Costo ($COP)</v>
      </c>
      <c r="O24" s="1">
        <f t="shared" ref="O24:X33" si="3">IF(ISERROR(C24/C$34),0,C24/C$34)</f>
        <v>0.48000000000000009</v>
      </c>
      <c r="P24" s="1">
        <f t="shared" si="3"/>
        <v>0.52173913043478259</v>
      </c>
      <c r="Q24" s="1">
        <f t="shared" si="3"/>
        <v>0.46153846153846156</v>
      </c>
      <c r="R24" s="1">
        <f t="shared" si="3"/>
        <v>0.4</v>
      </c>
      <c r="S24" s="1">
        <f t="shared" si="3"/>
        <v>0</v>
      </c>
      <c r="T24" s="1">
        <f t="shared" si="3"/>
        <v>0</v>
      </c>
      <c r="U24" s="1">
        <f t="shared" si="3"/>
        <v>0</v>
      </c>
      <c r="V24" s="1">
        <f t="shared" si="3"/>
        <v>0</v>
      </c>
      <c r="W24" s="1">
        <f t="shared" si="3"/>
        <v>0</v>
      </c>
      <c r="X24" s="74">
        <f t="shared" si="3"/>
        <v>0</v>
      </c>
      <c r="Z24" s="77">
        <f>(O24+P24+Q24+R24+S24+T24+U24+V24+W24+X24)/$C$16</f>
        <v>0.46581939799331107</v>
      </c>
    </row>
    <row r="25" spans="2:26" x14ac:dyDescent="0.25">
      <c r="B25" s="73" t="str">
        <f t="shared" ref="B25:B33" si="4">B7</f>
        <v>Capacidad (Ah)</v>
      </c>
      <c r="C25" s="1">
        <f>IF(B25=0,0,IF(ISERROR(1/D24),0,1/D24))</f>
        <v>0.5</v>
      </c>
      <c r="D25" s="3">
        <f>IF(C7-$C$7+1&gt;=10,0,C7-$C$7+1)</f>
        <v>1</v>
      </c>
      <c r="E25" s="1">
        <f>IF(C7-$C$8+1&gt;=10,0,C7-$C$8+1)</f>
        <v>2</v>
      </c>
      <c r="F25" s="1">
        <f>IF(C7-$C$9+1&gt;=10,0,C7-$C$9+1)</f>
        <v>3</v>
      </c>
      <c r="G25" s="1">
        <f>IF(C7-$C$10+1&gt;=10,0,C7-$C$10+1)</f>
        <v>9</v>
      </c>
      <c r="H25" s="1">
        <f>IF($C$6-C12+1&gt;=10,0,$C$6-C12+1)</f>
        <v>0</v>
      </c>
      <c r="I25" s="1">
        <f t="shared" si="2"/>
        <v>9</v>
      </c>
      <c r="J25" s="1">
        <f t="shared" ref="J25:J30" si="5">IF(C7-C14+1&gt;=10,0,C7-C14+1)</f>
        <v>9</v>
      </c>
      <c r="K25" s="1">
        <f t="shared" ref="K25:K31" si="6">IF(C7-C15+1&gt;=10,0,C7-C15+1)</f>
        <v>9</v>
      </c>
      <c r="L25" s="74">
        <f t="shared" ref="L25:L32" si="7">IF(C7-G12+1&gt;=10,0,C7-G12+1)</f>
        <v>9</v>
      </c>
      <c r="N25" s="73" t="str">
        <f t="shared" si="1"/>
        <v>Capacidad (Ah)</v>
      </c>
      <c r="O25" s="1">
        <f t="shared" si="3"/>
        <v>0.24000000000000005</v>
      </c>
      <c r="P25" s="1">
        <f t="shared" si="3"/>
        <v>0.2608695652173913</v>
      </c>
      <c r="Q25" s="1">
        <f t="shared" si="3"/>
        <v>0.30769230769230771</v>
      </c>
      <c r="R25" s="1">
        <f t="shared" si="3"/>
        <v>0.3</v>
      </c>
      <c r="S25" s="1">
        <f t="shared" si="3"/>
        <v>0</v>
      </c>
      <c r="T25" s="1">
        <f t="shared" si="3"/>
        <v>0</v>
      </c>
      <c r="U25" s="1">
        <f t="shared" si="3"/>
        <v>0</v>
      </c>
      <c r="V25" s="1">
        <f t="shared" si="3"/>
        <v>0</v>
      </c>
      <c r="W25" s="1">
        <f t="shared" si="3"/>
        <v>0</v>
      </c>
      <c r="X25" s="74">
        <f t="shared" si="3"/>
        <v>0</v>
      </c>
      <c r="Z25" s="77">
        <f t="shared" ref="Z25:Z33" si="8">(O25+P25+Q25+R25+S25+T25+U25+V25+W25+X25)/$C$16</f>
        <v>0.27714046822742477</v>
      </c>
    </row>
    <row r="26" spans="2:26" x14ac:dyDescent="0.25">
      <c r="B26" s="73" t="str">
        <f t="shared" si="4"/>
        <v>Durabilidad (semanas)</v>
      </c>
      <c r="C26" s="4">
        <f>IF(B26=0,0,IF(ISERROR(1/E24),0,1/E24))</f>
        <v>0.33333333333333331</v>
      </c>
      <c r="D26" s="1">
        <f>IF(B26=0,0,IF(ISERROR(1/E25),0,1/E25))</f>
        <v>0.5</v>
      </c>
      <c r="E26" s="3">
        <f>IF(C8-$C$8+1&gt;=10,0,C8-$C$8+1)</f>
        <v>1</v>
      </c>
      <c r="F26" s="1">
        <f>IF(C8-$C$9+1&gt;=10,0,C8-$C$9+1)</f>
        <v>2</v>
      </c>
      <c r="G26" s="1">
        <f>IF(C8-$C$10+1&gt;=10,0,C8-$C$10+1)</f>
        <v>8</v>
      </c>
      <c r="H26" s="1">
        <f>IF($C$6-C13+1&gt;=10,0,$C$6-C13+1)</f>
        <v>0</v>
      </c>
      <c r="I26" s="1">
        <f t="shared" si="2"/>
        <v>8</v>
      </c>
      <c r="J26" s="1">
        <f t="shared" si="5"/>
        <v>8</v>
      </c>
      <c r="K26" s="1">
        <f t="shared" si="6"/>
        <v>4</v>
      </c>
      <c r="L26" s="74">
        <f t="shared" si="7"/>
        <v>8</v>
      </c>
      <c r="N26" s="73" t="str">
        <f t="shared" si="1"/>
        <v>Durabilidad (semanas)</v>
      </c>
      <c r="O26" s="1">
        <f t="shared" si="3"/>
        <v>0.16</v>
      </c>
      <c r="P26" s="1">
        <f t="shared" si="3"/>
        <v>0.13043478260869565</v>
      </c>
      <c r="Q26" s="1">
        <f t="shared" si="3"/>
        <v>0.15384615384615385</v>
      </c>
      <c r="R26" s="1">
        <f t="shared" si="3"/>
        <v>0.2</v>
      </c>
      <c r="S26" s="1">
        <f t="shared" si="3"/>
        <v>0</v>
      </c>
      <c r="T26" s="1">
        <f t="shared" si="3"/>
        <v>0</v>
      </c>
      <c r="U26" s="1">
        <f t="shared" si="3"/>
        <v>0</v>
      </c>
      <c r="V26" s="1">
        <f t="shared" si="3"/>
        <v>0</v>
      </c>
      <c r="W26" s="1">
        <f t="shared" si="3"/>
        <v>0</v>
      </c>
      <c r="X26" s="74">
        <f t="shared" si="3"/>
        <v>0</v>
      </c>
      <c r="Z26" s="77">
        <f t="shared" si="8"/>
        <v>0.16107023411371238</v>
      </c>
    </row>
    <row r="27" spans="2:26" ht="16.5" customHeight="1" x14ac:dyDescent="0.25">
      <c r="B27" s="73" t="str">
        <f t="shared" si="4"/>
        <v>Mantenibilidad (SI/NO)</v>
      </c>
      <c r="C27" s="1">
        <f>IF(B27=0,0,IF(ISERROR(1/F24),0,1/F24))</f>
        <v>0.25</v>
      </c>
      <c r="D27" s="1">
        <f>IF(B27=0,0,IF(ISERROR(1/F25),0,1/F25))</f>
        <v>0.33333333333333331</v>
      </c>
      <c r="E27" s="1">
        <f>IF(B27=0,0,IF(ISERROR(1/F26),0,1/F26))</f>
        <v>0.5</v>
      </c>
      <c r="F27" s="3">
        <f>IF(C9-$C$9+1&gt;=10,0,C9-$C$9+1)</f>
        <v>1</v>
      </c>
      <c r="G27" s="1">
        <f>IF(C9-$C$10+1&gt;=10,0,C9-$C$10+1)</f>
        <v>7</v>
      </c>
      <c r="H27" s="1">
        <f>IF($C$6-C14+1&gt;=10,0,$C$6-C14+1)</f>
        <v>0</v>
      </c>
      <c r="I27" s="1">
        <f t="shared" si="2"/>
        <v>7</v>
      </c>
      <c r="J27" s="1">
        <f t="shared" si="5"/>
        <v>3</v>
      </c>
      <c r="K27" s="1">
        <f t="shared" si="6"/>
        <v>7</v>
      </c>
      <c r="L27" s="74">
        <f t="shared" si="7"/>
        <v>7</v>
      </c>
      <c r="N27" s="73" t="str">
        <f t="shared" si="1"/>
        <v>Mantenibilidad (SI/NO)</v>
      </c>
      <c r="O27" s="1">
        <f t="shared" si="3"/>
        <v>0.12000000000000002</v>
      </c>
      <c r="P27" s="1">
        <f t="shared" si="3"/>
        <v>8.6956521739130432E-2</v>
      </c>
      <c r="Q27" s="1">
        <f t="shared" si="3"/>
        <v>7.6923076923076927E-2</v>
      </c>
      <c r="R27" s="1">
        <f t="shared" si="3"/>
        <v>0.1</v>
      </c>
      <c r="S27" s="1">
        <f t="shared" si="3"/>
        <v>0</v>
      </c>
      <c r="T27" s="1">
        <f t="shared" si="3"/>
        <v>0</v>
      </c>
      <c r="U27" s="1">
        <f t="shared" si="3"/>
        <v>0</v>
      </c>
      <c r="V27" s="1">
        <f t="shared" si="3"/>
        <v>0</v>
      </c>
      <c r="W27" s="1">
        <f t="shared" si="3"/>
        <v>0</v>
      </c>
      <c r="X27" s="74">
        <f t="shared" si="3"/>
        <v>0</v>
      </c>
      <c r="Z27" s="77">
        <f t="shared" si="8"/>
        <v>9.5969899665551833E-2</v>
      </c>
    </row>
    <row r="28" spans="2:26" ht="20.25" customHeight="1" x14ac:dyDescent="0.25">
      <c r="B28" s="73">
        <f t="shared" si="4"/>
        <v>0</v>
      </c>
      <c r="C28" s="1">
        <f>IF(B28=0,0,IF(ISERROR(1/G24),0,1/G24))</f>
        <v>0</v>
      </c>
      <c r="D28" s="1">
        <f>IF(B28=0,0,IF(ISERROR(1/G25),0,1/G25))</f>
        <v>0</v>
      </c>
      <c r="E28" s="1">
        <f>IF(B28=0,0,IF(ISERROR(1/G26),0,1/G26))</f>
        <v>0</v>
      </c>
      <c r="F28" s="1">
        <f>IF(B28=0,0,IF(ISERROR(1/G27),0,1/G27))</f>
        <v>0</v>
      </c>
      <c r="G28" s="3">
        <f>IF(C10-$C$10+1&gt;=10,0,C10-$C$10+1)</f>
        <v>1</v>
      </c>
      <c r="H28" s="1">
        <f>IF($C$6-C15+1&gt;=10,0,$C$6-C15+1)</f>
        <v>0</v>
      </c>
      <c r="I28" s="1">
        <f t="shared" si="2"/>
        <v>-3</v>
      </c>
      <c r="J28" s="1">
        <f t="shared" si="5"/>
        <v>1</v>
      </c>
      <c r="K28" s="1">
        <f t="shared" si="6"/>
        <v>1</v>
      </c>
      <c r="L28" s="74">
        <f t="shared" si="7"/>
        <v>1</v>
      </c>
      <c r="N28" s="73">
        <f t="shared" si="1"/>
        <v>0</v>
      </c>
      <c r="O28" s="1">
        <f t="shared" si="3"/>
        <v>0</v>
      </c>
      <c r="P28" s="1">
        <f t="shared" si="3"/>
        <v>0</v>
      </c>
      <c r="Q28" s="1">
        <f t="shared" si="3"/>
        <v>0</v>
      </c>
      <c r="R28" s="1">
        <f t="shared" si="3"/>
        <v>0</v>
      </c>
      <c r="S28" s="1">
        <f t="shared" si="3"/>
        <v>0</v>
      </c>
      <c r="T28" s="1">
        <f t="shared" si="3"/>
        <v>0</v>
      </c>
      <c r="U28" s="1">
        <f t="shared" si="3"/>
        <v>0</v>
      </c>
      <c r="V28" s="1">
        <f t="shared" si="3"/>
        <v>0</v>
      </c>
      <c r="W28" s="1">
        <f t="shared" si="3"/>
        <v>0</v>
      </c>
      <c r="X28" s="74">
        <f t="shared" si="3"/>
        <v>0</v>
      </c>
      <c r="Z28" s="77">
        <f t="shared" si="8"/>
        <v>0</v>
      </c>
    </row>
    <row r="29" spans="2:26" ht="25.5" customHeight="1" x14ac:dyDescent="0.25">
      <c r="B29" s="73">
        <f t="shared" si="4"/>
        <v>0</v>
      </c>
      <c r="C29" s="1">
        <f>IF(B29=0,0,IF(ISERROR(1/H24),0,1/H24))</f>
        <v>0</v>
      </c>
      <c r="D29" s="1">
        <f>IF(B29=0,0,IF(ISERROR(1/H25),0,1/H25))</f>
        <v>0</v>
      </c>
      <c r="E29" s="1">
        <f>IF(B29=0,0,IF(ISERROR(1/H26),0,1/H26))</f>
        <v>0</v>
      </c>
      <c r="F29" s="1">
        <f>IF(B29=0,0,IF(ISERROR(1/H27),0,1/H27))</f>
        <v>0</v>
      </c>
      <c r="G29" s="1">
        <f>IF(B29=0,0,IF(ISERROR(1/H28),0,1/H28))</f>
        <v>0</v>
      </c>
      <c r="H29" s="3">
        <f>IF(C11-$C$11+1&gt;=10,0,C11-$C$11+1)</f>
        <v>1</v>
      </c>
      <c r="I29" s="1">
        <f t="shared" si="2"/>
        <v>1</v>
      </c>
      <c r="J29" s="1">
        <f t="shared" si="5"/>
        <v>1</v>
      </c>
      <c r="K29" s="1">
        <f t="shared" si="6"/>
        <v>1</v>
      </c>
      <c r="L29" s="74">
        <f t="shared" si="7"/>
        <v>1</v>
      </c>
      <c r="N29" s="73">
        <f t="shared" si="1"/>
        <v>0</v>
      </c>
      <c r="O29" s="1">
        <f t="shared" si="3"/>
        <v>0</v>
      </c>
      <c r="P29" s="1">
        <f t="shared" si="3"/>
        <v>0</v>
      </c>
      <c r="Q29" s="1">
        <f t="shared" si="3"/>
        <v>0</v>
      </c>
      <c r="R29" s="1">
        <f t="shared" si="3"/>
        <v>0</v>
      </c>
      <c r="S29" s="1">
        <f t="shared" si="3"/>
        <v>0</v>
      </c>
      <c r="T29" s="1">
        <f t="shared" si="3"/>
        <v>0</v>
      </c>
      <c r="U29" s="1">
        <f t="shared" si="3"/>
        <v>0</v>
      </c>
      <c r="V29" s="1">
        <f t="shared" si="3"/>
        <v>0</v>
      </c>
      <c r="W29" s="1">
        <f t="shared" si="3"/>
        <v>0</v>
      </c>
      <c r="X29" s="74">
        <f t="shared" si="3"/>
        <v>0</v>
      </c>
      <c r="Z29" s="77">
        <f t="shared" si="8"/>
        <v>0</v>
      </c>
    </row>
    <row r="30" spans="2:26" ht="18.75" customHeight="1" x14ac:dyDescent="0.25">
      <c r="B30" s="73">
        <f t="shared" si="4"/>
        <v>0</v>
      </c>
      <c r="C30" s="1">
        <f>IF(B30=0,0,IF(ISERROR(1/I24),0,1/I24))</f>
        <v>0</v>
      </c>
      <c r="D30" s="1">
        <f>IF(B30=0,0,IF(ISERROR(1/I25),0,1/I25))</f>
        <v>0</v>
      </c>
      <c r="E30" s="1">
        <f>IF(B30=0,0,IF(ISERROR(1/I26),0,1/I26))</f>
        <v>0</v>
      </c>
      <c r="F30" s="1">
        <f>IF(B30=0,0,IF(ISERROR(1/I27),0,1/I27))</f>
        <v>0</v>
      </c>
      <c r="G30" s="1">
        <f>IF(B30=0,0,IF(ISERROR(1/I28),0,1/I28))</f>
        <v>0</v>
      </c>
      <c r="H30" s="1">
        <f>IF(B30=0,0,IF(ISERROR(1/I29),0,1/I29))</f>
        <v>0</v>
      </c>
      <c r="I30" s="3" t="e">
        <f>#N/A</f>
        <v>#N/A</v>
      </c>
      <c r="J30" s="1">
        <f t="shared" si="5"/>
        <v>1</v>
      </c>
      <c r="K30" s="1">
        <f t="shared" si="6"/>
        <v>1</v>
      </c>
      <c r="L30" s="74">
        <f t="shared" si="7"/>
        <v>1</v>
      </c>
      <c r="N30" s="73">
        <v>0</v>
      </c>
      <c r="O30" s="1">
        <f t="shared" si="3"/>
        <v>0</v>
      </c>
      <c r="P30" s="1">
        <f t="shared" si="3"/>
        <v>0</v>
      </c>
      <c r="Q30" s="1">
        <f t="shared" si="3"/>
        <v>0</v>
      </c>
      <c r="R30" s="1">
        <f t="shared" si="3"/>
        <v>0</v>
      </c>
      <c r="S30" s="1">
        <f t="shared" si="3"/>
        <v>0</v>
      </c>
      <c r="T30" s="1">
        <f t="shared" si="3"/>
        <v>0</v>
      </c>
      <c r="U30" s="1">
        <f t="shared" si="3"/>
        <v>0</v>
      </c>
      <c r="V30" s="1">
        <f t="shared" si="3"/>
        <v>0</v>
      </c>
      <c r="W30" s="1">
        <f t="shared" si="3"/>
        <v>0</v>
      </c>
      <c r="X30" s="74">
        <f t="shared" si="3"/>
        <v>0</v>
      </c>
      <c r="Z30" s="77">
        <f t="shared" si="8"/>
        <v>0</v>
      </c>
    </row>
    <row r="31" spans="2:26" ht="18" customHeight="1" x14ac:dyDescent="0.25">
      <c r="B31" s="73">
        <f t="shared" si="4"/>
        <v>0</v>
      </c>
      <c r="C31" s="1">
        <f>IF(B31=0,0,IF(ISERROR(1/J24),0,1/J24))</f>
        <v>0</v>
      </c>
      <c r="D31" s="1">
        <f>IF(B31=0,0,IF(ISERROR(1/J25),0,1/J25))</f>
        <v>0</v>
      </c>
      <c r="E31" s="1">
        <f>IF(B31=0,0,IF(ISERROR(1/J26),0,1/J26))</f>
        <v>0</v>
      </c>
      <c r="F31" s="1">
        <f>IF(B31=0,0,IF(ISERROR(1/J27),0,1/J27))</f>
        <v>0</v>
      </c>
      <c r="G31" s="1">
        <f>IF(B31=0,0,IF(ISERROR(1/J28),0,1/J28))</f>
        <v>0</v>
      </c>
      <c r="H31" s="1">
        <f>IF(B31=0,0,IF(ISERROR(1/J29),0,1/J29))</f>
        <v>0</v>
      </c>
      <c r="I31" s="1">
        <f>IF(B31=0,0,IF(ISERROR(1/J30),0,1/J30))</f>
        <v>0</v>
      </c>
      <c r="J31" s="3" t="e">
        <f>#N/A</f>
        <v>#N/A</v>
      </c>
      <c r="K31" s="1">
        <f t="shared" si="6"/>
        <v>1</v>
      </c>
      <c r="L31" s="74">
        <f t="shared" si="7"/>
        <v>1</v>
      </c>
      <c r="N31" s="73">
        <v>0</v>
      </c>
      <c r="O31" s="1">
        <f t="shared" si="3"/>
        <v>0</v>
      </c>
      <c r="P31" s="1">
        <f t="shared" si="3"/>
        <v>0</v>
      </c>
      <c r="Q31" s="1">
        <f t="shared" si="3"/>
        <v>0</v>
      </c>
      <c r="R31" s="1">
        <f t="shared" si="3"/>
        <v>0</v>
      </c>
      <c r="S31" s="1">
        <f t="shared" si="3"/>
        <v>0</v>
      </c>
      <c r="T31" s="1">
        <f t="shared" si="3"/>
        <v>0</v>
      </c>
      <c r="U31" s="1">
        <f t="shared" si="3"/>
        <v>0</v>
      </c>
      <c r="V31" s="1">
        <f t="shared" si="3"/>
        <v>0</v>
      </c>
      <c r="W31" s="1">
        <f t="shared" si="3"/>
        <v>0</v>
      </c>
      <c r="X31" s="74">
        <f t="shared" si="3"/>
        <v>0</v>
      </c>
      <c r="Z31" s="77">
        <f t="shared" si="8"/>
        <v>0</v>
      </c>
    </row>
    <row r="32" spans="2:26" ht="17.25" customHeight="1" x14ac:dyDescent="0.25">
      <c r="B32" s="73">
        <f t="shared" si="4"/>
        <v>0</v>
      </c>
      <c r="C32" s="1">
        <f>IF(B32=0,0,IF(ISERROR(1/K24),0,1/K24))</f>
        <v>0</v>
      </c>
      <c r="D32" s="1">
        <f>IF(B32=0,0,IF(ISERROR(1/K25),0,1/K25))</f>
        <v>0</v>
      </c>
      <c r="E32" s="1">
        <f>IF(B32=0,0,IF(ISERROR(1/K26),0,1/K26))</f>
        <v>0</v>
      </c>
      <c r="F32" s="1">
        <f>IF(B32=0,0,IF(ISERROR(1/K27),0,1/K27))</f>
        <v>0</v>
      </c>
      <c r="G32" s="1">
        <f>IF(B32=0,0,IF(ISERROR(1/K28),0,1/K28))</f>
        <v>0</v>
      </c>
      <c r="H32" s="1">
        <f>IF(B32=0,0,IF(ISERROR(1/K29),0,1/K29))</f>
        <v>0</v>
      </c>
      <c r="I32" s="1">
        <f>IF(B32=0,0,IF(ISERROR(1/K30),0,1/K30))</f>
        <v>0</v>
      </c>
      <c r="J32" s="1">
        <f>IF(B32=0,0,IF(ISERROR(1/K31),0,1/K31))</f>
        <v>0</v>
      </c>
      <c r="K32" s="3" t="e">
        <f>#N/A</f>
        <v>#N/A</v>
      </c>
      <c r="L32" s="74">
        <f t="shared" si="7"/>
        <v>1</v>
      </c>
      <c r="N32" s="73">
        <v>0</v>
      </c>
      <c r="O32" s="1">
        <f t="shared" si="3"/>
        <v>0</v>
      </c>
      <c r="P32" s="1">
        <f t="shared" si="3"/>
        <v>0</v>
      </c>
      <c r="Q32" s="1">
        <f t="shared" si="3"/>
        <v>0</v>
      </c>
      <c r="R32" s="1">
        <f t="shared" si="3"/>
        <v>0</v>
      </c>
      <c r="S32" s="1">
        <f t="shared" si="3"/>
        <v>0</v>
      </c>
      <c r="T32" s="1">
        <f t="shared" si="3"/>
        <v>0</v>
      </c>
      <c r="U32" s="1">
        <f t="shared" si="3"/>
        <v>0</v>
      </c>
      <c r="V32" s="1">
        <f t="shared" si="3"/>
        <v>0</v>
      </c>
      <c r="W32" s="1">
        <f t="shared" si="3"/>
        <v>0</v>
      </c>
      <c r="X32" s="74">
        <f t="shared" si="3"/>
        <v>0</v>
      </c>
      <c r="Z32" s="77">
        <f t="shared" si="8"/>
        <v>0</v>
      </c>
    </row>
    <row r="33" spans="2:26" ht="27.75" customHeight="1" thickBot="1" x14ac:dyDescent="0.3">
      <c r="B33" s="73">
        <f t="shared" si="4"/>
        <v>0</v>
      </c>
      <c r="C33" s="1">
        <f>IF(B33=0,0,IF(ISERROR(1/L24),0,1/L24))</f>
        <v>0</v>
      </c>
      <c r="D33" s="1">
        <f>IF(B33=0,0,IF(ISERROR(1/L25),0,1/L25))</f>
        <v>0</v>
      </c>
      <c r="E33" s="1">
        <f>IF(B33=0,0,IF(ISERROR(1/L26),0,1/L26))</f>
        <v>0</v>
      </c>
      <c r="F33" s="1">
        <f>IF(B33=0,0,IF(ISERROR(1/L27),0,1/L27))</f>
        <v>0</v>
      </c>
      <c r="G33" s="1">
        <f>IF(B33=0,0,IF(ISERROR(1/L28),0,1/L28))</f>
        <v>0</v>
      </c>
      <c r="H33" s="1">
        <f>IF(B33=0,0,IF(ISERROR(1/L29),0,1/L29))</f>
        <v>0</v>
      </c>
      <c r="I33" s="1">
        <f>IF(B33=0,0,IF(ISERROR(1/L30),0,1/L30))</f>
        <v>0</v>
      </c>
      <c r="J33" s="1">
        <f>IF(B33=0,0,IF(ISERROR(1/L31),0,1/L31))</f>
        <v>0</v>
      </c>
      <c r="K33" s="1">
        <f>IF(B33=0,0,IF(ISERROR(1/L32),0,1/L32))</f>
        <v>0</v>
      </c>
      <c r="L33" s="100">
        <f>IF(C15-$C$15+1&gt;1,0,C15-$C$15+1)</f>
        <v>1</v>
      </c>
      <c r="N33" s="75">
        <v>0</v>
      </c>
      <c r="O33" s="68">
        <f t="shared" si="3"/>
        <v>0</v>
      </c>
      <c r="P33" s="68">
        <f t="shared" si="3"/>
        <v>0</v>
      </c>
      <c r="Q33" s="68">
        <f t="shared" si="3"/>
        <v>0</v>
      </c>
      <c r="R33" s="68">
        <f t="shared" si="3"/>
        <v>0</v>
      </c>
      <c r="S33" s="68">
        <f t="shared" si="3"/>
        <v>0</v>
      </c>
      <c r="T33" s="68">
        <f t="shared" si="3"/>
        <v>0</v>
      </c>
      <c r="U33" s="68">
        <f t="shared" si="3"/>
        <v>0</v>
      </c>
      <c r="V33" s="68">
        <f t="shared" si="3"/>
        <v>0</v>
      </c>
      <c r="W33" s="68">
        <f t="shared" si="3"/>
        <v>0</v>
      </c>
      <c r="X33" s="69">
        <f t="shared" si="3"/>
        <v>0</v>
      </c>
      <c r="Z33" s="77">
        <f t="shared" si="8"/>
        <v>0</v>
      </c>
    </row>
    <row r="34" spans="2:26" ht="17.25" customHeight="1" thickBot="1" x14ac:dyDescent="0.3">
      <c r="B34" s="101" t="s">
        <v>7</v>
      </c>
      <c r="C34" s="102">
        <f>IF(C23=0,0,SUM(C24:C33))</f>
        <v>2.083333333333333</v>
      </c>
      <c r="D34" s="102">
        <f t="shared" ref="D34:L34" si="9">IF(D23=0,0,SUM(D24:D33))</f>
        <v>3.8333333333333335</v>
      </c>
      <c r="E34" s="102">
        <f t="shared" si="9"/>
        <v>6.5</v>
      </c>
      <c r="F34" s="102">
        <f t="shared" si="9"/>
        <v>10</v>
      </c>
      <c r="G34" s="102">
        <f t="shared" si="9"/>
        <v>0</v>
      </c>
      <c r="H34" s="102">
        <f t="shared" si="9"/>
        <v>0</v>
      </c>
      <c r="I34" s="102">
        <f t="shared" si="9"/>
        <v>0</v>
      </c>
      <c r="J34" s="102">
        <f t="shared" si="9"/>
        <v>0</v>
      </c>
      <c r="K34" s="102">
        <f t="shared" si="9"/>
        <v>0</v>
      </c>
      <c r="L34" s="98">
        <f t="shared" si="9"/>
        <v>0</v>
      </c>
      <c r="Y34" s="114" t="s">
        <v>11</v>
      </c>
      <c r="Z34" s="103">
        <f>SUM(Z24:Z33)</f>
        <v>1</v>
      </c>
    </row>
    <row r="35" spans="2:26" ht="15.75" thickBot="1" x14ac:dyDescent="0.3">
      <c r="Y35" s="114"/>
    </row>
  </sheetData>
  <mergeCells count="22">
    <mergeCell ref="P14:R14"/>
    <mergeCell ref="K14:L14"/>
    <mergeCell ref="M14:O14"/>
    <mergeCell ref="H6:R6"/>
    <mergeCell ref="H7:I8"/>
    <mergeCell ref="J7:L8"/>
    <mergeCell ref="M7:R8"/>
    <mergeCell ref="H9:I9"/>
    <mergeCell ref="J9:L9"/>
    <mergeCell ref="M9:R9"/>
    <mergeCell ref="H10:I10"/>
    <mergeCell ref="J10:L10"/>
    <mergeCell ref="M10:R10"/>
    <mergeCell ref="H11:I11"/>
    <mergeCell ref="J11:L11"/>
    <mergeCell ref="M11:R11"/>
    <mergeCell ref="H12:I12"/>
    <mergeCell ref="J12:L12"/>
    <mergeCell ref="M12:R12"/>
    <mergeCell ref="H13:I13"/>
    <mergeCell ref="J13:L13"/>
    <mergeCell ref="M13:R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C24C-5471-49CA-B472-619047048E71}">
  <dimension ref="B1:M37"/>
  <sheetViews>
    <sheetView topLeftCell="B1" zoomScale="90" zoomScaleNormal="90" workbookViewId="0">
      <selection activeCell="H2" sqref="H2:M2"/>
    </sheetView>
  </sheetViews>
  <sheetFormatPr baseColWidth="10" defaultRowHeight="15" x14ac:dyDescent="0.25"/>
  <cols>
    <col min="1" max="1" width="10.42578125" customWidth="1"/>
    <col min="2" max="2" width="25" bestFit="1" customWidth="1"/>
    <col min="3" max="3" width="14.85546875" bestFit="1" customWidth="1"/>
    <col min="4" max="4" width="12.7109375" customWidth="1"/>
    <col min="5" max="5" width="13.28515625" customWidth="1"/>
    <col min="6" max="6" width="12.85546875" customWidth="1"/>
    <col min="8" max="8" width="25" bestFit="1" customWidth="1"/>
    <col min="9" max="9" width="13.7109375" customWidth="1"/>
    <col min="10" max="10" width="11.5703125" customWidth="1"/>
    <col min="11" max="11" width="10.5703125" customWidth="1"/>
    <col min="12" max="12" width="9.85546875" customWidth="1"/>
    <col min="13" max="13" width="10.7109375" customWidth="1"/>
  </cols>
  <sheetData>
    <row r="1" spans="2:13" ht="15.75" thickBot="1" x14ac:dyDescent="0.3"/>
    <row r="2" spans="2:13" ht="15.75" thickBot="1" x14ac:dyDescent="0.3">
      <c r="B2" s="158" t="s">
        <v>138</v>
      </c>
      <c r="C2" s="159"/>
      <c r="D2" s="159"/>
      <c r="E2" s="159"/>
      <c r="F2" s="160"/>
      <c r="H2" s="183" t="s">
        <v>116</v>
      </c>
      <c r="I2" s="184"/>
      <c r="J2" s="184"/>
      <c r="K2" s="184"/>
      <c r="L2" s="184"/>
      <c r="M2" s="185"/>
    </row>
    <row r="3" spans="2:13" ht="21" customHeight="1" x14ac:dyDescent="0.25">
      <c r="B3" s="127" t="s">
        <v>115</v>
      </c>
      <c r="C3" s="59" t="s">
        <v>131</v>
      </c>
      <c r="D3" s="59" t="s">
        <v>132</v>
      </c>
      <c r="E3" s="59" t="s">
        <v>133</v>
      </c>
      <c r="F3" s="113" t="s">
        <v>134</v>
      </c>
      <c r="H3" s="80" t="s">
        <v>115</v>
      </c>
      <c r="I3" s="120" t="s">
        <v>20</v>
      </c>
      <c r="J3" s="118" t="s">
        <v>131</v>
      </c>
      <c r="K3" s="118" t="s">
        <v>132</v>
      </c>
      <c r="L3" s="118" t="s">
        <v>133</v>
      </c>
      <c r="M3" s="119" t="s">
        <v>134</v>
      </c>
    </row>
    <row r="4" spans="2:13" x14ac:dyDescent="0.25">
      <c r="B4" s="35" t="s">
        <v>128</v>
      </c>
      <c r="C4" s="52">
        <v>3371667</v>
      </c>
      <c r="D4" s="52">
        <v>2679800</v>
      </c>
      <c r="E4" s="52">
        <v>2208802.34</v>
      </c>
      <c r="F4" s="115">
        <v>2514405.65</v>
      </c>
      <c r="H4" s="121" t="s">
        <v>82</v>
      </c>
      <c r="I4" s="8">
        <v>46.58193979933111</v>
      </c>
      <c r="J4" s="12">
        <v>-1</v>
      </c>
      <c r="K4" s="12">
        <v>0</v>
      </c>
      <c r="L4" s="12">
        <v>1</v>
      </c>
      <c r="M4" s="34">
        <v>1</v>
      </c>
    </row>
    <row r="5" spans="2:13" x14ac:dyDescent="0.25">
      <c r="B5" s="35" t="s">
        <v>83</v>
      </c>
      <c r="C5" s="12">
        <v>1110</v>
      </c>
      <c r="D5" s="12">
        <v>1520</v>
      </c>
      <c r="E5" s="12">
        <v>1204</v>
      </c>
      <c r="F5" s="34">
        <v>1200</v>
      </c>
      <c r="H5" s="121" t="s">
        <v>91</v>
      </c>
      <c r="I5" s="8">
        <v>27.714046822742478</v>
      </c>
      <c r="J5" s="50">
        <v>1</v>
      </c>
      <c r="K5" s="50">
        <v>-1</v>
      </c>
      <c r="L5" s="50">
        <v>1</v>
      </c>
      <c r="M5" s="122">
        <v>1</v>
      </c>
    </row>
    <row r="6" spans="2:13" ht="12" customHeight="1" x14ac:dyDescent="0.25">
      <c r="B6" s="35" t="s">
        <v>129</v>
      </c>
      <c r="C6" s="12">
        <v>18</v>
      </c>
      <c r="D6" s="5">
        <v>20</v>
      </c>
      <c r="E6" s="12">
        <v>20</v>
      </c>
      <c r="F6" s="34">
        <v>15</v>
      </c>
      <c r="H6" s="123" t="s">
        <v>84</v>
      </c>
      <c r="I6" s="8">
        <v>16.107023411371237</v>
      </c>
      <c r="J6" s="12">
        <v>0</v>
      </c>
      <c r="K6" s="5">
        <v>1</v>
      </c>
      <c r="L6" s="12">
        <v>1</v>
      </c>
      <c r="M6" s="34">
        <v>-1</v>
      </c>
    </row>
    <row r="7" spans="2:13" ht="15.75" thickBot="1" x14ac:dyDescent="0.3">
      <c r="B7" s="36" t="s">
        <v>130</v>
      </c>
      <c r="C7" s="116" t="s">
        <v>86</v>
      </c>
      <c r="D7" s="116" t="s">
        <v>87</v>
      </c>
      <c r="E7" s="116" t="s">
        <v>87</v>
      </c>
      <c r="F7" s="117" t="s">
        <v>86</v>
      </c>
      <c r="H7" s="121" t="s">
        <v>85</v>
      </c>
      <c r="I7" s="8">
        <v>9.5969899665551832</v>
      </c>
      <c r="J7" s="2">
        <v>1</v>
      </c>
      <c r="K7" s="2">
        <v>-1</v>
      </c>
      <c r="L7" s="2">
        <v>-1</v>
      </c>
      <c r="M7" s="65">
        <v>1</v>
      </c>
    </row>
    <row r="8" spans="2:13" ht="15.75" thickBot="1" x14ac:dyDescent="0.3">
      <c r="H8" s="124" t="s">
        <v>11</v>
      </c>
      <c r="I8" s="96">
        <f>+SUM(I4:I7)</f>
        <v>100</v>
      </c>
      <c r="J8" s="96">
        <f>($I$4*J4)+($I$5*J5)+($I$6*J6)+($I$7*J7)</f>
        <v>-9.2709030100334484</v>
      </c>
      <c r="K8" s="96">
        <f>($I$4*K4)+($I$5*K5)+($I$6*K6)+($I$7*K7)</f>
        <v>-21.204013377926422</v>
      </c>
      <c r="L8" s="96">
        <f>($I$4*L4)+($I$5*L5)+($I$6*L6)+($I$7*L7)</f>
        <v>80.80602006688963</v>
      </c>
      <c r="M8" s="97">
        <f>($I$4*M4)+($I$5*M5)+($I$6*M6)+($I$7*M7)</f>
        <v>67.785953177257525</v>
      </c>
    </row>
    <row r="9" spans="2:13" ht="15" customHeight="1" x14ac:dyDescent="0.55000000000000004">
      <c r="C9" s="48"/>
    </row>
    <row r="10" spans="2:13" x14ac:dyDescent="0.25">
      <c r="B10" s="153" t="s">
        <v>13</v>
      </c>
      <c r="C10" s="154"/>
      <c r="D10" s="155"/>
    </row>
    <row r="11" spans="2:13" x14ac:dyDescent="0.25">
      <c r="B11" s="179" t="s">
        <v>14</v>
      </c>
      <c r="C11" s="180"/>
      <c r="D11" s="2" t="s">
        <v>15</v>
      </c>
    </row>
    <row r="12" spans="2:13" x14ac:dyDescent="0.25">
      <c r="B12" s="6">
        <f>MAX($C$4:$F$4)-((MAX($C$4:$F$4)-MIN($C$4:$F$4))/3)</f>
        <v>2984045.4466666668</v>
      </c>
      <c r="C12" s="6"/>
      <c r="D12" s="2">
        <v>-1</v>
      </c>
    </row>
    <row r="13" spans="2:13" x14ac:dyDescent="0.25">
      <c r="B13" s="6">
        <f>2*((MAX($C$4:$F$4)-MIN($C$4:$F$4))/3)+MIN($C$4:$F$4)</f>
        <v>2984045.4466666668</v>
      </c>
      <c r="C13" s="6">
        <f>MAX($C$4:$F$4)-2*((MAX($C$4:$F$4)-MIN($C$4:$F$4))/3)</f>
        <v>2596423.8933333331</v>
      </c>
      <c r="D13" s="2">
        <v>0</v>
      </c>
    </row>
    <row r="14" spans="2:13" x14ac:dyDescent="0.25">
      <c r="B14" s="6"/>
      <c r="C14" s="6">
        <f>MAX(C4:F4)-2*((MAX($C$4:$F$4)-MIN($C$4:$F$4))/3)</f>
        <v>2596423.8933333331</v>
      </c>
      <c r="D14" s="2">
        <v>1</v>
      </c>
    </row>
    <row r="16" spans="2:13" x14ac:dyDescent="0.25">
      <c r="B16" s="153" t="s">
        <v>88</v>
      </c>
      <c r="C16" s="154"/>
      <c r="D16" s="155"/>
    </row>
    <row r="17" spans="2:4" x14ac:dyDescent="0.25">
      <c r="B17" s="179" t="s">
        <v>14</v>
      </c>
      <c r="C17" s="180"/>
      <c r="D17" s="2" t="s">
        <v>15</v>
      </c>
    </row>
    <row r="18" spans="2:4" x14ac:dyDescent="0.25">
      <c r="B18" s="7">
        <f>MAX($C$5:$F$5)-((MAX($C$5:$F$5)-MIN($C$5:$F$5))/3)</f>
        <v>1383.3333333333333</v>
      </c>
      <c r="C18" s="7"/>
      <c r="D18" s="2">
        <v>-1</v>
      </c>
    </row>
    <row r="19" spans="2:4" x14ac:dyDescent="0.25">
      <c r="B19" s="7">
        <f>2*((MAX($C$5:$F$5)-MIN($C$5:$F$5))/3)+MIN($C$5:$F$5)</f>
        <v>1383.3333333333333</v>
      </c>
      <c r="C19" s="7">
        <f>MAX($C$5:$F$5)-2*((MAX($C$5:$F$5)-MIN($C$5:$F$5))/3)</f>
        <v>1246.6666666666667</v>
      </c>
      <c r="D19" s="2">
        <v>0</v>
      </c>
    </row>
    <row r="20" spans="2:4" x14ac:dyDescent="0.25">
      <c r="B20" s="7"/>
      <c r="C20" s="7">
        <f>MAX(C5:F5)-2*((MAX($C$5:$F$5)-MIN($C$5:$F$5))/3)</f>
        <v>1246.6666666666667</v>
      </c>
      <c r="D20" s="2">
        <v>1</v>
      </c>
    </row>
    <row r="22" spans="2:4" x14ac:dyDescent="0.25">
      <c r="B22" s="153" t="s">
        <v>89</v>
      </c>
      <c r="C22" s="154"/>
      <c r="D22" s="155"/>
    </row>
    <row r="23" spans="2:4" x14ac:dyDescent="0.25">
      <c r="B23" s="179" t="s">
        <v>14</v>
      </c>
      <c r="C23" s="180"/>
      <c r="D23" s="2" t="s">
        <v>15</v>
      </c>
    </row>
    <row r="24" spans="2:4" x14ac:dyDescent="0.25">
      <c r="B24" s="8">
        <f>((MAX($C$6:$F$6)-MIN($C$6:$F$6))/3)+MIN($C$6:$F$6)</f>
        <v>16.666666666666668</v>
      </c>
      <c r="C24" s="8"/>
      <c r="D24" s="2">
        <v>-1</v>
      </c>
    </row>
    <row r="25" spans="2:4" x14ac:dyDescent="0.25">
      <c r="B25" s="8">
        <f>((MAX($C$6:$F$6)-MIN($C$6:$F$6))/3)+MIN($C$6:$F$6)</f>
        <v>16.666666666666668</v>
      </c>
      <c r="C25" s="8">
        <f>2*((MAX($C$6:$F$6)-MIN($C$6:$F$6))/3)+MIN($C$6:$F$6)</f>
        <v>18.333333333333332</v>
      </c>
      <c r="D25" s="2">
        <v>0</v>
      </c>
    </row>
    <row r="26" spans="2:4" x14ac:dyDescent="0.25">
      <c r="B26" s="8"/>
      <c r="C26" s="8">
        <f>2*((MAX($C$6:$F$6)-MIN($C$6:$F$6))/3)+MIN($C$6:$F$6)</f>
        <v>18.333333333333332</v>
      </c>
      <c r="D26" s="2">
        <v>1</v>
      </c>
    </row>
    <row r="28" spans="2:4" x14ac:dyDescent="0.25">
      <c r="B28" s="153" t="s">
        <v>90</v>
      </c>
      <c r="C28" s="154"/>
      <c r="D28" s="155"/>
    </row>
    <row r="29" spans="2:4" x14ac:dyDescent="0.25">
      <c r="B29" s="179" t="s">
        <v>14</v>
      </c>
      <c r="C29" s="180"/>
      <c r="D29" s="2" t="s">
        <v>15</v>
      </c>
    </row>
    <row r="30" spans="2:4" x14ac:dyDescent="0.25">
      <c r="B30" s="2" t="s">
        <v>135</v>
      </c>
      <c r="C30" s="8"/>
      <c r="D30" s="2">
        <v>-1</v>
      </c>
    </row>
    <row r="31" spans="2:4" x14ac:dyDescent="0.25">
      <c r="B31" s="8"/>
      <c r="C31" s="47" t="s">
        <v>136</v>
      </c>
      <c r="D31" s="2">
        <v>1</v>
      </c>
    </row>
    <row r="33" spans="2:4" x14ac:dyDescent="0.25">
      <c r="B33" s="18"/>
      <c r="C33" s="18"/>
      <c r="D33" s="18"/>
    </row>
    <row r="34" spans="2:4" x14ac:dyDescent="0.25">
      <c r="B34" s="10"/>
      <c r="C34" s="10"/>
      <c r="D34" s="10"/>
    </row>
    <row r="35" spans="2:4" x14ac:dyDescent="0.25">
      <c r="B35" s="49"/>
      <c r="C35" s="49"/>
      <c r="D35" s="10"/>
    </row>
    <row r="36" spans="2:4" x14ac:dyDescent="0.25">
      <c r="B36" s="49"/>
      <c r="C36" s="49"/>
      <c r="D36" s="10"/>
    </row>
    <row r="37" spans="2:4" x14ac:dyDescent="0.25">
      <c r="B37" s="49"/>
      <c r="C37" s="49"/>
      <c r="D37" s="10"/>
    </row>
  </sheetData>
  <mergeCells count="10">
    <mergeCell ref="B29:C29"/>
    <mergeCell ref="H2:M2"/>
    <mergeCell ref="B10:D10"/>
    <mergeCell ref="B16:D16"/>
    <mergeCell ref="B22:D22"/>
    <mergeCell ref="B28:D28"/>
    <mergeCell ref="B2:F2"/>
    <mergeCell ref="B11:C11"/>
    <mergeCell ref="B17:C17"/>
    <mergeCell ref="B23:C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EF8C-2470-49AF-A202-7AC17A6FCB02}">
  <dimension ref="A1:Z34"/>
  <sheetViews>
    <sheetView zoomScale="80" zoomScaleNormal="80" workbookViewId="0">
      <selection activeCell="H17" sqref="H17"/>
    </sheetView>
  </sheetViews>
  <sheetFormatPr baseColWidth="10" defaultRowHeight="15" x14ac:dyDescent="0.25"/>
  <cols>
    <col min="2" max="2" width="15" customWidth="1"/>
    <col min="3" max="3" width="13.7109375" customWidth="1"/>
    <col min="5" max="5" width="22" bestFit="1" customWidth="1"/>
    <col min="6" max="6" width="25.7109375" bestFit="1" customWidth="1"/>
    <col min="8" max="8" width="16.7109375" bestFit="1" customWidth="1"/>
    <col min="9" max="9" width="12.42578125" bestFit="1" customWidth="1"/>
  </cols>
  <sheetData>
    <row r="1" spans="1:18" ht="48.75" customHeight="1" x14ac:dyDescent="0.5">
      <c r="A1" s="13"/>
      <c r="B1" s="13"/>
      <c r="C1" s="13"/>
      <c r="D1" s="13"/>
      <c r="E1" s="13"/>
      <c r="F1" s="13"/>
      <c r="G1" s="13"/>
      <c r="H1" s="13"/>
      <c r="I1" s="13"/>
    </row>
    <row r="2" spans="1:18" ht="15.75" thickBot="1" x14ac:dyDescent="0.3"/>
    <row r="3" spans="1:18" ht="29.25" customHeight="1" x14ac:dyDescent="0.25">
      <c r="B3" s="80" t="s">
        <v>4</v>
      </c>
      <c r="C3" s="81" t="s">
        <v>5</v>
      </c>
      <c r="E3" s="80" t="str">
        <f>B3</f>
        <v>CRITERIO</v>
      </c>
      <c r="F3" s="81" t="s">
        <v>6</v>
      </c>
    </row>
    <row r="4" spans="1:18" ht="0.75" customHeight="1" x14ac:dyDescent="0.25">
      <c r="B4" s="82"/>
      <c r="C4" s="83"/>
      <c r="E4" s="82"/>
      <c r="F4" s="83"/>
    </row>
    <row r="5" spans="1:18" ht="1.5" customHeight="1" thickBot="1" x14ac:dyDescent="0.3">
      <c r="B5" s="35"/>
      <c r="C5" s="74"/>
      <c r="E5" s="35" t="e">
        <f>#N/A</f>
        <v>#N/A</v>
      </c>
      <c r="F5" s="74"/>
    </row>
    <row r="6" spans="1:18" ht="17.25" customHeight="1" x14ac:dyDescent="0.25">
      <c r="A6">
        <v>1</v>
      </c>
      <c r="B6" s="35" t="s">
        <v>112</v>
      </c>
      <c r="C6" s="74">
        <v>9</v>
      </c>
      <c r="E6" s="35" t="str">
        <f>B6</f>
        <v>Costos ($COP)</v>
      </c>
      <c r="F6" s="87">
        <f t="shared" ref="F6:F15" si="0">IFERROR(Z24*100,"")</f>
        <v>71.428571428571431</v>
      </c>
      <c r="H6" s="150" t="s">
        <v>108</v>
      </c>
      <c r="I6" s="151"/>
      <c r="J6" s="151"/>
      <c r="K6" s="151"/>
      <c r="L6" s="151"/>
      <c r="M6" s="151"/>
      <c r="N6" s="151"/>
      <c r="O6" s="151"/>
      <c r="P6" s="151"/>
      <c r="Q6" s="151"/>
      <c r="R6" s="152"/>
    </row>
    <row r="7" spans="1:18" x14ac:dyDescent="0.25">
      <c r="A7">
        <v>2</v>
      </c>
      <c r="B7" s="35" t="s">
        <v>93</v>
      </c>
      <c r="C7" s="74">
        <v>5</v>
      </c>
      <c r="E7" s="35" t="str">
        <f>B7</f>
        <v>Protecciones</v>
      </c>
      <c r="F7" s="87">
        <f t="shared" si="0"/>
        <v>14.285714285714285</v>
      </c>
      <c r="H7" s="148" t="s">
        <v>46</v>
      </c>
      <c r="I7" s="146"/>
      <c r="J7" s="146" t="s">
        <v>47</v>
      </c>
      <c r="K7" s="149"/>
      <c r="L7" s="149"/>
      <c r="M7" s="146" t="s">
        <v>48</v>
      </c>
      <c r="N7" s="146"/>
      <c r="O7" s="146"/>
      <c r="P7" s="146"/>
      <c r="Q7" s="146"/>
      <c r="R7" s="147"/>
    </row>
    <row r="8" spans="1:18" x14ac:dyDescent="0.25">
      <c r="A8">
        <v>3</v>
      </c>
      <c r="B8" s="35" t="s">
        <v>118</v>
      </c>
      <c r="C8" s="74">
        <v>5</v>
      </c>
      <c r="E8" s="35" t="str">
        <f>B8</f>
        <v>Eficiencia (%)</v>
      </c>
      <c r="F8" s="87">
        <f t="shared" si="0"/>
        <v>14.285714285714285</v>
      </c>
      <c r="H8" s="148"/>
      <c r="I8" s="146"/>
      <c r="J8" s="149"/>
      <c r="K8" s="149"/>
      <c r="L8" s="149"/>
      <c r="M8" s="146"/>
      <c r="N8" s="146"/>
      <c r="O8" s="146"/>
      <c r="P8" s="146"/>
      <c r="Q8" s="146"/>
      <c r="R8" s="147"/>
    </row>
    <row r="9" spans="1:18" ht="12.75" customHeight="1" x14ac:dyDescent="0.25">
      <c r="A9">
        <v>4</v>
      </c>
      <c r="B9" s="35"/>
      <c r="C9" s="74"/>
      <c r="E9" s="35">
        <f>B9</f>
        <v>0</v>
      </c>
      <c r="F9" s="87">
        <f t="shared" si="0"/>
        <v>0</v>
      </c>
      <c r="H9" s="138">
        <v>9</v>
      </c>
      <c r="I9" s="139"/>
      <c r="J9" s="139" t="s">
        <v>49</v>
      </c>
      <c r="K9" s="139"/>
      <c r="L9" s="139"/>
      <c r="M9" s="142" t="s">
        <v>103</v>
      </c>
      <c r="N9" s="142"/>
      <c r="O9" s="142"/>
      <c r="P9" s="142"/>
      <c r="Q9" s="142"/>
      <c r="R9" s="143"/>
    </row>
    <row r="10" spans="1:18" x14ac:dyDescent="0.25">
      <c r="A10">
        <v>5</v>
      </c>
      <c r="B10" s="35"/>
      <c r="C10" s="74"/>
      <c r="E10" s="35">
        <f>B10</f>
        <v>0</v>
      </c>
      <c r="F10" s="87">
        <f t="shared" si="0"/>
        <v>0</v>
      </c>
      <c r="H10" s="138">
        <v>7</v>
      </c>
      <c r="I10" s="139"/>
      <c r="J10" s="139" t="s">
        <v>101</v>
      </c>
      <c r="K10" s="139"/>
      <c r="L10" s="139"/>
      <c r="M10" s="142" t="s">
        <v>104</v>
      </c>
      <c r="N10" s="142"/>
      <c r="O10" s="142"/>
      <c r="P10" s="142"/>
      <c r="Q10" s="142"/>
      <c r="R10" s="143"/>
    </row>
    <row r="11" spans="1:18" ht="14.25" customHeight="1" x14ac:dyDescent="0.25">
      <c r="A11">
        <v>6</v>
      </c>
      <c r="B11" s="35"/>
      <c r="C11" s="74"/>
      <c r="E11" s="35">
        <v>0</v>
      </c>
      <c r="F11" s="87">
        <f t="shared" si="0"/>
        <v>0</v>
      </c>
      <c r="H11" s="138">
        <v>5</v>
      </c>
      <c r="I11" s="139"/>
      <c r="J11" s="139" t="s">
        <v>102</v>
      </c>
      <c r="K11" s="139"/>
      <c r="L11" s="139"/>
      <c r="M11" s="142" t="s">
        <v>105</v>
      </c>
      <c r="N11" s="142"/>
      <c r="O11" s="142"/>
      <c r="P11" s="142"/>
      <c r="Q11" s="142"/>
      <c r="R11" s="143"/>
    </row>
    <row r="12" spans="1:18" ht="13.5" customHeight="1" x14ac:dyDescent="0.25">
      <c r="A12">
        <v>7</v>
      </c>
      <c r="B12" s="35"/>
      <c r="C12" s="74"/>
      <c r="E12" s="35">
        <v>0</v>
      </c>
      <c r="F12" s="87">
        <f t="shared" si="0"/>
        <v>0</v>
      </c>
      <c r="H12" s="138">
        <v>3</v>
      </c>
      <c r="I12" s="139"/>
      <c r="J12" s="139" t="s">
        <v>50</v>
      </c>
      <c r="K12" s="139"/>
      <c r="L12" s="139"/>
      <c r="M12" s="142" t="s">
        <v>106</v>
      </c>
      <c r="N12" s="142"/>
      <c r="O12" s="142"/>
      <c r="P12" s="142"/>
      <c r="Q12" s="142"/>
      <c r="R12" s="143"/>
    </row>
    <row r="13" spans="1:18" ht="15.75" thickBot="1" x14ac:dyDescent="0.3">
      <c r="A13">
        <v>8</v>
      </c>
      <c r="B13" s="35"/>
      <c r="C13" s="74"/>
      <c r="E13" s="35">
        <v>0</v>
      </c>
      <c r="F13" s="87">
        <f t="shared" si="0"/>
        <v>0</v>
      </c>
      <c r="H13" s="140">
        <v>1</v>
      </c>
      <c r="I13" s="141"/>
      <c r="J13" s="141" t="s">
        <v>51</v>
      </c>
      <c r="K13" s="141"/>
      <c r="L13" s="141"/>
      <c r="M13" s="144" t="s">
        <v>107</v>
      </c>
      <c r="N13" s="144"/>
      <c r="O13" s="144"/>
      <c r="P13" s="144"/>
      <c r="Q13" s="144"/>
      <c r="R13" s="145"/>
    </row>
    <row r="14" spans="1:18" x14ac:dyDescent="0.25">
      <c r="A14">
        <v>9</v>
      </c>
      <c r="B14" s="35"/>
      <c r="C14" s="74"/>
      <c r="E14" s="35">
        <v>0</v>
      </c>
      <c r="F14" s="87">
        <f t="shared" si="0"/>
        <v>0</v>
      </c>
      <c r="K14" s="178"/>
      <c r="L14" s="178"/>
      <c r="M14" s="178"/>
      <c r="N14" s="178"/>
      <c r="O14" s="178"/>
      <c r="P14" s="177"/>
      <c r="Q14" s="177"/>
      <c r="R14" s="177"/>
    </row>
    <row r="15" spans="1:18" ht="15.75" thickBot="1" x14ac:dyDescent="0.3">
      <c r="A15">
        <v>10</v>
      </c>
      <c r="B15" s="36"/>
      <c r="C15" s="69"/>
      <c r="E15" s="35">
        <v>0</v>
      </c>
      <c r="F15" s="87">
        <f t="shared" si="0"/>
        <v>0</v>
      </c>
    </row>
    <row r="16" spans="1:18" ht="15.75" thickBot="1" x14ac:dyDescent="0.3">
      <c r="A16" s="57" t="s">
        <v>11</v>
      </c>
      <c r="B16" s="102">
        <f>COUNTA(B6:B15)</f>
        <v>3</v>
      </c>
      <c r="C16" s="98">
        <f>COUNT(C6:C15)</f>
        <v>3</v>
      </c>
      <c r="E16" s="88" t="s">
        <v>7</v>
      </c>
      <c r="F16" s="69">
        <f>SUM(F6:F15)</f>
        <v>100</v>
      </c>
    </row>
    <row r="22" spans="2:26" ht="15.75" thickBot="1" x14ac:dyDescent="0.3"/>
    <row r="23" spans="2:26" x14ac:dyDescent="0.25">
      <c r="B23" s="70" t="s">
        <v>8</v>
      </c>
      <c r="C23" s="71" t="str">
        <f>B24</f>
        <v>Costos ($COP)</v>
      </c>
      <c r="D23" s="71" t="str">
        <f>B25</f>
        <v>Protecciones</v>
      </c>
      <c r="E23" s="71" t="str">
        <f>B26</f>
        <v>Eficiencia (%)</v>
      </c>
      <c r="F23" s="71">
        <f>B27</f>
        <v>0</v>
      </c>
      <c r="G23" s="71">
        <f>B28</f>
        <v>0</v>
      </c>
      <c r="H23" s="71">
        <f>B29</f>
        <v>0</v>
      </c>
      <c r="I23" s="71">
        <f>B30</f>
        <v>0</v>
      </c>
      <c r="J23" s="71">
        <f>B31</f>
        <v>0</v>
      </c>
      <c r="K23" s="71">
        <f>B32</f>
        <v>0</v>
      </c>
      <c r="L23" s="72">
        <f>B33</f>
        <v>0</v>
      </c>
      <c r="N23" s="70" t="str">
        <f t="shared" ref="N23:N29" si="1">B23</f>
        <v>criterio</v>
      </c>
      <c r="O23" s="71" t="str">
        <f>+N24</f>
        <v>Costos ($COP)</v>
      </c>
      <c r="P23" s="71" t="str">
        <f>+N25</f>
        <v>Protecciones</v>
      </c>
      <c r="Q23" s="71" t="str">
        <f>+N26</f>
        <v>Eficiencia (%)</v>
      </c>
      <c r="R23" s="71">
        <f>+N27</f>
        <v>0</v>
      </c>
      <c r="S23" s="71">
        <f>+N28</f>
        <v>0</v>
      </c>
      <c r="T23" s="71">
        <v>0</v>
      </c>
      <c r="U23" s="71">
        <v>0</v>
      </c>
      <c r="V23" s="71">
        <v>0</v>
      </c>
      <c r="W23" s="71">
        <v>0</v>
      </c>
      <c r="X23" s="72">
        <v>0</v>
      </c>
      <c r="Z23" s="76" t="s">
        <v>9</v>
      </c>
    </row>
    <row r="24" spans="2:26" x14ac:dyDescent="0.25">
      <c r="B24" s="73" t="str">
        <f>B6</f>
        <v>Costos ($COP)</v>
      </c>
      <c r="C24" s="3">
        <v>1</v>
      </c>
      <c r="D24" s="1">
        <f>IF(C6-$C$7+1&gt;=10,0,C6-$C$7+1)</f>
        <v>5</v>
      </c>
      <c r="E24" s="1">
        <f>IF(C6-$C$8+1&gt;=10,0,C6-$C$8+1)</f>
        <v>5</v>
      </c>
      <c r="F24" s="1">
        <f>IF(C6-$C$9+1&gt;=10,0,C6-$C$9+1)</f>
        <v>0</v>
      </c>
      <c r="G24" s="1">
        <f>IF(C6-$C$10+1&gt;=10,0,C6-$C$10+1)</f>
        <v>0</v>
      </c>
      <c r="H24" s="1">
        <f>IF($C$6-C11+1&gt;=10,0,$C$6-C11+1)</f>
        <v>0</v>
      </c>
      <c r="I24" s="1">
        <f t="shared" ref="I24:I29" si="2">IF(C6-C12+1&gt;=10,0,C6-C12+1)</f>
        <v>0</v>
      </c>
      <c r="J24" s="1">
        <f>IF(C6-C13+1&gt;=10,0,C6-C13+1)</f>
        <v>0</v>
      </c>
      <c r="K24" s="1">
        <f>IF(C6-C14+1&gt;=10,0,C6-C14+1)</f>
        <v>0</v>
      </c>
      <c r="L24" s="74">
        <f>IF(C6-G11+1&gt;=10,0,C6-G11+1)</f>
        <v>0</v>
      </c>
      <c r="N24" s="73" t="str">
        <f t="shared" si="1"/>
        <v>Costos ($COP)</v>
      </c>
      <c r="O24" s="1">
        <f t="shared" ref="O24:X33" si="3">IF(ISERROR(C24/C$34),0,C24/C$34)</f>
        <v>0.7142857142857143</v>
      </c>
      <c r="P24" s="1">
        <f t="shared" si="3"/>
        <v>0.7142857142857143</v>
      </c>
      <c r="Q24" s="1">
        <f t="shared" si="3"/>
        <v>0.7142857142857143</v>
      </c>
      <c r="R24" s="1">
        <f t="shared" si="3"/>
        <v>0</v>
      </c>
      <c r="S24" s="1">
        <f t="shared" si="3"/>
        <v>0</v>
      </c>
      <c r="T24" s="1">
        <f t="shared" si="3"/>
        <v>0</v>
      </c>
      <c r="U24" s="1">
        <f t="shared" si="3"/>
        <v>0</v>
      </c>
      <c r="V24" s="1">
        <f t="shared" si="3"/>
        <v>0</v>
      </c>
      <c r="W24" s="1">
        <f t="shared" si="3"/>
        <v>0</v>
      </c>
      <c r="X24" s="74">
        <f t="shared" si="3"/>
        <v>0</v>
      </c>
      <c r="Z24" s="77">
        <f>(O24+P24+Q24+R24+S24+T24+U24+V24+W24+X24)/$C$16</f>
        <v>0.7142857142857143</v>
      </c>
    </row>
    <row r="25" spans="2:26" x14ac:dyDescent="0.25">
      <c r="B25" s="73" t="str">
        <f t="shared" ref="B25:B33" si="4">B7</f>
        <v>Protecciones</v>
      </c>
      <c r="C25" s="1">
        <f>IF(B25=0,0,IF(ISERROR(1/D24),0,1/D24))</f>
        <v>0.2</v>
      </c>
      <c r="D25" s="3">
        <f>IF(C7-$C$7+1&gt;=10,0,C7-$C$7+1)</f>
        <v>1</v>
      </c>
      <c r="E25" s="1">
        <f>IF(C7-$C$8+1&gt;=10,0,C7-$C$8+1)</f>
        <v>1</v>
      </c>
      <c r="F25" s="1">
        <f>IF(C7-$C$9+1&gt;=10,0,C7-$C$9+1)</f>
        <v>6</v>
      </c>
      <c r="G25" s="1">
        <f>IF(C7-$C$10+1&gt;=10,0,C7-$C$10+1)</f>
        <v>6</v>
      </c>
      <c r="H25" s="1">
        <f>IF($C$6-C12+1&gt;=10,0,$C$6-C12+1)</f>
        <v>0</v>
      </c>
      <c r="I25" s="1">
        <f t="shared" si="2"/>
        <v>6</v>
      </c>
      <c r="J25" s="1">
        <f t="shared" ref="J25:J30" si="5">IF(C7-C14+1&gt;=10,0,C7-C14+1)</f>
        <v>6</v>
      </c>
      <c r="K25" s="1">
        <f t="shared" ref="K25:K31" si="6">IF(C7-C15+1&gt;=10,0,C7-C15+1)</f>
        <v>6</v>
      </c>
      <c r="L25" s="74">
        <f t="shared" ref="L25:L32" si="7">IF(C7-G12+1&gt;=10,0,C7-G12+1)</f>
        <v>6</v>
      </c>
      <c r="N25" s="73" t="str">
        <f t="shared" si="1"/>
        <v>Protecciones</v>
      </c>
      <c r="O25" s="1">
        <f t="shared" si="3"/>
        <v>0.14285714285714288</v>
      </c>
      <c r="P25" s="1">
        <f t="shared" si="3"/>
        <v>0.14285714285714285</v>
      </c>
      <c r="Q25" s="1">
        <f t="shared" si="3"/>
        <v>0.14285714285714285</v>
      </c>
      <c r="R25" s="1">
        <f t="shared" si="3"/>
        <v>0</v>
      </c>
      <c r="S25" s="1">
        <f t="shared" si="3"/>
        <v>0</v>
      </c>
      <c r="T25" s="1">
        <f t="shared" si="3"/>
        <v>0</v>
      </c>
      <c r="U25" s="1">
        <f t="shared" si="3"/>
        <v>0</v>
      </c>
      <c r="V25" s="1">
        <f t="shared" si="3"/>
        <v>0</v>
      </c>
      <c r="W25" s="1">
        <f t="shared" si="3"/>
        <v>0</v>
      </c>
      <c r="X25" s="74">
        <f t="shared" si="3"/>
        <v>0</v>
      </c>
      <c r="Z25" s="77">
        <f t="shared" ref="Z25:Z33" si="8">(O25+P25+Q25+R25+S25+T25+U25+V25+W25+X25)/$C$16</f>
        <v>0.14285714285714285</v>
      </c>
    </row>
    <row r="26" spans="2:26" x14ac:dyDescent="0.25">
      <c r="B26" s="73" t="str">
        <f t="shared" si="4"/>
        <v>Eficiencia (%)</v>
      </c>
      <c r="C26" s="4">
        <f>IF(B26=0,0,IF(ISERROR(1/E24),0,1/E24))</f>
        <v>0.2</v>
      </c>
      <c r="D26" s="1">
        <f>IF(B26=0,0,IF(ISERROR(1/E25),0,1/E25))</f>
        <v>1</v>
      </c>
      <c r="E26" s="3">
        <f>IF(C8-$C$8+1&gt;=10,0,C8-$C$8+1)</f>
        <v>1</v>
      </c>
      <c r="F26" s="1">
        <f>IF(C8-$C$9+1&gt;=10,0,C8-$C$9+1)</f>
        <v>6</v>
      </c>
      <c r="G26" s="1">
        <f>IF(C8-$C$10+1&gt;=10,0,C8-$C$10+1)</f>
        <v>6</v>
      </c>
      <c r="H26" s="1">
        <f>IF($C$6-C13+1&gt;=10,0,$C$6-C13+1)</f>
        <v>0</v>
      </c>
      <c r="I26" s="1">
        <f t="shared" si="2"/>
        <v>6</v>
      </c>
      <c r="J26" s="1">
        <f t="shared" si="5"/>
        <v>6</v>
      </c>
      <c r="K26" s="1">
        <f t="shared" si="6"/>
        <v>3</v>
      </c>
      <c r="L26" s="74">
        <f t="shared" si="7"/>
        <v>6</v>
      </c>
      <c r="N26" s="73" t="str">
        <f t="shared" si="1"/>
        <v>Eficiencia (%)</v>
      </c>
      <c r="O26" s="1">
        <f t="shared" si="3"/>
        <v>0.14285714285714288</v>
      </c>
      <c r="P26" s="1">
        <f t="shared" si="3"/>
        <v>0.14285714285714285</v>
      </c>
      <c r="Q26" s="1">
        <f t="shared" si="3"/>
        <v>0.14285714285714285</v>
      </c>
      <c r="R26" s="1">
        <f t="shared" si="3"/>
        <v>0</v>
      </c>
      <c r="S26" s="1">
        <f t="shared" si="3"/>
        <v>0</v>
      </c>
      <c r="T26" s="1">
        <f t="shared" si="3"/>
        <v>0</v>
      </c>
      <c r="U26" s="1">
        <f t="shared" si="3"/>
        <v>0</v>
      </c>
      <c r="V26" s="1">
        <f t="shared" si="3"/>
        <v>0</v>
      </c>
      <c r="W26" s="1">
        <f t="shared" si="3"/>
        <v>0</v>
      </c>
      <c r="X26" s="74">
        <f t="shared" si="3"/>
        <v>0</v>
      </c>
      <c r="Z26" s="77">
        <f t="shared" si="8"/>
        <v>0.14285714285714285</v>
      </c>
    </row>
    <row r="27" spans="2:26" ht="16.5" customHeight="1" x14ac:dyDescent="0.25">
      <c r="B27" s="73">
        <f t="shared" si="4"/>
        <v>0</v>
      </c>
      <c r="C27" s="1">
        <f>IF(B27=0,0,IF(ISERROR(1/F24),0,1/F24))</f>
        <v>0</v>
      </c>
      <c r="D27" s="1">
        <f>IF(B27=0,0,IF(ISERROR(1/F25),0,1/F25))</f>
        <v>0</v>
      </c>
      <c r="E27" s="1">
        <f>IF(B27=0,0,IF(ISERROR(1/F26),0,1/F26))</f>
        <v>0</v>
      </c>
      <c r="F27" s="3">
        <f>IF(C9-$C$9+1&gt;=10,0,C9-$C$9+1)</f>
        <v>1</v>
      </c>
      <c r="G27" s="1">
        <f>IF(C9-$C$10+1&gt;=10,0,C9-$C$10+1)</f>
        <v>1</v>
      </c>
      <c r="H27" s="1">
        <f>IF($C$6-C14+1&gt;=10,0,$C$6-C14+1)</f>
        <v>0</v>
      </c>
      <c r="I27" s="1">
        <f t="shared" si="2"/>
        <v>1</v>
      </c>
      <c r="J27" s="1">
        <f t="shared" si="5"/>
        <v>-2</v>
      </c>
      <c r="K27" s="1">
        <f t="shared" si="6"/>
        <v>1</v>
      </c>
      <c r="L27" s="74">
        <f t="shared" si="7"/>
        <v>1</v>
      </c>
      <c r="N27" s="73">
        <f t="shared" si="1"/>
        <v>0</v>
      </c>
      <c r="O27" s="1">
        <f t="shared" si="3"/>
        <v>0</v>
      </c>
      <c r="P27" s="1">
        <f t="shared" si="3"/>
        <v>0</v>
      </c>
      <c r="Q27" s="1">
        <f t="shared" si="3"/>
        <v>0</v>
      </c>
      <c r="R27" s="1">
        <f t="shared" si="3"/>
        <v>0</v>
      </c>
      <c r="S27" s="1">
        <f t="shared" si="3"/>
        <v>0</v>
      </c>
      <c r="T27" s="1">
        <f t="shared" si="3"/>
        <v>0</v>
      </c>
      <c r="U27" s="1">
        <f t="shared" si="3"/>
        <v>0</v>
      </c>
      <c r="V27" s="1">
        <f t="shared" si="3"/>
        <v>0</v>
      </c>
      <c r="W27" s="1">
        <f t="shared" si="3"/>
        <v>0</v>
      </c>
      <c r="X27" s="74">
        <f t="shared" si="3"/>
        <v>0</v>
      </c>
      <c r="Z27" s="77">
        <f t="shared" si="8"/>
        <v>0</v>
      </c>
    </row>
    <row r="28" spans="2:26" ht="20.25" customHeight="1" x14ac:dyDescent="0.25">
      <c r="B28" s="73">
        <f t="shared" si="4"/>
        <v>0</v>
      </c>
      <c r="C28" s="1">
        <f>IF(B28=0,0,IF(ISERROR(1/G24),0,1/G24))</f>
        <v>0</v>
      </c>
      <c r="D28" s="1">
        <f>IF(B28=0,0,IF(ISERROR(1/G25),0,1/G25))</f>
        <v>0</v>
      </c>
      <c r="E28" s="1">
        <f>IF(B28=0,0,IF(ISERROR(1/G26),0,1/G26))</f>
        <v>0</v>
      </c>
      <c r="F28" s="1">
        <f>IF(B28=0,0,IF(ISERROR(1/G27),0,1/G27))</f>
        <v>0</v>
      </c>
      <c r="G28" s="3">
        <f>IF(C10-$C$10+1&gt;=10,0,C10-$C$10+1)</f>
        <v>1</v>
      </c>
      <c r="H28" s="1">
        <f>IF($C$6-C15+1&gt;=10,0,$C$6-C15+1)</f>
        <v>0</v>
      </c>
      <c r="I28" s="1">
        <f t="shared" si="2"/>
        <v>-2</v>
      </c>
      <c r="J28" s="1">
        <f t="shared" si="5"/>
        <v>1</v>
      </c>
      <c r="K28" s="1">
        <f t="shared" si="6"/>
        <v>1</v>
      </c>
      <c r="L28" s="74">
        <f t="shared" si="7"/>
        <v>1</v>
      </c>
      <c r="N28" s="73">
        <f t="shared" si="1"/>
        <v>0</v>
      </c>
      <c r="O28" s="1">
        <f t="shared" si="3"/>
        <v>0</v>
      </c>
      <c r="P28" s="1">
        <f t="shared" si="3"/>
        <v>0</v>
      </c>
      <c r="Q28" s="1">
        <f t="shared" si="3"/>
        <v>0</v>
      </c>
      <c r="R28" s="1">
        <f t="shared" si="3"/>
        <v>0</v>
      </c>
      <c r="S28" s="1">
        <f t="shared" si="3"/>
        <v>0</v>
      </c>
      <c r="T28" s="1">
        <f t="shared" si="3"/>
        <v>0</v>
      </c>
      <c r="U28" s="1">
        <f t="shared" si="3"/>
        <v>0</v>
      </c>
      <c r="V28" s="1">
        <f t="shared" si="3"/>
        <v>0</v>
      </c>
      <c r="W28" s="1">
        <f t="shared" si="3"/>
        <v>0</v>
      </c>
      <c r="X28" s="74">
        <f t="shared" si="3"/>
        <v>0</v>
      </c>
      <c r="Z28" s="77">
        <f t="shared" si="8"/>
        <v>0</v>
      </c>
    </row>
    <row r="29" spans="2:26" ht="25.5" customHeight="1" x14ac:dyDescent="0.25">
      <c r="B29" s="73">
        <f t="shared" si="4"/>
        <v>0</v>
      </c>
      <c r="C29" s="1">
        <f>IF(B29=0,0,IF(ISERROR(1/H24),0,1/H24))</f>
        <v>0</v>
      </c>
      <c r="D29" s="1">
        <f>IF(B29=0,0,IF(ISERROR(1/H25),0,1/H25))</f>
        <v>0</v>
      </c>
      <c r="E29" s="1">
        <f>IF(B29=0,0,IF(ISERROR(1/H26),0,1/H26))</f>
        <v>0</v>
      </c>
      <c r="F29" s="1">
        <f>IF(B29=0,0,IF(ISERROR(1/H27),0,1/H27))</f>
        <v>0</v>
      </c>
      <c r="G29" s="1">
        <f>IF(B29=0,0,IF(ISERROR(1/H28),0,1/H28))</f>
        <v>0</v>
      </c>
      <c r="H29" s="3">
        <f>IF(C11-$C$11+1&gt;=10,0,C11-$C$11+1)</f>
        <v>1</v>
      </c>
      <c r="I29" s="1">
        <f t="shared" si="2"/>
        <v>1</v>
      </c>
      <c r="J29" s="1">
        <f t="shared" si="5"/>
        <v>1</v>
      </c>
      <c r="K29" s="1">
        <f t="shared" si="6"/>
        <v>1</v>
      </c>
      <c r="L29" s="74">
        <f t="shared" si="7"/>
        <v>1</v>
      </c>
      <c r="N29" s="73">
        <f t="shared" si="1"/>
        <v>0</v>
      </c>
      <c r="O29" s="1">
        <f t="shared" si="3"/>
        <v>0</v>
      </c>
      <c r="P29" s="1">
        <f t="shared" si="3"/>
        <v>0</v>
      </c>
      <c r="Q29" s="1">
        <f t="shared" si="3"/>
        <v>0</v>
      </c>
      <c r="R29" s="1">
        <f t="shared" si="3"/>
        <v>0</v>
      </c>
      <c r="S29" s="1">
        <f t="shared" si="3"/>
        <v>0</v>
      </c>
      <c r="T29" s="1">
        <f t="shared" si="3"/>
        <v>0</v>
      </c>
      <c r="U29" s="1">
        <f t="shared" si="3"/>
        <v>0</v>
      </c>
      <c r="V29" s="1">
        <f t="shared" si="3"/>
        <v>0</v>
      </c>
      <c r="W29" s="1">
        <f t="shared" si="3"/>
        <v>0</v>
      </c>
      <c r="X29" s="74">
        <f t="shared" si="3"/>
        <v>0</v>
      </c>
      <c r="Z29" s="77">
        <f t="shared" si="8"/>
        <v>0</v>
      </c>
    </row>
    <row r="30" spans="2:26" ht="18.75" customHeight="1" x14ac:dyDescent="0.25">
      <c r="B30" s="73">
        <f t="shared" si="4"/>
        <v>0</v>
      </c>
      <c r="C30" s="1">
        <f>IF(B30=0,0,IF(ISERROR(1/I24),0,1/I24))</f>
        <v>0</v>
      </c>
      <c r="D30" s="1">
        <f>IF(B30=0,0,IF(ISERROR(1/I25),0,1/I25))</f>
        <v>0</v>
      </c>
      <c r="E30" s="1">
        <f>IF(B30=0,0,IF(ISERROR(1/I26),0,1/I26))</f>
        <v>0</v>
      </c>
      <c r="F30" s="1">
        <f>IF(B30=0,0,IF(ISERROR(1/I27),0,1/I27))</f>
        <v>0</v>
      </c>
      <c r="G30" s="1">
        <f>IF(B30=0,0,IF(ISERROR(1/I28),0,1/I28))</f>
        <v>0</v>
      </c>
      <c r="H30" s="1">
        <f>IF(B30=0,0,IF(ISERROR(1/I29),0,1/I29))</f>
        <v>0</v>
      </c>
      <c r="I30" s="3" t="e">
        <f>#N/A</f>
        <v>#N/A</v>
      </c>
      <c r="J30" s="1">
        <f t="shared" si="5"/>
        <v>1</v>
      </c>
      <c r="K30" s="1">
        <f t="shared" si="6"/>
        <v>1</v>
      </c>
      <c r="L30" s="74">
        <f t="shared" si="7"/>
        <v>1</v>
      </c>
      <c r="N30" s="73">
        <v>0</v>
      </c>
      <c r="O30" s="1">
        <f t="shared" si="3"/>
        <v>0</v>
      </c>
      <c r="P30" s="1">
        <f t="shared" si="3"/>
        <v>0</v>
      </c>
      <c r="Q30" s="1">
        <f t="shared" si="3"/>
        <v>0</v>
      </c>
      <c r="R30" s="1">
        <f t="shared" si="3"/>
        <v>0</v>
      </c>
      <c r="S30" s="1">
        <f t="shared" si="3"/>
        <v>0</v>
      </c>
      <c r="T30" s="1">
        <f t="shared" si="3"/>
        <v>0</v>
      </c>
      <c r="U30" s="1">
        <f t="shared" si="3"/>
        <v>0</v>
      </c>
      <c r="V30" s="1">
        <f t="shared" si="3"/>
        <v>0</v>
      </c>
      <c r="W30" s="1">
        <f t="shared" si="3"/>
        <v>0</v>
      </c>
      <c r="X30" s="74">
        <f t="shared" si="3"/>
        <v>0</v>
      </c>
      <c r="Z30" s="77">
        <f t="shared" si="8"/>
        <v>0</v>
      </c>
    </row>
    <row r="31" spans="2:26" ht="18" customHeight="1" x14ac:dyDescent="0.25">
      <c r="B31" s="73">
        <f t="shared" si="4"/>
        <v>0</v>
      </c>
      <c r="C31" s="1">
        <f>IF(B31=0,0,IF(ISERROR(1/J24),0,1/J24))</f>
        <v>0</v>
      </c>
      <c r="D31" s="1">
        <f>IF(B31=0,0,IF(ISERROR(1/J25),0,1/J25))</f>
        <v>0</v>
      </c>
      <c r="E31" s="1">
        <f>IF(B31=0,0,IF(ISERROR(1/J26),0,1/J26))</f>
        <v>0</v>
      </c>
      <c r="F31" s="1">
        <f>IF(B31=0,0,IF(ISERROR(1/J27),0,1/J27))</f>
        <v>0</v>
      </c>
      <c r="G31" s="1">
        <f>IF(B31=0,0,IF(ISERROR(1/J28),0,1/J28))</f>
        <v>0</v>
      </c>
      <c r="H31" s="1">
        <f>IF(B31=0,0,IF(ISERROR(1/J29),0,1/J29))</f>
        <v>0</v>
      </c>
      <c r="I31" s="1">
        <f>IF(B31=0,0,IF(ISERROR(1/J30),0,1/J30))</f>
        <v>0</v>
      </c>
      <c r="J31" s="3" t="e">
        <f>#N/A</f>
        <v>#N/A</v>
      </c>
      <c r="K31" s="1">
        <f t="shared" si="6"/>
        <v>1</v>
      </c>
      <c r="L31" s="74">
        <f t="shared" si="7"/>
        <v>1</v>
      </c>
      <c r="N31" s="73">
        <v>0</v>
      </c>
      <c r="O31" s="1">
        <f t="shared" si="3"/>
        <v>0</v>
      </c>
      <c r="P31" s="1">
        <f t="shared" si="3"/>
        <v>0</v>
      </c>
      <c r="Q31" s="1">
        <f t="shared" si="3"/>
        <v>0</v>
      </c>
      <c r="R31" s="1">
        <f t="shared" si="3"/>
        <v>0</v>
      </c>
      <c r="S31" s="1">
        <f t="shared" si="3"/>
        <v>0</v>
      </c>
      <c r="T31" s="1">
        <f t="shared" si="3"/>
        <v>0</v>
      </c>
      <c r="U31" s="1">
        <f t="shared" si="3"/>
        <v>0</v>
      </c>
      <c r="V31" s="1">
        <f t="shared" si="3"/>
        <v>0</v>
      </c>
      <c r="W31" s="1">
        <f t="shared" si="3"/>
        <v>0</v>
      </c>
      <c r="X31" s="74">
        <f t="shared" si="3"/>
        <v>0</v>
      </c>
      <c r="Z31" s="77">
        <f t="shared" si="8"/>
        <v>0</v>
      </c>
    </row>
    <row r="32" spans="2:26" ht="17.25" customHeight="1" x14ac:dyDescent="0.25">
      <c r="B32" s="73">
        <f t="shared" si="4"/>
        <v>0</v>
      </c>
      <c r="C32" s="1">
        <f>IF(B32=0,0,IF(ISERROR(1/K24),0,1/K24))</f>
        <v>0</v>
      </c>
      <c r="D32" s="1">
        <f>IF(B32=0,0,IF(ISERROR(1/K25),0,1/K25))</f>
        <v>0</v>
      </c>
      <c r="E32" s="1">
        <f>IF(B32=0,0,IF(ISERROR(1/K26),0,1/K26))</f>
        <v>0</v>
      </c>
      <c r="F32" s="1">
        <f>IF(B32=0,0,IF(ISERROR(1/K27),0,1/K27))</f>
        <v>0</v>
      </c>
      <c r="G32" s="1">
        <f>IF(B32=0,0,IF(ISERROR(1/K28),0,1/K28))</f>
        <v>0</v>
      </c>
      <c r="H32" s="1">
        <f>IF(B32=0,0,IF(ISERROR(1/K29),0,1/K29))</f>
        <v>0</v>
      </c>
      <c r="I32" s="1">
        <f>IF(B32=0,0,IF(ISERROR(1/K30),0,1/K30))</f>
        <v>0</v>
      </c>
      <c r="J32" s="1">
        <f>IF(B32=0,0,IF(ISERROR(1/K31),0,1/K31))</f>
        <v>0</v>
      </c>
      <c r="K32" s="3" t="e">
        <f>#N/A</f>
        <v>#N/A</v>
      </c>
      <c r="L32" s="74">
        <f t="shared" si="7"/>
        <v>1</v>
      </c>
      <c r="N32" s="73">
        <v>0</v>
      </c>
      <c r="O32" s="1">
        <f t="shared" si="3"/>
        <v>0</v>
      </c>
      <c r="P32" s="1">
        <f t="shared" si="3"/>
        <v>0</v>
      </c>
      <c r="Q32" s="1">
        <f t="shared" si="3"/>
        <v>0</v>
      </c>
      <c r="R32" s="1">
        <f t="shared" si="3"/>
        <v>0</v>
      </c>
      <c r="S32" s="1">
        <f t="shared" si="3"/>
        <v>0</v>
      </c>
      <c r="T32" s="1">
        <f t="shared" si="3"/>
        <v>0</v>
      </c>
      <c r="U32" s="1">
        <f t="shared" si="3"/>
        <v>0</v>
      </c>
      <c r="V32" s="1">
        <f t="shared" si="3"/>
        <v>0</v>
      </c>
      <c r="W32" s="1">
        <f t="shared" si="3"/>
        <v>0</v>
      </c>
      <c r="X32" s="74">
        <f t="shared" si="3"/>
        <v>0</v>
      </c>
      <c r="Z32" s="77">
        <f t="shared" si="8"/>
        <v>0</v>
      </c>
    </row>
    <row r="33" spans="2:26" ht="27.75" customHeight="1" thickBot="1" x14ac:dyDescent="0.3">
      <c r="B33" s="73">
        <f t="shared" si="4"/>
        <v>0</v>
      </c>
      <c r="C33" s="1">
        <f>IF(B33=0,0,IF(ISERROR(1/L24),0,1/L24))</f>
        <v>0</v>
      </c>
      <c r="D33" s="1">
        <f>IF(B33=0,0,IF(ISERROR(1/L25),0,1/L25))</f>
        <v>0</v>
      </c>
      <c r="E33" s="1">
        <f>IF(B33=0,0,IF(ISERROR(1/L26),0,1/L26))</f>
        <v>0</v>
      </c>
      <c r="F33" s="1">
        <f>IF(B33=0,0,IF(ISERROR(1/L27),0,1/L27))</f>
        <v>0</v>
      </c>
      <c r="G33" s="1">
        <f>IF(B33=0,0,IF(ISERROR(1/L28),0,1/L28))</f>
        <v>0</v>
      </c>
      <c r="H33" s="1">
        <f>IF(B33=0,0,IF(ISERROR(1/L29),0,1/L29))</f>
        <v>0</v>
      </c>
      <c r="I33" s="1">
        <f>IF(B33=0,0,IF(ISERROR(1/L30),0,1/L30))</f>
        <v>0</v>
      </c>
      <c r="J33" s="1">
        <f>IF(B33=0,0,IF(ISERROR(1/L31),0,1/L31))</f>
        <v>0</v>
      </c>
      <c r="K33" s="1">
        <f>IF(B33=0,0,IF(ISERROR(1/L32),0,1/L32))</f>
        <v>0</v>
      </c>
      <c r="L33" s="100">
        <f>IF(C15-$C$15+1&gt;1,0,C15-$C$15+1)</f>
        <v>1</v>
      </c>
      <c r="N33" s="75">
        <v>0</v>
      </c>
      <c r="O33" s="68">
        <f t="shared" si="3"/>
        <v>0</v>
      </c>
      <c r="P33" s="68">
        <f t="shared" si="3"/>
        <v>0</v>
      </c>
      <c r="Q33" s="68">
        <f t="shared" si="3"/>
        <v>0</v>
      </c>
      <c r="R33" s="68">
        <f t="shared" si="3"/>
        <v>0</v>
      </c>
      <c r="S33" s="68">
        <f t="shared" si="3"/>
        <v>0</v>
      </c>
      <c r="T33" s="68">
        <f t="shared" si="3"/>
        <v>0</v>
      </c>
      <c r="U33" s="68">
        <f t="shared" si="3"/>
        <v>0</v>
      </c>
      <c r="V33" s="68">
        <f t="shared" si="3"/>
        <v>0</v>
      </c>
      <c r="W33" s="68">
        <f t="shared" si="3"/>
        <v>0</v>
      </c>
      <c r="X33" s="69">
        <f t="shared" si="3"/>
        <v>0</v>
      </c>
      <c r="Z33" s="77">
        <f t="shared" si="8"/>
        <v>0</v>
      </c>
    </row>
    <row r="34" spans="2:26" ht="17.25" customHeight="1" thickBot="1" x14ac:dyDescent="0.3">
      <c r="B34" s="101" t="s">
        <v>7</v>
      </c>
      <c r="C34" s="102">
        <f>IF(C23=0,0,SUM(C24:C33))</f>
        <v>1.4</v>
      </c>
      <c r="D34" s="102">
        <f t="shared" ref="D34:L34" si="9">IF(D23=0,0,SUM(D24:D33))</f>
        <v>7</v>
      </c>
      <c r="E34" s="102">
        <f t="shared" si="9"/>
        <v>7</v>
      </c>
      <c r="F34" s="102">
        <f t="shared" si="9"/>
        <v>0</v>
      </c>
      <c r="G34" s="102">
        <f t="shared" si="9"/>
        <v>0</v>
      </c>
      <c r="H34" s="102">
        <f t="shared" si="9"/>
        <v>0</v>
      </c>
      <c r="I34" s="102">
        <f t="shared" si="9"/>
        <v>0</v>
      </c>
      <c r="J34" s="102">
        <f t="shared" si="9"/>
        <v>0</v>
      </c>
      <c r="K34" s="102">
        <f t="shared" si="9"/>
        <v>0</v>
      </c>
      <c r="L34" s="98">
        <f t="shared" si="9"/>
        <v>0</v>
      </c>
      <c r="Y34" s="57" t="s">
        <v>11</v>
      </c>
      <c r="Z34" s="128">
        <f>SUM(Z24:Z33)</f>
        <v>1</v>
      </c>
    </row>
  </sheetData>
  <mergeCells count="22">
    <mergeCell ref="P14:R14"/>
    <mergeCell ref="K14:L14"/>
    <mergeCell ref="M14:O14"/>
    <mergeCell ref="H6:R6"/>
    <mergeCell ref="H7:I8"/>
    <mergeCell ref="J7:L8"/>
    <mergeCell ref="M7:R8"/>
    <mergeCell ref="H9:I9"/>
    <mergeCell ref="J9:L9"/>
    <mergeCell ref="M9:R9"/>
    <mergeCell ref="H10:I10"/>
    <mergeCell ref="J10:L10"/>
    <mergeCell ref="M10:R10"/>
    <mergeCell ref="H11:I11"/>
    <mergeCell ref="J11:L11"/>
    <mergeCell ref="M11:R11"/>
    <mergeCell ref="H12:I12"/>
    <mergeCell ref="J12:L12"/>
    <mergeCell ref="M12:R12"/>
    <mergeCell ref="H13:I13"/>
    <mergeCell ref="J13:L13"/>
    <mergeCell ref="M13:R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5823-8F8E-4C72-950C-E7B3CA1E3078}">
  <dimension ref="B1:M25"/>
  <sheetViews>
    <sheetView tabSelected="1" workbookViewId="0">
      <selection activeCell="L7" sqref="L7"/>
    </sheetView>
  </sheetViews>
  <sheetFormatPr baseColWidth="10" defaultRowHeight="15" x14ac:dyDescent="0.25"/>
  <cols>
    <col min="2" max="2" width="21.5703125" bestFit="1" customWidth="1"/>
    <col min="3" max="3" width="14.140625" bestFit="1" customWidth="1"/>
    <col min="4" max="4" width="13.85546875" bestFit="1" customWidth="1"/>
    <col min="8" max="8" width="21.42578125" bestFit="1" customWidth="1"/>
    <col min="9" max="9" width="12.85546875" bestFit="1" customWidth="1"/>
  </cols>
  <sheetData>
    <row r="1" spans="2:13" ht="15.75" thickBot="1" x14ac:dyDescent="0.3"/>
    <row r="2" spans="2:13" ht="15.75" thickBot="1" x14ac:dyDescent="0.3">
      <c r="B2" s="158" t="s">
        <v>139</v>
      </c>
      <c r="C2" s="159"/>
      <c r="D2" s="159"/>
      <c r="E2" s="159"/>
      <c r="F2" s="160"/>
      <c r="H2" s="183" t="s">
        <v>116</v>
      </c>
      <c r="I2" s="184"/>
      <c r="J2" s="184"/>
      <c r="K2" s="184"/>
      <c r="L2" s="184"/>
      <c r="M2" s="185"/>
    </row>
    <row r="3" spans="2:13" x14ac:dyDescent="0.25">
      <c r="B3" s="80" t="s">
        <v>92</v>
      </c>
      <c r="C3" s="133" t="s">
        <v>95</v>
      </c>
      <c r="D3" s="133" t="s">
        <v>96</v>
      </c>
      <c r="E3" s="118" t="s">
        <v>97</v>
      </c>
      <c r="F3" s="134" t="s">
        <v>98</v>
      </c>
      <c r="H3" s="80" t="s">
        <v>100</v>
      </c>
      <c r="I3" s="120" t="s">
        <v>99</v>
      </c>
      <c r="J3" s="133" t="s">
        <v>95</v>
      </c>
      <c r="K3" s="133" t="s">
        <v>96</v>
      </c>
      <c r="L3" s="118" t="s">
        <v>97</v>
      </c>
      <c r="M3" s="134" t="s">
        <v>98</v>
      </c>
    </row>
    <row r="4" spans="2:13" x14ac:dyDescent="0.25">
      <c r="B4" s="121" t="s">
        <v>128</v>
      </c>
      <c r="C4" s="55">
        <v>978118</v>
      </c>
      <c r="D4" s="55">
        <v>1337583</v>
      </c>
      <c r="E4" s="55">
        <v>452414</v>
      </c>
      <c r="F4" s="129">
        <v>490797</v>
      </c>
      <c r="H4" s="121" t="s">
        <v>128</v>
      </c>
      <c r="I4" s="8">
        <v>63</v>
      </c>
      <c r="J4" s="12">
        <v>0</v>
      </c>
      <c r="K4" s="12">
        <v>-1</v>
      </c>
      <c r="L4" s="12">
        <v>1</v>
      </c>
      <c r="M4" s="34">
        <v>1</v>
      </c>
    </row>
    <row r="5" spans="2:13" x14ac:dyDescent="0.25">
      <c r="B5" s="121" t="s">
        <v>93</v>
      </c>
      <c r="C5" s="12">
        <v>11</v>
      </c>
      <c r="D5" s="12">
        <v>12</v>
      </c>
      <c r="E5" s="12">
        <v>10</v>
      </c>
      <c r="F5" s="34">
        <v>11</v>
      </c>
      <c r="H5" s="121" t="s">
        <v>93</v>
      </c>
      <c r="I5" s="8">
        <v>26</v>
      </c>
      <c r="J5" s="54">
        <v>0</v>
      </c>
      <c r="K5" s="54">
        <v>1</v>
      </c>
      <c r="L5" s="54">
        <v>-1</v>
      </c>
      <c r="M5" s="132">
        <v>0</v>
      </c>
    </row>
    <row r="6" spans="2:13" ht="15.75" thickBot="1" x14ac:dyDescent="0.3">
      <c r="B6" s="130" t="s">
        <v>118</v>
      </c>
      <c r="C6" s="37">
        <v>99.5</v>
      </c>
      <c r="D6" s="131">
        <v>98</v>
      </c>
      <c r="E6" s="37">
        <v>99.5</v>
      </c>
      <c r="F6" s="39">
        <v>99.9</v>
      </c>
      <c r="H6" s="123" t="s">
        <v>118</v>
      </c>
      <c r="I6" s="8">
        <v>11</v>
      </c>
      <c r="J6" s="12">
        <v>1</v>
      </c>
      <c r="K6" s="5">
        <v>-1</v>
      </c>
      <c r="L6" s="12">
        <v>1</v>
      </c>
      <c r="M6" s="34">
        <v>1</v>
      </c>
    </row>
    <row r="7" spans="2:13" ht="15.75" thickBot="1" x14ac:dyDescent="0.3">
      <c r="H7" s="124" t="s">
        <v>11</v>
      </c>
      <c r="I7" s="96">
        <f>SUM(I4:I6)</f>
        <v>100</v>
      </c>
      <c r="J7" s="96">
        <f>($I$4*J4)+($I$5*J5)+($I$6*J6)</f>
        <v>11</v>
      </c>
      <c r="K7" s="96">
        <f>($I$4*K4)+($I$5*K5)+($I$6*K6)</f>
        <v>-48</v>
      </c>
      <c r="L7" s="96">
        <f>($I$4*L4)+($I$5*L5)+($I$6*L6)</f>
        <v>48</v>
      </c>
      <c r="M7" s="97">
        <f>($I$4*M4)+($I$5*M5)+($I$6*M6)</f>
        <v>74</v>
      </c>
    </row>
    <row r="9" spans="2:13" x14ac:dyDescent="0.25">
      <c r="B9" s="153" t="s">
        <v>13</v>
      </c>
      <c r="C9" s="154"/>
      <c r="D9" s="155"/>
    </row>
    <row r="10" spans="2:13" x14ac:dyDescent="0.25">
      <c r="B10" s="179" t="s">
        <v>14</v>
      </c>
      <c r="C10" s="180"/>
      <c r="D10" s="2" t="s">
        <v>15</v>
      </c>
    </row>
    <row r="11" spans="2:13" x14ac:dyDescent="0.25">
      <c r="B11" s="6">
        <f>MAX($C$4:$F$4)-((MAX($C$4:$F$4)-MIN($C$4:$F$4))/3)</f>
        <v>1042526.6666666667</v>
      </c>
      <c r="C11" s="6"/>
      <c r="D11" s="2">
        <v>-1</v>
      </c>
    </row>
    <row r="12" spans="2:13" x14ac:dyDescent="0.25">
      <c r="B12" s="6">
        <f>2*((MAX($C$4:$F$4)-MIN($C$4:$F$4))/3)+MIN($C$4:$F$4)</f>
        <v>1042526.6666666666</v>
      </c>
      <c r="C12" s="6">
        <f>MAX($C$4:$F$4)-2*((MAX($C$4:$F$4)-MIN($C$4:$F$4))/3)</f>
        <v>747470.33333333337</v>
      </c>
      <c r="D12" s="2">
        <v>0</v>
      </c>
    </row>
    <row r="13" spans="2:13" x14ac:dyDescent="0.25">
      <c r="B13" s="6"/>
      <c r="C13" s="6">
        <f>MAX(C4:F4)-2*((MAX($C$4:$F$4)-MIN($C$4:$F$4))/3)</f>
        <v>747470.33333333337</v>
      </c>
      <c r="D13" s="2">
        <v>1</v>
      </c>
    </row>
    <row r="15" spans="2:13" x14ac:dyDescent="0.25">
      <c r="B15" s="153" t="s">
        <v>94</v>
      </c>
      <c r="C15" s="154"/>
      <c r="D15" s="155"/>
    </row>
    <row r="16" spans="2:13" x14ac:dyDescent="0.25">
      <c r="B16" s="179" t="s">
        <v>14</v>
      </c>
      <c r="C16" s="180"/>
      <c r="D16" s="2" t="s">
        <v>15</v>
      </c>
    </row>
    <row r="17" spans="2:4" x14ac:dyDescent="0.25">
      <c r="B17" s="53">
        <f>MAX($C$5:$F$5)-((MAX($C$5:$F$5)-MIN($C$5:$F$5))/3)</f>
        <v>11.333333333333334</v>
      </c>
      <c r="C17" s="7"/>
      <c r="D17" s="2">
        <v>1</v>
      </c>
    </row>
    <row r="18" spans="2:4" x14ac:dyDescent="0.25">
      <c r="B18" s="53">
        <f>2*((MAX($C$5:$F$5)-MIN($C$5:$F$5))/3)+MIN($C$5:$F$5)</f>
        <v>11.333333333333334</v>
      </c>
      <c r="C18" s="53">
        <f>MAX($C$5:$F$5)-2*((MAX($C$5:$F$5)-MIN($C$5:$F$5))/3)</f>
        <v>10.666666666666666</v>
      </c>
      <c r="D18" s="2">
        <v>0</v>
      </c>
    </row>
    <row r="19" spans="2:4" x14ac:dyDescent="0.25">
      <c r="B19" s="7"/>
      <c r="C19" s="53">
        <f>MAX(C5:F5)-2*((MAX($C$5:$F$5)-MIN($C$5:$F$5))/3)</f>
        <v>10.666666666666666</v>
      </c>
      <c r="D19" s="2">
        <v>-1</v>
      </c>
    </row>
    <row r="21" spans="2:4" x14ac:dyDescent="0.25">
      <c r="B21" s="153" t="s">
        <v>29</v>
      </c>
      <c r="C21" s="154"/>
      <c r="D21" s="155"/>
    </row>
    <row r="22" spans="2:4" x14ac:dyDescent="0.25">
      <c r="B22" s="179" t="s">
        <v>14</v>
      </c>
      <c r="C22" s="180"/>
      <c r="D22" s="2" t="s">
        <v>15</v>
      </c>
    </row>
    <row r="23" spans="2:4" x14ac:dyDescent="0.25">
      <c r="B23" s="47">
        <f>((MAX($C$6:$F$6)-MIN($C$6:$F$6))/3)+MIN($C$6:$F$6)</f>
        <v>98.63333333333334</v>
      </c>
      <c r="C23" s="8"/>
      <c r="D23" s="2">
        <v>-1</v>
      </c>
    </row>
    <row r="24" spans="2:4" x14ac:dyDescent="0.25">
      <c r="B24" s="47">
        <f>((MAX($C$6:$F$6)-MIN($C$6:$F$6))/3)+MIN($C$6:$F$6)</f>
        <v>98.63333333333334</v>
      </c>
      <c r="C24" s="47">
        <f>2*((MAX($C$6:$F$6)-MIN($C$6:$F$6))/3)+MIN($C$6:$F$6)</f>
        <v>99.266666666666666</v>
      </c>
      <c r="D24" s="2">
        <v>0</v>
      </c>
    </row>
    <row r="25" spans="2:4" x14ac:dyDescent="0.25">
      <c r="B25" s="8"/>
      <c r="C25" s="47">
        <f>2*((MAX($C$6:$F$6)-MIN($C$6:$F$6))/3)+MIN($C$6:$F$6)</f>
        <v>99.266666666666666</v>
      </c>
      <c r="D25" s="2">
        <v>1</v>
      </c>
    </row>
  </sheetData>
  <mergeCells count="8">
    <mergeCell ref="B22:C22"/>
    <mergeCell ref="B2:F2"/>
    <mergeCell ref="H2:M2"/>
    <mergeCell ref="B9:D9"/>
    <mergeCell ref="B15:D15"/>
    <mergeCell ref="B21:D21"/>
    <mergeCell ref="B10:C10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HSP</vt:lpstr>
      <vt:lpstr>PAJ MÓDULOS</vt:lpstr>
      <vt:lpstr>MÓDULOS</vt:lpstr>
      <vt:lpstr>TENSIÓN INSTALACIÓN</vt:lpstr>
      <vt:lpstr>PAJ INVERSORES</vt:lpstr>
      <vt:lpstr>INVERSORES </vt:lpstr>
      <vt:lpstr>PAJ BATERÍAS</vt:lpstr>
      <vt:lpstr>BATERIAS</vt:lpstr>
      <vt:lpstr>PAJ Regulador</vt:lpstr>
      <vt:lpstr>REGULADOR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SANTIAGO ALVARADO</cp:lastModifiedBy>
  <dcterms:created xsi:type="dcterms:W3CDTF">2021-08-14T23:17:22Z</dcterms:created>
  <dcterms:modified xsi:type="dcterms:W3CDTF">2023-12-16T02:01:58Z</dcterms:modified>
</cp:coreProperties>
</file>