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uadro de inversión inicial" sheetId="1" r:id="rId4"/>
    <sheet state="visible" name="Paquete de servicios" sheetId="2" r:id="rId5"/>
    <sheet state="visible" name="CRONOGRAMA" sheetId="3" r:id="rId6"/>
    <sheet state="visible" name="IPC mensual" sheetId="4" r:id="rId7"/>
    <sheet state="visible" name="Ingresos y Costos proyectados" sheetId="5" r:id="rId8"/>
    <sheet state="visible" name="Flujo de caja TIR y VNA" sheetId="6" r:id="rId9"/>
    <sheet state="visible" name="Estado de resultados proyectado" sheetId="7" r:id="rId10"/>
    <sheet state="visible" name="Balance general proyectado" sheetId="8" r:id="rId11"/>
    <sheet state="visible" name="Indicadores financieros" sheetId="9" r:id="rId12"/>
  </sheets>
  <definedNames/>
  <calcPr/>
  <extLst>
    <ext uri="GoogleSheetsCustomDataVersion2">
      <go:sheetsCustomData xmlns:go="http://customooxmlschemas.google.com/" r:id="rId13" roundtripDataChecksum="VbriV1fvzcB93vphrkXG1uSpUpdihBsZXf71SFx+Pdc="/>
    </ext>
  </extLst>
</workbook>
</file>

<file path=xl/sharedStrings.xml><?xml version="1.0" encoding="utf-8"?>
<sst xmlns="http://schemas.openxmlformats.org/spreadsheetml/2006/main" count="398" uniqueCount="347">
  <si>
    <t>CUADRO DE INVERSIÓN INICIAL</t>
  </si>
  <si>
    <t>UNIDAD DE MEDIDA</t>
  </si>
  <si>
    <t>CANTIDAD</t>
  </si>
  <si>
    <t>VALOR UNITARIO</t>
  </si>
  <si>
    <t>VALOR TOTAL</t>
  </si>
  <si>
    <t>I. INVERSIÓN FIJA</t>
  </si>
  <si>
    <r>
      <rPr>
        <rFont val="Arial"/>
        <b/>
        <color rgb="FFFFFFFF"/>
        <sz val="12.0"/>
      </rPr>
      <t xml:space="preserve">1. INVERSIÓN FIJA TANGIBLE </t>
    </r>
    <r>
      <rPr>
        <rFont val="Arial"/>
        <b val="0"/>
        <color rgb="FFFFFFFF"/>
        <sz val="8.0"/>
      </rPr>
      <t>(Activo Fijo Tangible)</t>
    </r>
  </si>
  <si>
    <t>1.1 Inversión en Infraestructura</t>
  </si>
  <si>
    <t>1.2 Maquinaria, Equipo y Herramientas</t>
  </si>
  <si>
    <t>Kit Herramientas 1, Mecánica vehículos</t>
  </si>
  <si>
    <t>kit</t>
  </si>
  <si>
    <t>Herramientas 2, perfiladora</t>
  </si>
  <si>
    <t>Herramientas 3</t>
  </si>
  <si>
    <t>Herramientas 4</t>
  </si>
  <si>
    <t>1.3 Equipo de oficina, computo y comunicaciones</t>
  </si>
  <si>
    <t xml:space="preserve">Equipo oficina 1, Impresora con escaner </t>
  </si>
  <si>
    <t>Unidad</t>
  </si>
  <si>
    <t>Equipo oficina 1, Computador</t>
  </si>
  <si>
    <t xml:space="preserve">Unidad   </t>
  </si>
  <si>
    <t>Equipo de oficina 1, celular</t>
  </si>
  <si>
    <t>Equipo de computo 1, equipo torre cpu intel</t>
  </si>
  <si>
    <t>Equipo de computo 2,  equipo torre cpu intel</t>
  </si>
  <si>
    <t>Equipo de computo 3</t>
  </si>
  <si>
    <t>Equipo de comunicaciones 1, Telefono empresarial</t>
  </si>
  <si>
    <t>unidad</t>
  </si>
  <si>
    <t>Equipo de comunicaciones 2</t>
  </si>
  <si>
    <t>Equipo de comunicaciones 3</t>
  </si>
  <si>
    <t>1.4 Muebles y enseres</t>
  </si>
  <si>
    <t>Muebles de oficina (sillas multiusos )</t>
  </si>
  <si>
    <t>Muebles de oficina 1 (sofa)</t>
  </si>
  <si>
    <t>Muebles de oficina 1 (escritorios )</t>
  </si>
  <si>
    <t>Muebles de oficina (archivero)</t>
  </si>
  <si>
    <t>Mobiliario de locaciones 1</t>
  </si>
  <si>
    <t>Mobiliario de locaciones 2</t>
  </si>
  <si>
    <t>Enseres 1</t>
  </si>
  <si>
    <t>Enseres 2</t>
  </si>
  <si>
    <t>1.5 Accesorios de oficina y papelería</t>
  </si>
  <si>
    <t>Carpetas</t>
  </si>
  <si>
    <t>Ganchos</t>
  </si>
  <si>
    <t>Esferos</t>
  </si>
  <si>
    <t>Papeleria 1 (facturero)</t>
  </si>
  <si>
    <t>1.6 Vehículos operativos, de transporte y/o carga</t>
  </si>
  <si>
    <t xml:space="preserve">Van Renault Master </t>
  </si>
  <si>
    <t xml:space="preserve">Camperización </t>
  </si>
  <si>
    <r>
      <rPr>
        <rFont val="Arial"/>
        <b/>
        <color theme="1"/>
        <sz val="12.0"/>
      </rPr>
      <t xml:space="preserve">2. INVERSIÓN FIJA INTANGIBLE </t>
    </r>
    <r>
      <rPr>
        <rFont val="Arial"/>
        <b val="0"/>
        <color theme="1"/>
        <sz val="8.0"/>
      </rPr>
      <t>(Activo fijo intangible)</t>
    </r>
  </si>
  <si>
    <t>2.1 Preparación del Proyecto</t>
  </si>
  <si>
    <t>Estudios de mercado</t>
  </si>
  <si>
    <t>Estudio</t>
  </si>
  <si>
    <t>Estudios de suelo</t>
  </si>
  <si>
    <t>Estudios de laboratorio</t>
  </si>
  <si>
    <t>Licencias de operación</t>
  </si>
  <si>
    <t>Diseños y planos aquitectónicos</t>
  </si>
  <si>
    <t>Diseño gráfico de marca</t>
  </si>
  <si>
    <t xml:space="preserve">Profesional   </t>
  </si>
  <si>
    <t>Diseño de publicidad inicial</t>
  </si>
  <si>
    <t>Gestión de la formulación (Trabajo, viáticos y transporte)</t>
  </si>
  <si>
    <t>Asesorías Técnicas</t>
  </si>
  <si>
    <t>Asesorías Jurídicas</t>
  </si>
  <si>
    <t>Prototipados</t>
  </si>
  <si>
    <t>2.2 Constitución de la empresa</t>
  </si>
  <si>
    <t>Registro mercantíl</t>
  </si>
  <si>
    <t>Registro</t>
  </si>
  <si>
    <t>Registro de marca</t>
  </si>
  <si>
    <t xml:space="preserve">Registo </t>
  </si>
  <si>
    <t>Registro de producto</t>
  </si>
  <si>
    <t xml:space="preserve">Formulario </t>
  </si>
  <si>
    <t>Matrículas de servicio de transporte público (placa blanca)</t>
  </si>
  <si>
    <t xml:space="preserve">Matricula </t>
  </si>
  <si>
    <t>Registros notariales</t>
  </si>
  <si>
    <t>Escritura publica</t>
  </si>
  <si>
    <t>Elaboración de contratos y minutas</t>
  </si>
  <si>
    <t xml:space="preserve">Contrato   </t>
  </si>
  <si>
    <t>2.3 Sistemas y software</t>
  </si>
  <si>
    <t>Licencias de software 1</t>
  </si>
  <si>
    <t>Microsoft office 365</t>
  </si>
  <si>
    <t>Licencias de software 2</t>
  </si>
  <si>
    <t xml:space="preserve">Bases de datos </t>
  </si>
  <si>
    <t>Página web (Hosting + Dominio)</t>
  </si>
  <si>
    <t xml:space="preserve">Pagina web   </t>
  </si>
  <si>
    <t>Aplicaciones móviles</t>
  </si>
  <si>
    <t>Aplicaciones web</t>
  </si>
  <si>
    <t xml:space="preserve">Pagina web  </t>
  </si>
  <si>
    <t>Servicios en la Nube o Cloud Service</t>
  </si>
  <si>
    <t>3. CAPITAL DE TRABAJO</t>
  </si>
  <si>
    <t>EXISTENCIAS</t>
  </si>
  <si>
    <t>3.1 Materia Prima</t>
  </si>
  <si>
    <t>3.2 Insumos</t>
  </si>
  <si>
    <t>Botiquin</t>
  </si>
  <si>
    <t>Combustible</t>
  </si>
  <si>
    <t>Comida</t>
  </si>
  <si>
    <t>Aseo</t>
  </si>
  <si>
    <t xml:space="preserve">Ropa de cama </t>
  </si>
  <si>
    <t>Peajes</t>
  </si>
  <si>
    <t>DISPONBIBLE</t>
  </si>
  <si>
    <t>3.3 Mano de obra directa</t>
  </si>
  <si>
    <t>Conductor guía bilingüe</t>
  </si>
  <si>
    <t>3.4 Mano de obra indirecta</t>
  </si>
  <si>
    <t>Gerente</t>
  </si>
  <si>
    <t xml:space="preserve">Persona/Contrato   </t>
  </si>
  <si>
    <t>Director Comercial</t>
  </si>
  <si>
    <t>Director de producción</t>
  </si>
  <si>
    <t>Ingeniero</t>
  </si>
  <si>
    <t>Asistente administrativo</t>
  </si>
  <si>
    <t>Secretaria</t>
  </si>
  <si>
    <t>Auxiliar administrativa y contable</t>
  </si>
  <si>
    <t>Supervisor</t>
  </si>
  <si>
    <t>Conductor</t>
  </si>
  <si>
    <t>EXIGIBLE</t>
  </si>
  <si>
    <r>
      <rPr>
        <rFont val="Arial"/>
        <b/>
        <color theme="1"/>
        <sz val="10.0"/>
      </rPr>
      <t xml:space="preserve">3.5 Gastos Administrativos </t>
    </r>
    <r>
      <rPr>
        <rFont val="Arial"/>
        <b val="0"/>
        <color theme="1"/>
        <sz val="8.0"/>
      </rPr>
      <t>(Pagos por adelantado)</t>
    </r>
  </si>
  <si>
    <t>Renta</t>
  </si>
  <si>
    <t xml:space="preserve">local </t>
  </si>
  <si>
    <t>Seguros</t>
  </si>
  <si>
    <t>SOAT, Seguro  Zurich Mov Total</t>
  </si>
  <si>
    <t>Mantenimiento</t>
  </si>
  <si>
    <t>General</t>
  </si>
  <si>
    <t>servicios públicos (luz)</t>
  </si>
  <si>
    <t>servicios públicos (agua)</t>
  </si>
  <si>
    <t>Tanque Litros</t>
  </si>
  <si>
    <t>servicios públicos (gas)</t>
  </si>
  <si>
    <t>Pipeta</t>
  </si>
  <si>
    <t>servicios públicos (internet)</t>
  </si>
  <si>
    <t>sevicio</t>
  </si>
  <si>
    <t>Parqueadero renta</t>
  </si>
  <si>
    <t>Días</t>
  </si>
  <si>
    <t>Transportes</t>
  </si>
  <si>
    <t>3.6 Gastos de ventas y publicidad</t>
  </si>
  <si>
    <t>Publicidad física</t>
  </si>
  <si>
    <t>Avisos</t>
  </si>
  <si>
    <t>Letreros</t>
  </si>
  <si>
    <t>Dummies</t>
  </si>
  <si>
    <t>Flayers</t>
  </si>
  <si>
    <t>Tarjetas de presentación</t>
  </si>
  <si>
    <t>paquete de 1000 tarjetas</t>
  </si>
  <si>
    <t xml:space="preserve">Branding </t>
  </si>
  <si>
    <t>Publicidad digital o medios BTL</t>
  </si>
  <si>
    <t>Pautas en facebook - Instagram</t>
  </si>
  <si>
    <t>pauta</t>
  </si>
  <si>
    <t>Pautas en Twitter</t>
  </si>
  <si>
    <t>Pautas Google ADS-Youtube</t>
  </si>
  <si>
    <t>Publicidad en medios ATL</t>
  </si>
  <si>
    <t>Pautas en radio (RADIO 1)</t>
  </si>
  <si>
    <t>Pautas en televisión</t>
  </si>
  <si>
    <t>Pautas en prensa</t>
  </si>
  <si>
    <t>Grabación de comerciales de video</t>
  </si>
  <si>
    <t>Grabación de Jingles</t>
  </si>
  <si>
    <t>3.7 Logística y transporte</t>
  </si>
  <si>
    <t>Almacenamiento</t>
  </si>
  <si>
    <t>Embalaje</t>
  </si>
  <si>
    <t>Transportes terrestre</t>
  </si>
  <si>
    <t>Transporte marítimo</t>
  </si>
  <si>
    <t>Transporte aéreo</t>
  </si>
  <si>
    <t>4. IMPREVISTOS</t>
  </si>
  <si>
    <t xml:space="preserve">Apoyo 1, contingencias </t>
  </si>
  <si>
    <t>Apoyo 2</t>
  </si>
  <si>
    <t>Apoyo 3</t>
  </si>
  <si>
    <t>PAQUETE DE SERVICIOS</t>
  </si>
  <si>
    <t xml:space="preserve">DESCRIPCION </t>
  </si>
  <si>
    <t xml:space="preserve">COSTO TOTAL PRODUCTO </t>
  </si>
  <si>
    <t xml:space="preserve">PRECIO </t>
  </si>
  <si>
    <t>UTILIDAD</t>
  </si>
  <si>
    <t xml:space="preserve">MARGEN DE CONTRIBUCION </t>
  </si>
  <si>
    <t xml:space="preserve">CANTIDAD DEMANDADA </t>
  </si>
  <si>
    <t xml:space="preserve">Alquiler casa rodante </t>
  </si>
  <si>
    <t xml:space="preserve">Carro amoblado,cocina, baño, cama, </t>
  </si>
  <si>
    <t xml:space="preserve">Alquiler casa rodante con rutas turisticas </t>
  </si>
  <si>
    <t xml:space="preserve">Carro amoblado, incluye rutas turisticas por Boyaca con planes para realizar </t>
  </si>
  <si>
    <t xml:space="preserve">Si no desean manejar el conductor tiene un costo adicional </t>
  </si>
  <si>
    <t>IPC anual</t>
  </si>
  <si>
    <t xml:space="preserve">Variacion del IPC </t>
  </si>
  <si>
    <t xml:space="preserve">PUNTO DE EQUILIBRIO </t>
  </si>
  <si>
    <t>PE=</t>
  </si>
  <si>
    <t>CF</t>
  </si>
  <si>
    <t>P-CV</t>
  </si>
  <si>
    <t>CV</t>
  </si>
  <si>
    <t>P</t>
  </si>
  <si>
    <t>PE</t>
  </si>
  <si>
    <t>CREDITO</t>
  </si>
  <si>
    <t>PERIODO</t>
  </si>
  <si>
    <t xml:space="preserve">ALQUILER </t>
  </si>
  <si>
    <t>PROPIEDAD</t>
  </si>
  <si>
    <t xml:space="preserve">Costos totales </t>
  </si>
  <si>
    <t>CALCULO VF</t>
  </si>
  <si>
    <t>INTERES SIMPLE</t>
  </si>
  <si>
    <t xml:space="preserve">Rutas </t>
  </si>
  <si>
    <t>Camperización</t>
  </si>
  <si>
    <t>Rutas</t>
  </si>
  <si>
    <t>VF=VP(1+ip*N)</t>
  </si>
  <si>
    <t xml:space="preserve">Chofer </t>
  </si>
  <si>
    <t>Alimentos y bebidas</t>
  </si>
  <si>
    <t>Precio</t>
  </si>
  <si>
    <t>VP</t>
  </si>
  <si>
    <t xml:space="preserve">Gerente </t>
  </si>
  <si>
    <t xml:space="preserve">Tendidos </t>
  </si>
  <si>
    <t>ip</t>
  </si>
  <si>
    <t>Auxiliar contable</t>
  </si>
  <si>
    <t xml:space="preserve">Articulos de aseo personal </t>
  </si>
  <si>
    <t>N</t>
  </si>
  <si>
    <t xml:space="preserve">Aseo </t>
  </si>
  <si>
    <t>VF</t>
  </si>
  <si>
    <t>TOTAL</t>
  </si>
  <si>
    <t>Chofer</t>
  </si>
  <si>
    <t>Interés</t>
  </si>
  <si>
    <t>Proyección ventas Año 1</t>
  </si>
  <si>
    <t>Total alquileres año 1</t>
  </si>
  <si>
    <t>Proyección ventas Año 2</t>
  </si>
  <si>
    <t>Total alquileres año 2</t>
  </si>
  <si>
    <t>Proyección ventas Año 3</t>
  </si>
  <si>
    <t>Total alquileres año 3</t>
  </si>
  <si>
    <t>Proyección ventas Año 4</t>
  </si>
  <si>
    <t>Total alquileres año 4</t>
  </si>
  <si>
    <t>Proyección ventas Año 5</t>
  </si>
  <si>
    <t>Total alquileres año 5</t>
  </si>
  <si>
    <t>CRONOGRAMA DE ALQUILER DE CASA RODANTE FEBRERO 2024</t>
  </si>
  <si>
    <t>FEBRERO 1-5</t>
  </si>
  <si>
    <t>FEBRERO 6-10</t>
  </si>
  <si>
    <t>FEBRERO 11-15</t>
  </si>
  <si>
    <t>FEBRERO 16-20</t>
  </si>
  <si>
    <t>FEBRERO 21-25</t>
  </si>
  <si>
    <t>FEBRERO 26-30</t>
  </si>
  <si>
    <t>Solicitud de alquiler por parte de cliente</t>
  </si>
  <si>
    <t>Preparación de documentación</t>
  </si>
  <si>
    <t>Especificación de ruta (si se escoge)</t>
  </si>
  <si>
    <t>Contratación con cliente por escrito (con gerente y auxiliar contable)</t>
  </si>
  <si>
    <t>Adecuación de la casa rodante</t>
  </si>
  <si>
    <t>Preparación final del conductor</t>
  </si>
  <si>
    <t>Carga del combustible</t>
  </si>
  <si>
    <t>Entrega de casa rodante donde la empresa lo estipule (con coinductor)</t>
  </si>
  <si>
    <t xml:space="preserve">Entrega de casa rodante en lugar acordado por empresa y cliente  (sin conductor) </t>
  </si>
  <si>
    <t>Entrega de servicios adicionales</t>
  </si>
  <si>
    <t xml:space="preserve">Uso de la casa rodante </t>
  </si>
  <si>
    <t>Entrega del servicio de regreso a la empresa (con conductor)</t>
  </si>
  <si>
    <t>Entrega del servicio de regreso a la empresa (sin conductor)</t>
  </si>
  <si>
    <t>Tasa de consumo mensual (manufactura)</t>
  </si>
  <si>
    <t>AGOSTO</t>
  </si>
  <si>
    <t>MESES</t>
  </si>
  <si>
    <t>VENTAS</t>
  </si>
  <si>
    <t>COSTOS</t>
  </si>
  <si>
    <t>UTILIDADES</t>
  </si>
  <si>
    <t>ENERO</t>
  </si>
  <si>
    <t xml:space="preserve">FEBRERO </t>
  </si>
  <si>
    <t>MARZO</t>
  </si>
  <si>
    <t>ABRIL</t>
  </si>
  <si>
    <t>MAYO</t>
  </si>
  <si>
    <t>JUNIO</t>
  </si>
  <si>
    <t>JULIO</t>
  </si>
  <si>
    <t>SEPTIEMBRE</t>
  </si>
  <si>
    <t>OCTUBRE</t>
  </si>
  <si>
    <t>NOVIEMBRE</t>
  </si>
  <si>
    <t>DICIEMBRE</t>
  </si>
  <si>
    <t>FLUJO DE CAJA OPERACIONAL</t>
  </si>
  <si>
    <t>DETALLES DE INGRESOS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</si>
  <si>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</si>
  <si>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</si>
  <si>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</si>
  <si>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</si>
  <si>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</si>
  <si>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</si>
  <si>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</si>
  <si>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</si>
  <si>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</si>
  <si>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</si>
  <si>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</si>
  <si>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</si>
  <si>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Año 1</t>
  </si>
  <si>
    <t>Año 2</t>
  </si>
  <si>
    <t>Año 3</t>
  </si>
  <si>
    <t>Ingresos por ventas</t>
  </si>
  <si>
    <t>Cobro de cartera</t>
  </si>
  <si>
    <t>Otros ingresos</t>
  </si>
  <si>
    <t>DETALLES EGRESOS</t>
  </si>
  <si>
    <t>Nómina</t>
  </si>
  <si>
    <t>Materia Prima</t>
  </si>
  <si>
    <t>Insumos</t>
  </si>
  <si>
    <t>Administrativos</t>
  </si>
  <si>
    <t>Publicidad y ventas</t>
  </si>
  <si>
    <t>Intereses</t>
  </si>
  <si>
    <t>Total Costos operativos</t>
  </si>
  <si>
    <t>TOTAL EGRESOS</t>
  </si>
  <si>
    <t xml:space="preserve">SALDO NETO </t>
  </si>
  <si>
    <t>TOTAL ACOMULADO</t>
  </si>
  <si>
    <t>IPC ANUAL</t>
  </si>
  <si>
    <t>TIO (Tasa interna de oportunidad)</t>
  </si>
  <si>
    <t>TREMA</t>
  </si>
  <si>
    <t>IPC MENSUAL PROMEDIO</t>
  </si>
  <si>
    <t>TASA DE CONSUMO</t>
  </si>
  <si>
    <t>INVERSIÓN</t>
  </si>
  <si>
    <t>AÑO 1</t>
  </si>
  <si>
    <t>AÑO 2</t>
  </si>
  <si>
    <t>AÑO 3</t>
  </si>
  <si>
    <t>AÑO 4</t>
  </si>
  <si>
    <t>AÑO 5</t>
  </si>
  <si>
    <t>TIR</t>
  </si>
  <si>
    <t>Tasa de Descuento</t>
  </si>
  <si>
    <t>VNA</t>
  </si>
  <si>
    <t xml:space="preserve">TASA INTERNA DE OPORTUNIDAD POR SECTORES </t>
  </si>
  <si>
    <t>SERVICIOS</t>
  </si>
  <si>
    <t>ESTADOS DE RESULTADOS O (PYG) PROYECTADO</t>
  </si>
  <si>
    <t>TOTAL DE VENTAS</t>
  </si>
  <si>
    <t>(-)DEVOLUCIÓN EN VENTAS</t>
  </si>
  <si>
    <t>INGRESOS OPERACIONALES (VENTAS NETAS)</t>
  </si>
  <si>
    <t>(-)TOTAL DE COSTOS</t>
  </si>
  <si>
    <t>UTILIDAD BRUTA</t>
  </si>
  <si>
    <t>(-)GASTOS OPERACIONALES DE ADMINISTRACIÓN</t>
  </si>
  <si>
    <t>(-)GASTOS OPERACIONALES DE VENTAS</t>
  </si>
  <si>
    <t>UTILIDAD OPERACIONAL</t>
  </si>
  <si>
    <t>(+) INGRESOS NO OPERACIONALES</t>
  </si>
  <si>
    <t>UTILIDAD ANTES DE IMPUESTOS</t>
  </si>
  <si>
    <t xml:space="preserve">(-)IMPUESTOS </t>
  </si>
  <si>
    <t>UTILIDAD NETA</t>
  </si>
  <si>
    <t>(-)RESERVA LEGAL (10%)</t>
  </si>
  <si>
    <t>UTILIDAD NETA DISPONIBLE PARA ACCIONISTAS</t>
  </si>
  <si>
    <t>IPC % variación promedio anual 2023</t>
  </si>
  <si>
    <t>BALANCE GENERAL ON MY WAY</t>
  </si>
  <si>
    <t>IPC</t>
  </si>
  <si>
    <t xml:space="preserve">ACTIVOS </t>
  </si>
  <si>
    <t>Activos corrientes</t>
  </si>
  <si>
    <t xml:space="preserve">     Cuentas por cobrar</t>
  </si>
  <si>
    <t xml:space="preserve">     Inventarios</t>
  </si>
  <si>
    <t>Activos no corrientes (Activos fijos)</t>
  </si>
  <si>
    <t>Equipo de oficina</t>
  </si>
  <si>
    <t xml:space="preserve">     Maquinaria y equipos</t>
  </si>
  <si>
    <t xml:space="preserve">     Muebles y enseres </t>
  </si>
  <si>
    <t xml:space="preserve">      Vehículos</t>
  </si>
  <si>
    <t xml:space="preserve">     Otros activos</t>
  </si>
  <si>
    <t>TOTAL DE ACTIVOS</t>
  </si>
  <si>
    <t>PASIVOS</t>
  </si>
  <si>
    <t>Pasivos corrientes</t>
  </si>
  <si>
    <t xml:space="preserve">   Cuentas por pagar comerciales</t>
  </si>
  <si>
    <t xml:space="preserve">   Proveedores</t>
  </si>
  <si>
    <t>Pasivos No Corrientes</t>
  </si>
  <si>
    <t xml:space="preserve">   Obleicaciones Financieras</t>
  </si>
  <si>
    <t xml:space="preserve">   Impuestos pendientes</t>
  </si>
  <si>
    <t>Otros Pasivos</t>
  </si>
  <si>
    <t>TOTAL DE PASIVOS</t>
  </si>
  <si>
    <t>PATRIMONIO</t>
  </si>
  <si>
    <t xml:space="preserve">   Capital aportado</t>
  </si>
  <si>
    <t xml:space="preserve">   Utilidades retenidas</t>
  </si>
  <si>
    <t xml:space="preserve">   Superavit</t>
  </si>
  <si>
    <t>TOTAL PASIVO + PATRIMONIO</t>
  </si>
  <si>
    <t>Indicador financiero</t>
  </si>
  <si>
    <t>Valor Año 1</t>
  </si>
  <si>
    <t>Margen bruto</t>
  </si>
  <si>
    <t>Margen neto</t>
  </si>
  <si>
    <t>ROA</t>
  </si>
  <si>
    <t>ROE</t>
  </si>
  <si>
    <t>ROI</t>
  </si>
  <si>
    <t>Índice de endeudamiento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</si>
</sst>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2">
    <numFmt numFmtId="164" formatCode="[$ $]#,##0"/>
    <numFmt numFmtId="165" formatCode="_-&quot;$&quot;\ * #,##0.00_-;\-&quot;$&quot;\ * #,##0.00_-;_-&quot;$&quot;\ * &quot;-&quot;??_-;_-@"/>
    <numFmt numFmtId="166" formatCode="_-&quot;$&quot;\ * #,##0_-;\-&quot;$&quot;\ * #,##0_-;_-&quot;$&quot;\ * &quot;-&quot;??_-;_-@"/>
    <numFmt numFmtId="167" formatCode="0.000"/>
    <numFmt numFmtId="168" formatCode="_-&quot;$&quot;* #,##0.00_-;_-&quot;$&quot;* \-#,##0.00_-;_-&quot;$&quot;* &quot;-&quot;??_-;_-@"/>
    <numFmt numFmtId="169" formatCode="&quot;$&quot;#,##0.00"/>
    <numFmt numFmtId="170" formatCode="_-&quot;$&quot;\ * #,##0.0_-;\-&quot;$&quot;\ * #,##0.0_-;_-&quot;$&quot;\ * &quot;-&quot;??_-;_-@"/>
    <numFmt numFmtId="171" formatCode="_-* #,##0.00_-;\-* #,##0.00_-;_-* &quot;-&quot;??_-;_-@"/>
    <numFmt numFmtId="172" formatCode="_-&quot;$&quot;* #,##0_-;\-&quot;$&quot;* #,##0_-;_-&quot;$&quot;* &quot;-&quot;_-;_-@"/>
    <numFmt numFmtId="173" formatCode="_-&quot;$&quot;* #,##0.00_-;\-&quot;$&quot;* #,##0.00_-;_-&quot;$&quot;* &quot;-&quot;??_-;_-@"/>
    <numFmt numFmtId="174" formatCode="0.0%"/>
    <numFmt numFmtId="175" formatCode="#,##0.00\ [$€-1]"/>
  </numFmts>
  <fonts count="18">
    <font>
      <sz val="11.0"/>
      <color theme="1"/>
      <name val="Calibri"/>
      <scheme val="minor"/>
    </font>
    <font>
      <b/>
      <sz val="12.0"/>
      <color rgb="FFFFFFFF"/>
      <name val="Calibri"/>
    </font>
    <font>
      <b/>
      <sz val="10.0"/>
      <color rgb="FFFFFFFF"/>
      <name val="Calibri"/>
    </font>
    <font>
      <sz val="10.0"/>
      <color rgb="FFFFFFFF"/>
      <name val="Calibri"/>
    </font>
    <font>
      <sz val="10.0"/>
      <color rgb="FF000000"/>
      <name val="Calibri"/>
    </font>
    <font>
      <b/>
      <sz val="10.0"/>
      <color theme="1"/>
      <name val="Calibri"/>
    </font>
    <font>
      <sz val="10.0"/>
      <color theme="1"/>
      <name val="Calibri"/>
    </font>
    <font>
      <b/>
      <sz val="12.0"/>
      <color theme="1"/>
      <name val="Calibri"/>
    </font>
    <font>
      <i/>
      <sz val="10.0"/>
      <color theme="1"/>
      <name val="Calibri"/>
    </font>
    <font>
      <sz val="11.0"/>
      <color theme="0"/>
      <name val="Calibri"/>
    </font>
    <font>
      <sz val="11.0"/>
      <color theme="1"/>
      <name val="Calibri"/>
    </font>
    <font>
      <color theme="1"/>
      <name val="Calibri"/>
      <scheme val="minor"/>
    </font>
    <font>
      <sz val="11.0"/>
      <color rgb="FF000000"/>
      <name val="Calibri"/>
    </font>
    <font/>
    <font>
      <sz val="12.0"/>
      <color rgb="FF333333"/>
      <name val="Arial"/>
    </font>
    <font>
      <b/>
      <sz val="18.0"/>
      <color theme="1"/>
      <name val="Calibri"/>
    </font>
    <font>
      <b/>
      <sz val="11.0"/>
      <color theme="1"/>
      <name val="Calibri"/>
    </font>
    <font>
      <b/>
      <sz val="11.0"/>
      <color rgb="FF000000"/>
      <name val="Calibri"/>
    </font>
  </fonts>
  <fills count="41">
    <fill>
      <patternFill patternType="none"/>
    </fill>
    <fill>
      <patternFill patternType="lightGray"/>
    </fill>
    <fill>
      <patternFill patternType="solid">
        <fgColor rgb="FF6AA84F"/>
        <bgColor rgb="FF6AA84F"/>
      </patternFill>
    </fill>
    <fill>
      <patternFill patternType="solid">
        <fgColor rgb="FF38761D"/>
        <bgColor rgb="FF38761D"/>
      </patternFill>
    </fill>
    <fill>
      <patternFill patternType="solid">
        <fgColor rgb="FFFFFF00"/>
        <bgColor rgb="FFFFFF00"/>
      </patternFill>
    </fill>
    <fill>
      <patternFill patternType="solid">
        <fgColor rgb="FF3C78D8"/>
        <bgColor rgb="FF3C78D8"/>
      </patternFill>
    </fill>
    <fill>
      <patternFill patternType="solid">
        <fgColor rgb="FFCFE2F3"/>
        <bgColor rgb="FFCFE2F3"/>
      </patternFill>
    </fill>
    <fill>
      <patternFill patternType="solid">
        <fgColor rgb="FFD0E0E3"/>
        <bgColor rgb="FFD0E0E3"/>
      </patternFill>
    </fill>
    <fill>
      <patternFill patternType="solid">
        <fgColor rgb="FFFF9900"/>
        <bgColor rgb="FFFF9900"/>
      </patternFill>
    </fill>
    <fill>
      <patternFill patternType="solid">
        <fgColor rgb="FFFCE5CD"/>
        <bgColor rgb="FFFCE5CD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rgb="FF9900FF"/>
        <bgColor rgb="FF9900FF"/>
      </patternFill>
    </fill>
    <fill>
      <patternFill patternType="solid">
        <fgColor rgb="FFD9D2E9"/>
        <bgColor rgb="FFD9D2E9"/>
      </patternFill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  <fill>
      <patternFill patternType="solid">
        <fgColor rgb="FFCC0000"/>
        <bgColor rgb="FFCC0000"/>
      </patternFill>
    </fill>
    <fill>
      <patternFill patternType="solid">
        <fgColor theme="5"/>
        <bgColor theme="5"/>
      </patternFill>
    </fill>
    <fill>
      <patternFill patternType="solid">
        <fgColor rgb="FF00FFFF"/>
        <bgColor rgb="FF00FFFF"/>
      </patternFill>
    </fill>
    <fill>
      <patternFill patternType="solid">
        <fgColor rgb="FFF7CAAC"/>
        <bgColor rgb="FFF7CAAC"/>
      </patternFill>
    </fill>
    <fill>
      <patternFill patternType="solid">
        <fgColor rgb="FF00FF00"/>
        <bgColor rgb="FF00FF00"/>
      </patternFill>
    </fill>
    <fill>
      <patternFill patternType="solid">
        <fgColor rgb="FF0000FF"/>
        <bgColor rgb="FF0000FF"/>
      </patternFill>
    </fill>
    <fill>
      <patternFill patternType="solid">
        <fgColor rgb="FFFF00FF"/>
        <bgColor rgb="FFFF00FF"/>
      </patternFill>
    </fill>
    <fill>
      <patternFill patternType="solid">
        <fgColor rgb="FFFF0000"/>
        <bgColor rgb="FFFF0000"/>
      </patternFill>
    </fill>
    <fill>
      <patternFill patternType="solid">
        <fgColor rgb="FF980000"/>
        <bgColor rgb="FF980000"/>
      </patternFill>
    </fill>
    <fill>
      <patternFill patternType="solid">
        <fgColor rgb="FFFFD965"/>
        <bgColor rgb="FFFFD965"/>
      </patternFill>
    </fill>
    <fill>
      <patternFill patternType="solid">
        <fgColor rgb="FFCC4125"/>
        <bgColor rgb="FFCC4125"/>
      </patternFill>
    </fill>
    <fill>
      <patternFill patternType="solid">
        <fgColor rgb="FF333333"/>
        <bgColor rgb="FF333333"/>
      </patternFill>
    </fill>
    <fill>
      <patternFill patternType="solid">
        <fgColor rgb="FFF0E4D3"/>
        <bgColor rgb="FFF0E4D3"/>
      </patternFill>
    </fill>
    <fill>
      <patternFill patternType="solid">
        <fgColor rgb="FFFFF1E0"/>
        <bgColor rgb="FFFFF1E0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theme="7"/>
        <bgColor theme="7"/>
      </patternFill>
    </fill>
    <fill>
      <patternFill patternType="solid">
        <fgColor rgb="FF04FF00"/>
        <bgColor rgb="FF04FF00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rgb="FFC9DAF8"/>
      </patternFill>
    </fill>
    <fill>
      <patternFill patternType="solid">
        <fgColor rgb="FFB7B7B7"/>
        <bgColor rgb="FFB7B7B7"/>
      </patternFill>
    </fill>
    <fill>
      <patternFill patternType="solid">
        <fgColor rgb="FFD0CECE"/>
        <bgColor rgb="FFD0CECE"/>
      </patternFill>
    </fill>
    <fill>
      <patternFill patternType="solid">
        <fgColor rgb="FFAEABAB"/>
        <bgColor rgb="FFAEABAB"/>
      </patternFill>
    </fill>
    <fill>
      <patternFill patternType="solid">
        <fgColor rgb="FFE7E6E6"/>
        <bgColor rgb="FFE7E6E6"/>
      </patternFill>
    </fill>
  </fills>
  <borders count="2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right/>
      <top/>
      <bottom style="thin">
        <color rgb="FF000000"/>
      </bottom>
    </border>
    <border>
      <right style="thin">
        <color rgb="FF000000"/>
      </right>
    </border>
    <border>
      <left/>
      <right/>
      <top/>
      <bottom style="medium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1" fillId="2" fontId="2" numFmtId="0" xfId="0" applyAlignment="1" applyBorder="1" applyFont="1">
      <alignment horizontal="center"/>
    </xf>
    <xf borderId="1" fillId="3" fontId="1" numFmtId="0" xfId="0" applyBorder="1" applyFill="1" applyFont="1"/>
    <xf borderId="1" fillId="3" fontId="3" numFmtId="0" xfId="0" applyBorder="1" applyFont="1"/>
    <xf borderId="1" fillId="3" fontId="3" numFmtId="164" xfId="0" applyBorder="1" applyFont="1" applyNumberFormat="1"/>
    <xf borderId="1" fillId="4" fontId="4" numFmtId="164" xfId="0" applyBorder="1" applyFill="1" applyFont="1" applyNumberFormat="1"/>
    <xf borderId="1" fillId="5" fontId="1" numFmtId="0" xfId="0" applyBorder="1" applyFill="1" applyFont="1"/>
    <xf borderId="1" fillId="5" fontId="3" numFmtId="0" xfId="0" applyBorder="1" applyFont="1"/>
    <xf borderId="1" fillId="5" fontId="3" numFmtId="164" xfId="0" applyBorder="1" applyFont="1" applyNumberFormat="1"/>
    <xf borderId="1" fillId="6" fontId="5" numFmtId="0" xfId="0" applyBorder="1" applyFill="1" applyFont="1"/>
    <xf borderId="1" fillId="6" fontId="6" numFmtId="0" xfId="0" applyBorder="1" applyFont="1"/>
    <xf borderId="1" fillId="6" fontId="6" numFmtId="164" xfId="0" applyBorder="1" applyFont="1" applyNumberFormat="1"/>
    <xf borderId="1" fillId="0" fontId="6" numFmtId="0" xfId="0" applyBorder="1" applyFont="1"/>
    <xf borderId="1" fillId="0" fontId="6" numFmtId="164" xfId="0" applyBorder="1" applyFont="1" applyNumberFormat="1"/>
    <xf borderId="1" fillId="7" fontId="6" numFmtId="164" xfId="0" applyBorder="1" applyFill="1" applyFont="1" applyNumberFormat="1"/>
    <xf borderId="1" fillId="0" fontId="6" numFmtId="164" xfId="0" applyAlignment="1" applyBorder="1" applyFont="1" applyNumberFormat="1">
      <alignment readingOrder="0"/>
    </xf>
    <xf borderId="1" fillId="8" fontId="7" numFmtId="0" xfId="0" applyBorder="1" applyFill="1" applyFont="1"/>
    <xf borderId="1" fillId="8" fontId="6" numFmtId="0" xfId="0" applyBorder="1" applyFont="1"/>
    <xf borderId="1" fillId="8" fontId="6" numFmtId="164" xfId="0" applyBorder="1" applyFont="1" applyNumberFormat="1"/>
    <xf borderId="1" fillId="9" fontId="5" numFmtId="0" xfId="0" applyBorder="1" applyFill="1" applyFont="1"/>
    <xf borderId="1" fillId="9" fontId="6" numFmtId="0" xfId="0" applyBorder="1" applyFont="1"/>
    <xf borderId="1" fillId="9" fontId="6" numFmtId="164" xfId="0" applyBorder="1" applyFont="1" applyNumberFormat="1"/>
    <xf borderId="1" fillId="10" fontId="6" numFmtId="164" xfId="0" applyBorder="1" applyFill="1" applyFont="1" applyNumberFormat="1"/>
    <xf borderId="1" fillId="10" fontId="6" numFmtId="0" xfId="0" applyBorder="1" applyFont="1"/>
    <xf borderId="1" fillId="11" fontId="5" numFmtId="0" xfId="0" applyBorder="1" applyFill="1" applyFont="1"/>
    <xf borderId="1" fillId="11" fontId="6" numFmtId="0" xfId="0" applyBorder="1" applyFont="1"/>
    <xf borderId="1" fillId="11" fontId="6" numFmtId="164" xfId="0" applyBorder="1" applyFont="1" applyNumberFormat="1"/>
    <xf borderId="1" fillId="12" fontId="1" numFmtId="0" xfId="0" applyBorder="1" applyFill="1" applyFont="1"/>
    <xf borderId="1" fillId="12" fontId="3" numFmtId="0" xfId="0" applyBorder="1" applyFont="1"/>
    <xf borderId="1" fillId="12" fontId="3" numFmtId="164" xfId="0" applyBorder="1" applyFont="1" applyNumberFormat="1"/>
    <xf borderId="1" fillId="13" fontId="8" numFmtId="0" xfId="0" applyBorder="1" applyFill="1" applyFont="1"/>
    <xf borderId="1" fillId="13" fontId="6" numFmtId="0" xfId="0" applyBorder="1" applyFont="1"/>
    <xf borderId="1" fillId="13" fontId="6" numFmtId="164" xfId="0" applyBorder="1" applyFont="1" applyNumberFormat="1"/>
    <xf borderId="1" fillId="13" fontId="5" numFmtId="0" xfId="0" applyBorder="1" applyFont="1"/>
    <xf borderId="1" fillId="0" fontId="8" numFmtId="0" xfId="0" applyBorder="1" applyFont="1"/>
    <xf borderId="1" fillId="14" fontId="5" numFmtId="0" xfId="0" applyBorder="1" applyFill="1" applyFont="1"/>
    <xf borderId="1" fillId="14" fontId="6" numFmtId="0" xfId="0" applyBorder="1" applyFont="1"/>
    <xf borderId="1" fillId="14" fontId="6" numFmtId="164" xfId="0" applyBorder="1" applyFont="1" applyNumberFormat="1"/>
    <xf borderId="0" fillId="0" fontId="6" numFmtId="0" xfId="0" applyFont="1"/>
    <xf borderId="1" fillId="15" fontId="6" numFmtId="0" xfId="0" applyBorder="1" applyFill="1" applyFont="1"/>
    <xf borderId="1" fillId="15" fontId="6" numFmtId="164" xfId="0" applyBorder="1" applyFont="1" applyNumberFormat="1"/>
    <xf borderId="1" fillId="15" fontId="5" numFmtId="0" xfId="0" applyBorder="1" applyFont="1"/>
    <xf borderId="1" fillId="16" fontId="2" numFmtId="0" xfId="0" applyBorder="1" applyFill="1" applyFont="1"/>
    <xf borderId="1" fillId="16" fontId="3" numFmtId="0" xfId="0" applyBorder="1" applyFont="1"/>
    <xf borderId="1" fillId="16" fontId="3" numFmtId="164" xfId="0" applyBorder="1" applyFont="1" applyNumberFormat="1"/>
    <xf borderId="2" fillId="17" fontId="9" numFmtId="0" xfId="0" applyAlignment="1" applyBorder="1" applyFill="1" applyFont="1">
      <alignment horizontal="center"/>
    </xf>
    <xf borderId="1" fillId="0" fontId="10" numFmtId="0" xfId="0" applyAlignment="1" applyBorder="1" applyFont="1">
      <alignment horizontal="left" vertical="top"/>
    </xf>
    <xf borderId="1" fillId="0" fontId="10" numFmtId="0" xfId="0" applyAlignment="1" applyBorder="1" applyFont="1">
      <alignment shrinkToFit="0" vertical="top" wrapText="1"/>
    </xf>
    <xf borderId="1" fillId="0" fontId="10" numFmtId="165" xfId="0" applyAlignment="1" applyBorder="1" applyFont="1" applyNumberFormat="1">
      <alignment horizontal="right"/>
    </xf>
    <xf borderId="1" fillId="0" fontId="10" numFmtId="165" xfId="0" applyBorder="1" applyFont="1" applyNumberFormat="1"/>
    <xf borderId="1" fillId="0" fontId="10" numFmtId="9" xfId="0" applyBorder="1" applyFont="1" applyNumberFormat="1"/>
    <xf borderId="1" fillId="0" fontId="10" numFmtId="0" xfId="0" applyBorder="1" applyFont="1"/>
    <xf borderId="1" fillId="0" fontId="10" numFmtId="0" xfId="0" applyAlignment="1" applyBorder="1" applyFont="1">
      <alignment horizontal="left" shrinkToFit="0" vertical="top" wrapText="1"/>
    </xf>
    <xf borderId="1" fillId="0" fontId="10" numFmtId="165" xfId="0" applyAlignment="1" applyBorder="1" applyFont="1" applyNumberFormat="1">
      <alignment readingOrder="0"/>
    </xf>
    <xf borderId="0" fillId="0" fontId="11" numFmtId="165" xfId="0" applyFont="1" applyNumberFormat="1"/>
    <xf borderId="1" fillId="4" fontId="10" numFmtId="165" xfId="0" applyBorder="1" applyFont="1" applyNumberFormat="1"/>
    <xf borderId="1" fillId="4" fontId="10" numFmtId="0" xfId="0" applyBorder="1" applyFont="1"/>
    <xf borderId="0" fillId="0" fontId="10" numFmtId="165" xfId="0" applyFont="1" applyNumberFormat="1"/>
    <xf borderId="2" fillId="4" fontId="10" numFmtId="0" xfId="0" applyBorder="1" applyFont="1"/>
    <xf borderId="0" fillId="0" fontId="10" numFmtId="0" xfId="0" applyAlignment="1" applyFont="1">
      <alignment horizontal="center" vertical="center"/>
    </xf>
    <xf borderId="0" fillId="0" fontId="10" numFmtId="0" xfId="0" applyAlignment="1" applyFont="1">
      <alignment horizontal="center"/>
    </xf>
    <xf borderId="3" fillId="0" fontId="10" numFmtId="0" xfId="0" applyAlignment="1" applyBorder="1" applyFont="1">
      <alignment horizontal="center" shrinkToFit="0" vertical="center" wrapText="1"/>
    </xf>
    <xf borderId="1" fillId="4" fontId="10" numFmtId="166" xfId="0" applyBorder="1" applyFont="1" applyNumberFormat="1"/>
    <xf borderId="1" fillId="18" fontId="5" numFmtId="0" xfId="0" applyBorder="1" applyFill="1" applyFont="1"/>
    <xf borderId="1" fillId="0" fontId="10" numFmtId="0" xfId="0" applyAlignment="1" applyBorder="1" applyFont="1">
      <alignment horizontal="left"/>
    </xf>
    <xf borderId="2" fillId="19" fontId="10" numFmtId="0" xfId="0" applyAlignment="1" applyBorder="1" applyFill="1" applyFont="1">
      <alignment horizontal="center" vertical="center"/>
    </xf>
    <xf borderId="1" fillId="0" fontId="5" numFmtId="0" xfId="0" applyBorder="1" applyFont="1"/>
    <xf borderId="2" fillId="19" fontId="10" numFmtId="165" xfId="0" applyBorder="1" applyFont="1" applyNumberFormat="1"/>
    <xf borderId="1" fillId="4" fontId="5" numFmtId="164" xfId="0" applyBorder="1" applyFont="1" applyNumberFormat="1"/>
    <xf borderId="1" fillId="0" fontId="6" numFmtId="167" xfId="0" applyBorder="1" applyFont="1" applyNumberFormat="1"/>
    <xf borderId="1" fillId="4" fontId="10" numFmtId="0" xfId="0" applyAlignment="1" applyBorder="1" applyFont="1">
      <alignment horizontal="left"/>
    </xf>
    <xf borderId="1" fillId="10" fontId="10" numFmtId="0" xfId="0" applyAlignment="1" applyBorder="1" applyFont="1">
      <alignment horizontal="left"/>
    </xf>
    <xf borderId="1" fillId="10" fontId="10" numFmtId="165" xfId="0" applyBorder="1" applyFont="1" applyNumberFormat="1"/>
    <xf borderId="1" fillId="4" fontId="11" numFmtId="0" xfId="0" applyAlignment="1" applyBorder="1" applyFont="1">
      <alignment readingOrder="0"/>
    </xf>
    <xf borderId="1" fillId="0" fontId="11" numFmtId="168" xfId="0" applyAlignment="1" applyBorder="1" applyFont="1" applyNumberFormat="1">
      <alignment readingOrder="0"/>
    </xf>
    <xf borderId="1" fillId="0" fontId="11" numFmtId="0" xfId="0" applyAlignment="1" applyBorder="1" applyFont="1">
      <alignment readingOrder="0"/>
    </xf>
    <xf borderId="1" fillId="0" fontId="11" numFmtId="0" xfId="0" applyBorder="1" applyFont="1"/>
    <xf borderId="1" fillId="0" fontId="12" numFmtId="169" xfId="0" applyAlignment="1" applyBorder="1" applyFont="1" applyNumberFormat="1">
      <alignment readingOrder="0"/>
    </xf>
    <xf borderId="1" fillId="10" fontId="10" numFmtId="0" xfId="0" applyBorder="1" applyFont="1"/>
    <xf borderId="1" fillId="0" fontId="11" numFmtId="4" xfId="0" applyBorder="1" applyFont="1" applyNumberFormat="1"/>
    <xf borderId="1" fillId="4" fontId="10" numFmtId="170" xfId="0" applyBorder="1" applyFont="1" applyNumberFormat="1"/>
    <xf borderId="1" fillId="0" fontId="11" numFmtId="169" xfId="0" applyAlignment="1" applyBorder="1" applyFont="1" applyNumberFormat="1">
      <alignment readingOrder="0"/>
    </xf>
    <xf borderId="4" fillId="0" fontId="11" numFmtId="0" xfId="0" applyAlignment="1" applyBorder="1" applyFont="1">
      <alignment horizontal="center" readingOrder="0"/>
    </xf>
    <xf borderId="5" fillId="0" fontId="11" numFmtId="0" xfId="0" applyAlignment="1" applyBorder="1" applyFont="1">
      <alignment horizontal="center" readingOrder="0" shrinkToFit="0" vertical="center" wrapText="1"/>
    </xf>
    <xf borderId="6" fillId="0" fontId="13" numFmtId="0" xfId="0" applyBorder="1" applyFont="1"/>
    <xf borderId="7" fillId="0" fontId="13" numFmtId="0" xfId="0" applyBorder="1" applyFont="1"/>
    <xf borderId="5" fillId="0" fontId="11" numFmtId="0" xfId="0" applyAlignment="1" applyBorder="1" applyFont="1">
      <alignment horizontal="center" readingOrder="0" shrinkToFit="0" wrapText="1"/>
    </xf>
    <xf borderId="8" fillId="0" fontId="11" numFmtId="0" xfId="0" applyAlignment="1" applyBorder="1" applyFont="1">
      <alignment readingOrder="0"/>
    </xf>
    <xf borderId="9" fillId="0" fontId="11" numFmtId="0" xfId="0" applyBorder="1" applyFont="1"/>
    <xf borderId="1" fillId="8" fontId="11" numFmtId="0" xfId="0" applyBorder="1" applyFont="1"/>
    <xf borderId="10" fillId="0" fontId="11" numFmtId="0" xfId="0" applyBorder="1" applyFont="1"/>
    <xf borderId="11" fillId="0" fontId="11" numFmtId="0" xfId="0" applyBorder="1" applyFont="1"/>
    <xf borderId="8" fillId="0" fontId="11" numFmtId="0" xfId="0" applyAlignment="1" applyBorder="1" applyFont="1">
      <alignment readingOrder="0" shrinkToFit="0" wrapText="1"/>
    </xf>
    <xf borderId="9" fillId="0" fontId="11" numFmtId="0" xfId="0" applyAlignment="1" applyBorder="1" applyFont="1">
      <alignment shrinkToFit="0" wrapText="1"/>
    </xf>
    <xf borderId="1" fillId="0" fontId="11" numFmtId="0" xfId="0" applyAlignment="1" applyBorder="1" applyFont="1">
      <alignment shrinkToFit="0" wrapText="1"/>
    </xf>
    <xf borderId="1" fillId="4" fontId="11" numFmtId="0" xfId="0" applyAlignment="1" applyBorder="1" applyFont="1">
      <alignment shrinkToFit="0" wrapText="1"/>
    </xf>
    <xf borderId="10" fillId="4" fontId="11" numFmtId="0" xfId="0" applyAlignment="1" applyBorder="1" applyFont="1">
      <alignment shrinkToFit="0" wrapText="1"/>
    </xf>
    <xf borderId="11" fillId="4" fontId="11" numFmtId="0" xfId="0" applyAlignment="1" applyBorder="1" applyFont="1">
      <alignment shrinkToFit="0" wrapText="1"/>
    </xf>
    <xf borderId="11" fillId="0" fontId="11" numFmtId="0" xfId="0" applyAlignment="1" applyBorder="1" applyFont="1">
      <alignment shrinkToFit="0" wrapText="1"/>
    </xf>
    <xf borderId="10" fillId="0" fontId="11" numFmtId="0" xfId="0" applyAlignment="1" applyBorder="1" applyFont="1">
      <alignment shrinkToFit="0" wrapText="1"/>
    </xf>
    <xf borderId="9" fillId="20" fontId="11" numFmtId="0" xfId="0" applyAlignment="1" applyBorder="1" applyFill="1" applyFont="1">
      <alignment shrinkToFit="0" wrapText="1"/>
    </xf>
    <xf borderId="1" fillId="20" fontId="11" numFmtId="0" xfId="0" applyAlignment="1" applyBorder="1" applyFont="1">
      <alignment shrinkToFit="0" wrapText="1"/>
    </xf>
    <xf borderId="1" fillId="21" fontId="11" numFmtId="0" xfId="0" applyAlignment="1" applyBorder="1" applyFill="1" applyFont="1">
      <alignment shrinkToFit="0" wrapText="1"/>
    </xf>
    <xf borderId="11" fillId="22" fontId="11" numFmtId="0" xfId="0" applyAlignment="1" applyBorder="1" applyFill="1" applyFont="1">
      <alignment shrinkToFit="0" wrapText="1"/>
    </xf>
    <xf borderId="9" fillId="22" fontId="11" numFmtId="0" xfId="0" applyAlignment="1" applyBorder="1" applyFont="1">
      <alignment shrinkToFit="0" wrapText="1"/>
    </xf>
    <xf borderId="1" fillId="22" fontId="11" numFmtId="0" xfId="0" applyAlignment="1" applyBorder="1" applyFont="1">
      <alignment shrinkToFit="0" wrapText="1"/>
    </xf>
    <xf borderId="1" fillId="23" fontId="11" numFmtId="0" xfId="0" applyAlignment="1" applyBorder="1" applyFill="1" applyFont="1">
      <alignment shrinkToFit="0" wrapText="1"/>
    </xf>
    <xf borderId="1" fillId="24" fontId="11" numFmtId="0" xfId="0" applyAlignment="1" applyBorder="1" applyFill="1" applyFont="1">
      <alignment shrinkToFit="0" wrapText="1"/>
    </xf>
    <xf borderId="1" fillId="3" fontId="11" numFmtId="0" xfId="0" applyAlignment="1" applyBorder="1" applyFont="1">
      <alignment shrinkToFit="0" wrapText="1"/>
    </xf>
    <xf borderId="1" fillId="9" fontId="11" numFmtId="0" xfId="0" applyAlignment="1" applyBorder="1" applyFont="1">
      <alignment shrinkToFit="0" wrapText="1"/>
    </xf>
    <xf borderId="1" fillId="18" fontId="11" numFmtId="0" xfId="0" applyAlignment="1" applyBorder="1" applyFont="1">
      <alignment shrinkToFit="0" wrapText="1"/>
    </xf>
    <xf borderId="11" fillId="25" fontId="11" numFmtId="0" xfId="0" applyBorder="1" applyFill="1" applyFont="1"/>
    <xf borderId="9" fillId="25" fontId="11" numFmtId="0" xfId="0" applyBorder="1" applyFont="1"/>
    <xf borderId="1" fillId="25" fontId="11" numFmtId="0" xfId="0" applyBorder="1" applyFont="1"/>
    <xf borderId="1" fillId="26" fontId="11" numFmtId="0" xfId="0" applyBorder="1" applyFill="1" applyFont="1"/>
    <xf borderId="12" fillId="0" fontId="11" numFmtId="0" xfId="0" applyAlignment="1" applyBorder="1" applyFont="1">
      <alignment readingOrder="0"/>
    </xf>
    <xf borderId="13" fillId="0" fontId="11" numFmtId="0" xfId="0" applyBorder="1" applyFont="1"/>
    <xf borderId="14" fillId="0" fontId="11" numFmtId="0" xfId="0" applyBorder="1" applyFont="1"/>
    <xf borderId="15" fillId="0" fontId="11" numFmtId="0" xfId="0" applyBorder="1" applyFont="1"/>
    <xf borderId="16" fillId="0" fontId="11" numFmtId="0" xfId="0" applyBorder="1" applyFont="1"/>
    <xf borderId="15" fillId="27" fontId="11" numFmtId="0" xfId="0" applyBorder="1" applyFill="1" applyFont="1"/>
    <xf borderId="1" fillId="0" fontId="10" numFmtId="10" xfId="0" applyAlignment="1" applyBorder="1" applyFont="1" applyNumberFormat="1">
      <alignment horizontal="center"/>
    </xf>
    <xf borderId="0" fillId="0" fontId="11" numFmtId="0" xfId="0" applyFont="1"/>
    <xf borderId="1" fillId="0" fontId="10" numFmtId="0" xfId="0" applyAlignment="1" applyBorder="1" applyFont="1">
      <alignment horizontal="center"/>
    </xf>
    <xf borderId="1" fillId="0" fontId="10" numFmtId="9" xfId="0" applyAlignment="1" applyBorder="1" applyFont="1" applyNumberFormat="1">
      <alignment horizontal="center"/>
    </xf>
    <xf borderId="0" fillId="0" fontId="10" numFmtId="10" xfId="0" applyFont="1" applyNumberFormat="1"/>
    <xf borderId="1" fillId="4" fontId="10" numFmtId="171" xfId="0" applyBorder="1" applyFont="1" applyNumberFormat="1"/>
    <xf borderId="1" fillId="28" fontId="14" numFmtId="17" xfId="0" applyAlignment="1" applyBorder="1" applyFill="1" applyFont="1" applyNumberFormat="1">
      <alignment horizontal="center" vertical="top"/>
    </xf>
    <xf borderId="1" fillId="28" fontId="14" numFmtId="10" xfId="0" applyAlignment="1" applyBorder="1" applyFont="1" applyNumberFormat="1">
      <alignment horizontal="center" vertical="top"/>
    </xf>
    <xf borderId="1" fillId="29" fontId="14" numFmtId="17" xfId="0" applyAlignment="1" applyBorder="1" applyFill="1" applyFont="1" applyNumberFormat="1">
      <alignment horizontal="center" vertical="top"/>
    </xf>
    <xf borderId="1" fillId="29" fontId="14" numFmtId="10" xfId="0" applyAlignment="1" applyBorder="1" applyFont="1" applyNumberFormat="1">
      <alignment horizontal="center" vertical="top"/>
    </xf>
    <xf borderId="1" fillId="8" fontId="5" numFmtId="0" xfId="0" applyAlignment="1" applyBorder="1" applyFont="1">
      <alignment horizontal="center"/>
    </xf>
    <xf borderId="2" fillId="30" fontId="10" numFmtId="0" xfId="0" applyBorder="1" applyFill="1" applyFont="1"/>
    <xf borderId="2" fillId="30" fontId="10" numFmtId="165" xfId="0" applyBorder="1" applyFont="1" applyNumberFormat="1"/>
    <xf borderId="17" fillId="31" fontId="15" numFmtId="0" xfId="0" applyAlignment="1" applyBorder="1" applyFill="1" applyFont="1">
      <alignment horizontal="center"/>
    </xf>
    <xf borderId="18" fillId="0" fontId="13" numFmtId="0" xfId="0" applyBorder="1" applyFont="1"/>
    <xf borderId="19" fillId="0" fontId="13" numFmtId="0" xfId="0" applyBorder="1" applyFont="1"/>
    <xf borderId="2" fillId="32" fontId="15" numFmtId="0" xfId="0" applyAlignment="1" applyBorder="1" applyFill="1" applyFont="1">
      <alignment horizontal="center"/>
    </xf>
    <xf borderId="2" fillId="32" fontId="10" numFmtId="0" xfId="0" applyBorder="1" applyFont="1"/>
    <xf borderId="20" fillId="31" fontId="16" numFmtId="0" xfId="0" applyAlignment="1" applyBorder="1" applyFont="1">
      <alignment horizontal="center"/>
    </xf>
    <xf borderId="21" fillId="31" fontId="16" numFmtId="0" xfId="0" applyAlignment="1" applyBorder="1" applyFont="1">
      <alignment horizontal="center"/>
    </xf>
    <xf borderId="22" fillId="31" fontId="16" numFmtId="0" xfId="0" applyAlignment="1" applyBorder="1" applyFont="1">
      <alignment horizontal="center"/>
    </xf>
    <xf borderId="1" fillId="33" fontId="16" numFmtId="0" xfId="0" applyAlignment="1" applyBorder="1" applyFill="1" applyFont="1">
      <alignment horizontal="center"/>
    </xf>
    <xf borderId="0" fillId="0" fontId="10" numFmtId="0" xfId="0" applyFont="1"/>
    <xf borderId="2" fillId="34" fontId="10" numFmtId="0" xfId="0" applyBorder="1" applyFill="1" applyFont="1"/>
    <xf borderId="0" fillId="0" fontId="10" numFmtId="164" xfId="0" applyAlignment="1" applyFont="1" applyNumberFormat="1">
      <alignment horizontal="right"/>
    </xf>
    <xf borderId="2" fillId="4" fontId="10" numFmtId="164" xfId="0" applyAlignment="1" applyBorder="1" applyFont="1" applyNumberFormat="1">
      <alignment horizontal="right"/>
    </xf>
    <xf borderId="1" fillId="20" fontId="16" numFmtId="165" xfId="0" applyAlignment="1" applyBorder="1" applyFont="1" applyNumberFormat="1">
      <alignment horizontal="right"/>
    </xf>
    <xf borderId="1" fillId="33" fontId="16" numFmtId="171" xfId="0" applyBorder="1" applyFont="1" applyNumberFormat="1"/>
    <xf borderId="2" fillId="4" fontId="10" numFmtId="165" xfId="0" applyAlignment="1" applyBorder="1" applyFont="1" applyNumberFormat="1">
      <alignment horizontal="right"/>
    </xf>
    <xf borderId="22" fillId="34" fontId="10" numFmtId="0" xfId="0" applyBorder="1" applyFont="1"/>
    <xf borderId="22" fillId="4" fontId="10" numFmtId="165" xfId="0" applyBorder="1" applyFont="1" applyNumberFormat="1"/>
    <xf borderId="22" fillId="4" fontId="10" numFmtId="165" xfId="0" applyAlignment="1" applyBorder="1" applyFont="1" applyNumberFormat="1">
      <alignment horizontal="right"/>
    </xf>
    <xf borderId="2" fillId="19" fontId="16" numFmtId="0" xfId="0" applyBorder="1" applyFont="1"/>
    <xf borderId="2" fillId="20" fontId="16" numFmtId="165" xfId="0" applyAlignment="1" applyBorder="1" applyFont="1" applyNumberFormat="1">
      <alignment horizontal="right"/>
    </xf>
    <xf borderId="3" fillId="0" fontId="10" numFmtId="0" xfId="0" applyBorder="1" applyFont="1"/>
    <xf borderId="3" fillId="0" fontId="10" numFmtId="172" xfId="0" applyAlignment="1" applyBorder="1" applyFont="1" applyNumberFormat="1">
      <alignment horizontal="right"/>
    </xf>
    <xf borderId="3" fillId="0" fontId="10" numFmtId="172" xfId="0" applyBorder="1" applyFont="1" applyNumberFormat="1"/>
    <xf borderId="1" fillId="0" fontId="10" numFmtId="172" xfId="0" applyBorder="1" applyFont="1" applyNumberFormat="1"/>
    <xf borderId="0" fillId="0" fontId="16" numFmtId="0" xfId="0" applyFont="1"/>
    <xf borderId="22" fillId="19" fontId="16" numFmtId="0" xfId="0" applyBorder="1" applyFont="1"/>
    <xf borderId="22" fillId="20" fontId="16" numFmtId="165" xfId="0" applyAlignment="1" applyBorder="1" applyFont="1" applyNumberFormat="1">
      <alignment horizontal="right"/>
    </xf>
    <xf borderId="1" fillId="0" fontId="10" numFmtId="171" xfId="0" applyBorder="1" applyFont="1" applyNumberFormat="1"/>
    <xf borderId="20" fillId="34" fontId="16" numFmtId="0" xfId="0" applyBorder="1" applyFont="1"/>
    <xf borderId="21" fillId="25" fontId="16" numFmtId="173" xfId="0" applyAlignment="1" applyBorder="1" applyFont="1" applyNumberFormat="1">
      <alignment horizontal="right"/>
    </xf>
    <xf borderId="22" fillId="25" fontId="16" numFmtId="173" xfId="0" applyAlignment="1" applyBorder="1" applyFont="1" applyNumberFormat="1">
      <alignment horizontal="right"/>
    </xf>
    <xf borderId="1" fillId="25" fontId="16" numFmtId="173" xfId="0" applyAlignment="1" applyBorder="1" applyFont="1" applyNumberFormat="1">
      <alignment horizontal="right"/>
    </xf>
    <xf borderId="1" fillId="31" fontId="16" numFmtId="171" xfId="0" applyBorder="1" applyFont="1" applyNumberFormat="1"/>
    <xf borderId="1" fillId="0" fontId="16" numFmtId="171" xfId="0" applyBorder="1" applyFont="1" applyNumberFormat="1"/>
    <xf borderId="2" fillId="34" fontId="16" numFmtId="0" xfId="0" applyBorder="1" applyFont="1"/>
    <xf borderId="0" fillId="0" fontId="16" numFmtId="174" xfId="0" applyAlignment="1" applyFont="1" applyNumberFormat="1">
      <alignment horizontal="right"/>
    </xf>
    <xf borderId="2" fillId="35" fontId="16" numFmtId="0" xfId="0" applyAlignment="1" applyBorder="1" applyFill="1" applyFont="1">
      <alignment shrinkToFit="0" wrapText="1"/>
    </xf>
    <xf borderId="0" fillId="0" fontId="16" numFmtId="173" xfId="0" applyFont="1" applyNumberFormat="1"/>
    <xf borderId="0" fillId="0" fontId="16" numFmtId="10" xfId="0" applyAlignment="1" applyFont="1" applyNumberFormat="1">
      <alignment horizontal="right"/>
    </xf>
    <xf borderId="22" fillId="4" fontId="10" numFmtId="9" xfId="0" applyAlignment="1" applyBorder="1" applyFont="1" applyNumberFormat="1">
      <alignment horizontal="right"/>
    </xf>
    <xf borderId="0" fillId="0" fontId="10" numFmtId="10" xfId="0" applyAlignment="1" applyFont="1" applyNumberFormat="1">
      <alignment horizontal="right"/>
    </xf>
    <xf borderId="23" fillId="0" fontId="10" numFmtId="0" xfId="0" applyBorder="1" applyFont="1"/>
    <xf borderId="21" fillId="36" fontId="16" numFmtId="0" xfId="0" applyAlignment="1" applyBorder="1" applyFill="1" applyFont="1">
      <alignment horizontal="center"/>
    </xf>
    <xf borderId="0" fillId="0" fontId="10" numFmtId="174" xfId="0" applyFont="1" applyNumberFormat="1"/>
    <xf borderId="21" fillId="4" fontId="10" numFmtId="164" xfId="0" applyBorder="1" applyFont="1" applyNumberFormat="1"/>
    <xf borderId="21" fillId="20" fontId="10" numFmtId="165" xfId="0" applyAlignment="1" applyBorder="1" applyFont="1" applyNumberFormat="1">
      <alignment horizontal="right"/>
    </xf>
    <xf borderId="2" fillId="35" fontId="16" numFmtId="0" xfId="0" applyBorder="1" applyFont="1"/>
    <xf borderId="2" fillId="20" fontId="10" numFmtId="9" xfId="0" applyBorder="1" applyFont="1" applyNumberFormat="1"/>
    <xf borderId="0" fillId="0" fontId="10" numFmtId="9" xfId="0" applyFont="1" applyNumberFormat="1"/>
    <xf borderId="2" fillId="37" fontId="10" numFmtId="0" xfId="0" applyBorder="1" applyFill="1" applyFont="1"/>
    <xf borderId="2" fillId="20" fontId="10" numFmtId="175" xfId="0" applyBorder="1" applyFont="1" applyNumberFormat="1"/>
    <xf borderId="1" fillId="10" fontId="10" numFmtId="0" xfId="0" applyAlignment="1" applyBorder="1" applyFont="1">
      <alignment shrinkToFit="0" vertical="center" wrapText="1"/>
    </xf>
    <xf borderId="1" fillId="10" fontId="10" numFmtId="0" xfId="0" applyAlignment="1" applyBorder="1" applyFont="1">
      <alignment horizontal="center" vertical="center"/>
    </xf>
    <xf borderId="1" fillId="4" fontId="10" numFmtId="9" xfId="0" applyBorder="1" applyFont="1" applyNumberFormat="1"/>
    <xf borderId="2" fillId="30" fontId="16" numFmtId="0" xfId="0" applyBorder="1" applyFont="1"/>
    <xf borderId="2" fillId="30" fontId="16" numFmtId="0" xfId="0" applyAlignment="1" applyBorder="1" applyFont="1">
      <alignment horizontal="center"/>
    </xf>
    <xf borderId="22" fillId="38" fontId="10" numFmtId="0" xfId="0" applyBorder="1" applyFill="1" applyFont="1"/>
    <xf borderId="24" fillId="38" fontId="10" numFmtId="165" xfId="0" applyBorder="1" applyFont="1" applyNumberFormat="1"/>
    <xf borderId="22" fillId="38" fontId="10" numFmtId="165" xfId="0" applyBorder="1" applyFont="1" applyNumberFormat="1"/>
    <xf borderId="2" fillId="38" fontId="10" numFmtId="165" xfId="0" applyBorder="1" applyFont="1" applyNumberFormat="1"/>
    <xf borderId="0" fillId="0" fontId="12" numFmtId="0" xfId="0" applyFont="1"/>
    <xf borderId="22" fillId="39" fontId="10" numFmtId="0" xfId="0" applyBorder="1" applyFill="1" applyFont="1"/>
    <xf borderId="24" fillId="39" fontId="10" numFmtId="165" xfId="0" applyBorder="1" applyFont="1" applyNumberFormat="1"/>
    <xf borderId="1" fillId="0" fontId="16" numFmtId="0" xfId="0" applyBorder="1" applyFont="1"/>
    <xf borderId="0" fillId="0" fontId="10" numFmtId="2" xfId="0" applyFont="1" applyNumberFormat="1"/>
    <xf borderId="25" fillId="0" fontId="10" numFmtId="0" xfId="0" applyBorder="1" applyFont="1"/>
    <xf borderId="2" fillId="4" fontId="16" numFmtId="0" xfId="0" applyBorder="1" applyFont="1"/>
    <xf borderId="0" fillId="0" fontId="11" numFmtId="10" xfId="0" applyAlignment="1" applyFont="1" applyNumberFormat="1">
      <alignment readingOrder="0"/>
    </xf>
    <xf borderId="22" fillId="39" fontId="16" numFmtId="0" xfId="0" applyBorder="1" applyFont="1"/>
    <xf borderId="1" fillId="39" fontId="16" numFmtId="0" xfId="0" applyAlignment="1" applyBorder="1" applyFont="1">
      <alignment horizontal="center"/>
    </xf>
    <xf borderId="1" fillId="39" fontId="10" numFmtId="168" xfId="0" applyAlignment="1" applyBorder="1" applyFont="1" applyNumberFormat="1">
      <alignment readingOrder="0"/>
    </xf>
    <xf borderId="1" fillId="39" fontId="10" numFmtId="168" xfId="0" applyBorder="1" applyFont="1" applyNumberFormat="1"/>
    <xf borderId="1" fillId="0" fontId="10" numFmtId="168" xfId="0" applyAlignment="1" applyBorder="1" applyFont="1" applyNumberFormat="1">
      <alignment readingOrder="0"/>
    </xf>
    <xf borderId="1" fillId="0" fontId="10" numFmtId="168" xfId="0" applyBorder="1" applyFont="1" applyNumberFormat="1"/>
    <xf borderId="0" fillId="0" fontId="11" numFmtId="0" xfId="0" applyAlignment="1" applyFont="1">
      <alignment readingOrder="0"/>
    </xf>
    <xf borderId="22" fillId="39" fontId="10" numFmtId="0" xfId="0" applyAlignment="1" applyBorder="1" applyFont="1">
      <alignment readingOrder="0"/>
    </xf>
    <xf borderId="22" fillId="0" fontId="16" numFmtId="0" xfId="0" applyBorder="1" applyFont="1"/>
    <xf borderId="22" fillId="40" fontId="17" numFmtId="0" xfId="0" applyBorder="1" applyFill="1" applyFont="1"/>
    <xf borderId="1" fillId="40" fontId="17" numFmtId="168" xfId="0" applyAlignment="1" applyBorder="1" applyFont="1" applyNumberFormat="1">
      <alignment readingOrder="0"/>
    </xf>
    <xf borderId="1" fillId="40" fontId="10" numFmtId="168" xfId="0" applyBorder="1" applyFont="1" applyNumberFormat="1"/>
    <xf borderId="22" fillId="40" fontId="16" numFmtId="0" xfId="0" applyBorder="1" applyFont="1"/>
    <xf borderId="1" fillId="40" fontId="16" numFmtId="168" xfId="0" applyAlignment="1" applyBorder="1" applyFont="1" applyNumberFormat="1">
      <alignment readingOrder="0"/>
    </xf>
    <xf borderId="1" fillId="39" fontId="16" numFmtId="168" xfId="0" applyBorder="1" applyFont="1" applyNumberFormat="1"/>
    <xf borderId="22" fillId="39" fontId="17" numFmtId="0" xfId="0" applyBorder="1" applyFont="1"/>
    <xf borderId="1" fillId="39" fontId="16" numFmtId="168" xfId="0" applyAlignment="1" applyBorder="1" applyFont="1" applyNumberFormat="1">
      <alignment readingOrder="0"/>
    </xf>
    <xf borderId="1" fillId="20" fontId="11" numFmtId="0" xfId="0" applyAlignment="1" applyBorder="1" applyFont="1">
      <alignment readingOrder="0"/>
    </xf>
    <xf borderId="1" fillId="0" fontId="11" numFmtId="10" xfId="0" applyBorder="1" applyFont="1" applyNumberFormat="1"/>
    <xf borderId="1" fillId="0" fontId="11" numFmtId="10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8.14"/>
    <col customWidth="1" min="2" max="2" width="24.43"/>
    <col customWidth="1" min="3" max="3" width="13.71"/>
    <col customWidth="1" min="4" max="4" width="14.71"/>
    <col customWidth="1" min="5" max="5" width="17.57"/>
    <col customWidth="1" min="6" max="26" width="11.43"/>
  </cols>
  <sheetData>
    <row r="1" ht="14.2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ht="14.25" customHeight="1">
      <c r="A2" s="3" t="s">
        <v>5</v>
      </c>
      <c r="B2" s="4"/>
      <c r="C2" s="4"/>
      <c r="D2" s="5"/>
      <c r="E2" s="6">
        <f>SUM(E3+E46+E75+E148)</f>
        <v>281490688</v>
      </c>
    </row>
    <row r="3" ht="14.25" customHeight="1">
      <c r="A3" s="7" t="s">
        <v>6</v>
      </c>
      <c r="B3" s="8"/>
      <c r="C3" s="8"/>
      <c r="D3" s="9"/>
      <c r="E3" s="9">
        <f>SUM(E4+E10+E16+E26+E35+E40)</f>
        <v>255395888</v>
      </c>
    </row>
    <row r="4" ht="14.25" customHeight="1">
      <c r="A4" s="10" t="s">
        <v>7</v>
      </c>
      <c r="B4" s="11"/>
      <c r="C4" s="11"/>
      <c r="D4" s="12"/>
      <c r="E4" s="12">
        <f>SUM(E5:E9)</f>
        <v>0</v>
      </c>
    </row>
    <row r="5" ht="14.25" hidden="1" customHeight="1">
      <c r="A5" s="13"/>
      <c r="B5" s="13"/>
      <c r="C5" s="13"/>
      <c r="D5" s="14"/>
      <c r="E5" s="15">
        <f t="shared" ref="E5:E9" si="1">C5*D5</f>
        <v>0</v>
      </c>
    </row>
    <row r="6" ht="14.25" hidden="1" customHeight="1">
      <c r="A6" s="13"/>
      <c r="B6" s="13"/>
      <c r="C6" s="13"/>
      <c r="D6" s="14"/>
      <c r="E6" s="15">
        <f t="shared" si="1"/>
        <v>0</v>
      </c>
    </row>
    <row r="7" ht="14.25" hidden="1" customHeight="1">
      <c r="A7" s="13"/>
      <c r="B7" s="13"/>
      <c r="C7" s="13"/>
      <c r="D7" s="14"/>
      <c r="E7" s="15">
        <f t="shared" si="1"/>
        <v>0</v>
      </c>
    </row>
    <row r="8" ht="14.25" hidden="1" customHeight="1">
      <c r="A8" s="13"/>
      <c r="B8" s="13"/>
      <c r="C8" s="13"/>
      <c r="D8" s="14"/>
      <c r="E8" s="15">
        <f t="shared" si="1"/>
        <v>0</v>
      </c>
    </row>
    <row r="9" ht="14.25" hidden="1" customHeight="1">
      <c r="A9" s="13"/>
      <c r="B9" s="13"/>
      <c r="C9" s="13"/>
      <c r="D9" s="14"/>
      <c r="E9" s="15">
        <f t="shared" si="1"/>
        <v>0</v>
      </c>
    </row>
    <row r="10" ht="14.25" customHeight="1">
      <c r="A10" s="10" t="s">
        <v>8</v>
      </c>
      <c r="B10" s="11"/>
      <c r="C10" s="11"/>
      <c r="D10" s="12"/>
      <c r="E10" s="12">
        <f>SUM(E12:E15)</f>
        <v>600000</v>
      </c>
    </row>
    <row r="11" ht="14.25" customHeight="1">
      <c r="A11" s="10"/>
      <c r="B11" s="11"/>
      <c r="C11" s="11"/>
      <c r="D11" s="12"/>
      <c r="E11" s="12"/>
    </row>
    <row r="12" ht="14.25" customHeight="1">
      <c r="A12" s="13" t="s">
        <v>9</v>
      </c>
      <c r="B12" s="13" t="s">
        <v>10</v>
      </c>
      <c r="C12" s="13">
        <v>1.0</v>
      </c>
      <c r="D12" s="14">
        <v>600000.0</v>
      </c>
      <c r="E12" s="15">
        <f>C12*D12</f>
        <v>600000</v>
      </c>
    </row>
    <row r="13" ht="14.25" hidden="1" customHeight="1">
      <c r="A13" s="13" t="s">
        <v>11</v>
      </c>
      <c r="B13" s="13"/>
      <c r="C13" s="13"/>
      <c r="D13" s="14"/>
      <c r="E13" s="15">
        <v>0.0</v>
      </c>
    </row>
    <row r="14" ht="14.25" hidden="1" customHeight="1">
      <c r="A14" s="13" t="s">
        <v>12</v>
      </c>
      <c r="B14" s="13"/>
      <c r="C14" s="13"/>
      <c r="D14" s="14"/>
      <c r="E14" s="15">
        <f t="shared" ref="E14:E15" si="2">C14*D14</f>
        <v>0</v>
      </c>
    </row>
    <row r="15" ht="14.25" hidden="1" customHeight="1">
      <c r="A15" s="13" t="s">
        <v>13</v>
      </c>
      <c r="B15" s="13"/>
      <c r="C15" s="13"/>
      <c r="D15" s="14"/>
      <c r="E15" s="15">
        <f t="shared" si="2"/>
        <v>0</v>
      </c>
    </row>
    <row r="16" ht="14.25" customHeight="1">
      <c r="A16" s="10" t="s">
        <v>14</v>
      </c>
      <c r="B16" s="11"/>
      <c r="C16" s="11"/>
      <c r="D16" s="12"/>
      <c r="E16" s="12">
        <f>SUM(E17:E25)</f>
        <v>3820000</v>
      </c>
    </row>
    <row r="17" ht="14.25" customHeight="1">
      <c r="A17" s="13" t="s">
        <v>15</v>
      </c>
      <c r="B17" s="13" t="s">
        <v>16</v>
      </c>
      <c r="C17" s="13">
        <v>1.0</v>
      </c>
      <c r="D17" s="14">
        <v>300000.0</v>
      </c>
      <c r="E17" s="15">
        <f t="shared" ref="E17:E25" si="3">C17*D17</f>
        <v>300000</v>
      </c>
    </row>
    <row r="18" ht="14.25" customHeight="1">
      <c r="A18" s="13" t="s">
        <v>17</v>
      </c>
      <c r="B18" s="13" t="s">
        <v>18</v>
      </c>
      <c r="C18" s="13">
        <v>1.0</v>
      </c>
      <c r="D18" s="14">
        <v>1300000.0</v>
      </c>
      <c r="E18" s="15">
        <f t="shared" si="3"/>
        <v>1300000</v>
      </c>
    </row>
    <row r="19" ht="14.25" customHeight="1">
      <c r="A19" s="13" t="s">
        <v>19</v>
      </c>
      <c r="B19" s="13" t="s">
        <v>16</v>
      </c>
      <c r="C19" s="13">
        <v>1.0</v>
      </c>
      <c r="D19" s="14">
        <v>650000.0</v>
      </c>
      <c r="E19" s="15">
        <f t="shared" si="3"/>
        <v>650000</v>
      </c>
    </row>
    <row r="20" ht="14.25" customHeight="1">
      <c r="A20" s="13" t="s">
        <v>20</v>
      </c>
      <c r="B20" s="13" t="s">
        <v>16</v>
      </c>
      <c r="C20" s="13">
        <v>1.0</v>
      </c>
      <c r="D20" s="14">
        <v>1400000.0</v>
      </c>
      <c r="E20" s="15">
        <f t="shared" si="3"/>
        <v>1400000</v>
      </c>
    </row>
    <row r="21" ht="14.25" hidden="1" customHeight="1">
      <c r="A21" s="13" t="s">
        <v>21</v>
      </c>
      <c r="B21" s="13"/>
      <c r="C21" s="13"/>
      <c r="D21" s="14">
        <v>0.0</v>
      </c>
      <c r="E21" s="15">
        <f t="shared" si="3"/>
        <v>0</v>
      </c>
    </row>
    <row r="22" ht="14.25" hidden="1" customHeight="1">
      <c r="A22" s="13" t="s">
        <v>22</v>
      </c>
      <c r="B22" s="13"/>
      <c r="C22" s="13"/>
      <c r="D22" s="14"/>
      <c r="E22" s="15">
        <f t="shared" si="3"/>
        <v>0</v>
      </c>
    </row>
    <row r="23" ht="14.25" hidden="1" customHeight="1">
      <c r="A23" s="13" t="s">
        <v>23</v>
      </c>
      <c r="B23" s="13" t="s">
        <v>24</v>
      </c>
      <c r="C23" s="13">
        <v>1.0</v>
      </c>
      <c r="D23" s="14">
        <v>170000.0</v>
      </c>
      <c r="E23" s="15">
        <f t="shared" si="3"/>
        <v>170000</v>
      </c>
    </row>
    <row r="24" ht="14.25" hidden="1" customHeight="1">
      <c r="A24" s="13" t="s">
        <v>25</v>
      </c>
      <c r="B24" s="13"/>
      <c r="C24" s="13"/>
      <c r="D24" s="14"/>
      <c r="E24" s="15">
        <f t="shared" si="3"/>
        <v>0</v>
      </c>
    </row>
    <row r="25" ht="14.25" hidden="1" customHeight="1">
      <c r="A25" s="13" t="s">
        <v>26</v>
      </c>
      <c r="B25" s="13"/>
      <c r="C25" s="13"/>
      <c r="D25" s="14"/>
      <c r="E25" s="15">
        <f t="shared" si="3"/>
        <v>0</v>
      </c>
    </row>
    <row r="26" ht="14.25" customHeight="1">
      <c r="A26" s="10" t="s">
        <v>27</v>
      </c>
      <c r="B26" s="11"/>
      <c r="C26" s="11"/>
      <c r="D26" s="12"/>
      <c r="E26" s="12">
        <f>SUM(E27:E34)</f>
        <v>830000</v>
      </c>
    </row>
    <row r="27" ht="14.25" customHeight="1">
      <c r="A27" s="13" t="s">
        <v>28</v>
      </c>
      <c r="B27" s="13" t="s">
        <v>16</v>
      </c>
      <c r="C27" s="13">
        <v>1.0</v>
      </c>
      <c r="D27" s="14">
        <v>80000.0</v>
      </c>
      <c r="E27" s="15">
        <f t="shared" ref="E27:E34" si="4">C27*D27</f>
        <v>80000</v>
      </c>
    </row>
    <row r="28" ht="14.25" customHeight="1">
      <c r="A28" s="13" t="s">
        <v>29</v>
      </c>
      <c r="B28" s="13" t="s">
        <v>18</v>
      </c>
      <c r="C28" s="13">
        <v>1.0</v>
      </c>
      <c r="D28" s="14">
        <v>300000.0</v>
      </c>
      <c r="E28" s="15">
        <f t="shared" si="4"/>
        <v>300000</v>
      </c>
    </row>
    <row r="29" ht="14.25" customHeight="1">
      <c r="A29" s="13" t="s">
        <v>30</v>
      </c>
      <c r="B29" s="13" t="s">
        <v>18</v>
      </c>
      <c r="C29" s="13">
        <v>1.0</v>
      </c>
      <c r="D29" s="14">
        <v>370000.0</v>
      </c>
      <c r="E29" s="15">
        <f t="shared" si="4"/>
        <v>370000</v>
      </c>
    </row>
    <row r="30" ht="14.25" hidden="1" customHeight="1">
      <c r="A30" s="13" t="s">
        <v>31</v>
      </c>
      <c r="B30" s="13" t="s">
        <v>16</v>
      </c>
      <c r="C30" s="13">
        <v>1.0</v>
      </c>
      <c r="D30" s="14">
        <v>80000.0</v>
      </c>
      <c r="E30" s="15">
        <f t="shared" si="4"/>
        <v>80000</v>
      </c>
    </row>
    <row r="31" ht="14.25" hidden="1" customHeight="1">
      <c r="A31" s="13" t="s">
        <v>32</v>
      </c>
      <c r="B31" s="13"/>
      <c r="C31" s="13"/>
      <c r="D31" s="14"/>
      <c r="E31" s="15">
        <f t="shared" si="4"/>
        <v>0</v>
      </c>
    </row>
    <row r="32" ht="14.25" hidden="1" customHeight="1">
      <c r="A32" s="13" t="s">
        <v>33</v>
      </c>
      <c r="B32" s="13"/>
      <c r="C32" s="13"/>
      <c r="D32" s="14"/>
      <c r="E32" s="15">
        <f t="shared" si="4"/>
        <v>0</v>
      </c>
    </row>
    <row r="33" ht="14.25" hidden="1" customHeight="1">
      <c r="A33" s="13" t="s">
        <v>34</v>
      </c>
      <c r="B33" s="13"/>
      <c r="C33" s="13"/>
      <c r="D33" s="14"/>
      <c r="E33" s="15">
        <f t="shared" si="4"/>
        <v>0</v>
      </c>
    </row>
    <row r="34" ht="14.25" hidden="1" customHeight="1">
      <c r="A34" s="13" t="s">
        <v>35</v>
      </c>
      <c r="B34" s="13"/>
      <c r="C34" s="13"/>
      <c r="D34" s="14"/>
      <c r="E34" s="15">
        <f t="shared" si="4"/>
        <v>0</v>
      </c>
    </row>
    <row r="35" ht="14.25" customHeight="1">
      <c r="A35" s="10" t="s">
        <v>36</v>
      </c>
      <c r="B35" s="11"/>
      <c r="C35" s="11"/>
      <c r="D35" s="12"/>
      <c r="E35" s="12">
        <f>SUM(E36:E39)</f>
        <v>145888</v>
      </c>
    </row>
    <row r="36" ht="14.25" customHeight="1">
      <c r="A36" s="13" t="s">
        <v>37</v>
      </c>
      <c r="B36" s="13" t="s">
        <v>16</v>
      </c>
      <c r="C36" s="13">
        <v>5.0</v>
      </c>
      <c r="D36" s="14">
        <v>6000.0</v>
      </c>
      <c r="E36" s="15">
        <f t="shared" ref="E36:E39" si="5">C36*D36</f>
        <v>30000</v>
      </c>
    </row>
    <row r="37" ht="14.25" customHeight="1">
      <c r="A37" s="13" t="s">
        <v>38</v>
      </c>
      <c r="B37" s="13" t="s">
        <v>16</v>
      </c>
      <c r="C37" s="13">
        <v>36.0</v>
      </c>
      <c r="D37" s="14">
        <v>358.0</v>
      </c>
      <c r="E37" s="15">
        <f t="shared" si="5"/>
        <v>12888</v>
      </c>
    </row>
    <row r="38" ht="14.25" customHeight="1">
      <c r="A38" s="13" t="s">
        <v>39</v>
      </c>
      <c r="B38" s="13" t="s">
        <v>16</v>
      </c>
      <c r="C38" s="13">
        <v>5.0</v>
      </c>
      <c r="D38" s="14">
        <v>600.0</v>
      </c>
      <c r="E38" s="15">
        <f t="shared" si="5"/>
        <v>3000</v>
      </c>
    </row>
    <row r="39" ht="14.25" customHeight="1">
      <c r="A39" s="13" t="s">
        <v>40</v>
      </c>
      <c r="B39" s="13" t="s">
        <v>24</v>
      </c>
      <c r="C39" s="13">
        <v>10.0</v>
      </c>
      <c r="D39" s="14">
        <v>10000.0</v>
      </c>
      <c r="E39" s="15">
        <f t="shared" si="5"/>
        <v>100000</v>
      </c>
    </row>
    <row r="40" ht="14.25" customHeight="1">
      <c r="A40" s="10" t="s">
        <v>41</v>
      </c>
      <c r="B40" s="11"/>
      <c r="C40" s="11"/>
      <c r="D40" s="12"/>
      <c r="E40" s="12">
        <f>SUM(E41:E45)</f>
        <v>250000000</v>
      </c>
    </row>
    <row r="41" ht="14.25" customHeight="1">
      <c r="A41" s="13" t="s">
        <v>42</v>
      </c>
      <c r="B41" s="13" t="s">
        <v>16</v>
      </c>
      <c r="C41" s="13">
        <v>1.0</v>
      </c>
      <c r="D41" s="16">
        <v>1.9E8</v>
      </c>
      <c r="E41" s="15">
        <f t="shared" ref="E41:E45" si="6">C41*D41</f>
        <v>190000000</v>
      </c>
    </row>
    <row r="42" ht="14.25" customHeight="1">
      <c r="A42" s="13" t="s">
        <v>43</v>
      </c>
      <c r="B42" s="13" t="s">
        <v>16</v>
      </c>
      <c r="C42" s="13">
        <v>1.0</v>
      </c>
      <c r="D42" s="14">
        <v>6.0E7</v>
      </c>
      <c r="E42" s="15">
        <f t="shared" si="6"/>
        <v>60000000</v>
      </c>
    </row>
    <row r="43" ht="14.25" hidden="1" customHeight="1">
      <c r="A43" s="13"/>
      <c r="B43" s="13"/>
      <c r="C43" s="13"/>
      <c r="D43" s="14"/>
      <c r="E43" s="15">
        <f t="shared" si="6"/>
        <v>0</v>
      </c>
    </row>
    <row r="44" ht="14.25" hidden="1" customHeight="1">
      <c r="A44" s="13"/>
      <c r="B44" s="13"/>
      <c r="C44" s="13"/>
      <c r="D44" s="14"/>
      <c r="E44" s="15">
        <f t="shared" si="6"/>
        <v>0</v>
      </c>
    </row>
    <row r="45" ht="14.25" hidden="1" customHeight="1">
      <c r="A45" s="13"/>
      <c r="B45" s="13"/>
      <c r="C45" s="13"/>
      <c r="D45" s="14"/>
      <c r="E45" s="15">
        <f t="shared" si="6"/>
        <v>0</v>
      </c>
    </row>
    <row r="46" ht="14.25" customHeight="1">
      <c r="A46" s="17" t="s">
        <v>44</v>
      </c>
      <c r="B46" s="18"/>
      <c r="C46" s="18"/>
      <c r="D46" s="19"/>
      <c r="E46" s="19">
        <f>SUM(E47+E59+E67)</f>
        <v>6628000</v>
      </c>
    </row>
    <row r="47" ht="14.25" customHeight="1">
      <c r="A47" s="20" t="s">
        <v>45</v>
      </c>
      <c r="B47" s="21"/>
      <c r="C47" s="21"/>
      <c r="D47" s="22"/>
      <c r="E47" s="22">
        <f>SUM(E48:E58)</f>
        <v>1120000</v>
      </c>
    </row>
    <row r="48" ht="14.25" customHeight="1">
      <c r="A48" s="13" t="s">
        <v>46</v>
      </c>
      <c r="B48" s="13" t="s">
        <v>47</v>
      </c>
      <c r="C48" s="13">
        <v>1.0</v>
      </c>
      <c r="D48" s="14">
        <v>500000.0</v>
      </c>
      <c r="E48" s="15">
        <f t="shared" ref="E48:E58" si="7">C48*D48</f>
        <v>500000</v>
      </c>
    </row>
    <row r="49" ht="14.25" hidden="1" customHeight="1">
      <c r="A49" s="13" t="s">
        <v>48</v>
      </c>
      <c r="B49" s="13"/>
      <c r="C49" s="13"/>
      <c r="D49" s="14"/>
      <c r="E49" s="15">
        <f t="shared" si="7"/>
        <v>0</v>
      </c>
    </row>
    <row r="50" ht="14.25" hidden="1" customHeight="1">
      <c r="A50" s="13" t="s">
        <v>49</v>
      </c>
      <c r="B50" s="13"/>
      <c r="C50" s="13"/>
      <c r="D50" s="14"/>
      <c r="E50" s="15">
        <f t="shared" si="7"/>
        <v>0</v>
      </c>
    </row>
    <row r="51" ht="14.25" hidden="1" customHeight="1">
      <c r="A51" s="13" t="s">
        <v>50</v>
      </c>
      <c r="B51" s="13"/>
      <c r="C51" s="13"/>
      <c r="D51" s="14"/>
      <c r="E51" s="15">
        <f t="shared" si="7"/>
        <v>0</v>
      </c>
    </row>
    <row r="52" ht="14.25" hidden="1" customHeight="1">
      <c r="A52" s="13" t="s">
        <v>51</v>
      </c>
      <c r="B52" s="13"/>
      <c r="C52" s="13"/>
      <c r="D52" s="23"/>
      <c r="E52" s="15">
        <f t="shared" si="7"/>
        <v>0</v>
      </c>
    </row>
    <row r="53" ht="14.25" customHeight="1">
      <c r="A53" s="13" t="s">
        <v>52</v>
      </c>
      <c r="B53" s="13" t="s">
        <v>53</v>
      </c>
      <c r="C53" s="13">
        <v>1.0</v>
      </c>
      <c r="D53" s="23">
        <v>500000.0</v>
      </c>
      <c r="E53" s="15">
        <f t="shared" si="7"/>
        <v>500000</v>
      </c>
    </row>
    <row r="54" ht="14.25" customHeight="1">
      <c r="A54" s="13" t="s">
        <v>54</v>
      </c>
      <c r="B54" s="13" t="s">
        <v>53</v>
      </c>
      <c r="C54" s="13">
        <v>1.0</v>
      </c>
      <c r="D54" s="14">
        <v>120000.0</v>
      </c>
      <c r="E54" s="15">
        <f t="shared" si="7"/>
        <v>120000</v>
      </c>
    </row>
    <row r="55" ht="14.25" hidden="1" customHeight="1">
      <c r="A55" s="13" t="s">
        <v>55</v>
      </c>
      <c r="B55" s="13"/>
      <c r="C55" s="13"/>
      <c r="D55" s="14"/>
      <c r="E55" s="15">
        <f t="shared" si="7"/>
        <v>0</v>
      </c>
    </row>
    <row r="56" ht="14.25" hidden="1" customHeight="1">
      <c r="A56" s="13" t="s">
        <v>56</v>
      </c>
      <c r="B56" s="13"/>
      <c r="C56" s="13"/>
      <c r="D56" s="23"/>
      <c r="E56" s="15">
        <f t="shared" si="7"/>
        <v>0</v>
      </c>
    </row>
    <row r="57" ht="14.25" hidden="1" customHeight="1">
      <c r="A57" s="13" t="s">
        <v>57</v>
      </c>
      <c r="B57" s="13"/>
      <c r="C57" s="13"/>
      <c r="D57" s="14"/>
      <c r="E57" s="15">
        <f t="shared" si="7"/>
        <v>0</v>
      </c>
    </row>
    <row r="58" ht="14.25" hidden="1" customHeight="1">
      <c r="A58" s="13" t="s">
        <v>58</v>
      </c>
      <c r="B58" s="24"/>
      <c r="C58" s="24"/>
      <c r="D58" s="23"/>
      <c r="E58" s="15">
        <f t="shared" si="7"/>
        <v>0</v>
      </c>
    </row>
    <row r="59" ht="14.25" customHeight="1">
      <c r="A59" s="20" t="s">
        <v>59</v>
      </c>
      <c r="B59" s="21"/>
      <c r="C59" s="21"/>
      <c r="D59" s="22"/>
      <c r="E59" s="22">
        <f>SUM(E60:E66)</f>
        <v>2758000</v>
      </c>
    </row>
    <row r="60" ht="14.25" customHeight="1">
      <c r="A60" s="13" t="s">
        <v>60</v>
      </c>
      <c r="B60" s="13" t="s">
        <v>61</v>
      </c>
      <c r="C60" s="13">
        <v>1.0</v>
      </c>
      <c r="D60" s="14">
        <v>34000.0</v>
      </c>
      <c r="E60" s="15">
        <f t="shared" ref="E60:E66" si="8">C60*D60</f>
        <v>34000</v>
      </c>
    </row>
    <row r="61" ht="14.25" customHeight="1">
      <c r="A61" s="13" t="s">
        <v>62</v>
      </c>
      <c r="B61" s="13" t="s">
        <v>63</v>
      </c>
      <c r="C61" s="13">
        <v>1.0</v>
      </c>
      <c r="D61" s="14">
        <v>450000.0</v>
      </c>
      <c r="E61" s="15">
        <f t="shared" si="8"/>
        <v>450000</v>
      </c>
    </row>
    <row r="62" ht="14.25" customHeight="1">
      <c r="A62" s="13" t="s">
        <v>64</v>
      </c>
      <c r="B62" s="24" t="s">
        <v>61</v>
      </c>
      <c r="C62" s="24">
        <v>1.0</v>
      </c>
      <c r="D62" s="23">
        <v>1300000.0</v>
      </c>
      <c r="E62" s="15">
        <f t="shared" si="8"/>
        <v>1300000</v>
      </c>
    </row>
    <row r="63" ht="14.25" customHeight="1">
      <c r="A63" s="13" t="s">
        <v>50</v>
      </c>
      <c r="B63" s="13" t="s">
        <v>65</v>
      </c>
      <c r="C63" s="13">
        <v>1.0</v>
      </c>
      <c r="D63" s="14">
        <v>6000.0</v>
      </c>
      <c r="E63" s="15">
        <f t="shared" si="8"/>
        <v>6000</v>
      </c>
    </row>
    <row r="64" ht="14.25" customHeight="1">
      <c r="A64" s="13" t="s">
        <v>66</v>
      </c>
      <c r="B64" s="13" t="s">
        <v>67</v>
      </c>
      <c r="C64" s="13">
        <v>1.0</v>
      </c>
      <c r="D64" s="14">
        <v>420000.0</v>
      </c>
      <c r="E64" s="15">
        <f t="shared" si="8"/>
        <v>420000</v>
      </c>
    </row>
    <row r="65" ht="14.25" customHeight="1">
      <c r="A65" s="13" t="s">
        <v>68</v>
      </c>
      <c r="B65" s="13" t="s">
        <v>69</v>
      </c>
      <c r="C65" s="13">
        <v>1.0</v>
      </c>
      <c r="D65" s="14">
        <v>528000.0</v>
      </c>
      <c r="E65" s="15">
        <f t="shared" si="8"/>
        <v>528000</v>
      </c>
    </row>
    <row r="66" ht="14.25" customHeight="1">
      <c r="A66" s="13" t="s">
        <v>70</v>
      </c>
      <c r="B66" s="13" t="s">
        <v>71</v>
      </c>
      <c r="C66" s="13">
        <v>10.0</v>
      </c>
      <c r="D66" s="14">
        <v>2000.0</v>
      </c>
      <c r="E66" s="15">
        <f t="shared" si="8"/>
        <v>20000</v>
      </c>
    </row>
    <row r="67" ht="14.25" customHeight="1">
      <c r="A67" s="25" t="s">
        <v>72</v>
      </c>
      <c r="B67" s="26"/>
      <c r="C67" s="26"/>
      <c r="D67" s="27"/>
      <c r="E67" s="27">
        <f>SUM(E68:E74)</f>
        <v>2750000</v>
      </c>
    </row>
    <row r="68" ht="14.25" customHeight="1">
      <c r="A68" s="13" t="s">
        <v>73</v>
      </c>
      <c r="B68" s="13" t="s">
        <v>74</v>
      </c>
      <c r="C68" s="13">
        <v>1.0</v>
      </c>
      <c r="D68" s="14">
        <v>250000.0</v>
      </c>
      <c r="E68" s="15">
        <f t="shared" ref="E68:E74" si="9">C68*D68</f>
        <v>250000</v>
      </c>
    </row>
    <row r="69" ht="14.25" hidden="1" customHeight="1">
      <c r="A69" s="13" t="s">
        <v>75</v>
      </c>
      <c r="B69" s="24"/>
      <c r="C69" s="24"/>
      <c r="D69" s="23"/>
      <c r="E69" s="15">
        <f t="shared" si="9"/>
        <v>0</v>
      </c>
    </row>
    <row r="70" ht="14.25" hidden="1" customHeight="1">
      <c r="A70" s="13" t="s">
        <v>76</v>
      </c>
      <c r="B70" s="13"/>
      <c r="C70" s="13"/>
      <c r="D70" s="14"/>
      <c r="E70" s="15">
        <f t="shared" si="9"/>
        <v>0</v>
      </c>
    </row>
    <row r="71" ht="14.25" customHeight="1">
      <c r="A71" s="13" t="s">
        <v>77</v>
      </c>
      <c r="B71" s="13" t="s">
        <v>78</v>
      </c>
      <c r="C71" s="13">
        <v>1.0</v>
      </c>
      <c r="D71" s="14">
        <v>2500000.0</v>
      </c>
      <c r="E71" s="15">
        <f t="shared" si="9"/>
        <v>2500000</v>
      </c>
    </row>
    <row r="72" ht="14.25" hidden="1" customHeight="1">
      <c r="A72" s="13" t="s">
        <v>79</v>
      </c>
      <c r="B72" s="13"/>
      <c r="C72" s="13"/>
      <c r="D72" s="14"/>
      <c r="E72" s="15">
        <f t="shared" si="9"/>
        <v>0</v>
      </c>
    </row>
    <row r="73" ht="14.25" customHeight="1">
      <c r="A73" s="13" t="s">
        <v>80</v>
      </c>
      <c r="B73" s="13" t="s">
        <v>81</v>
      </c>
      <c r="C73" s="13"/>
      <c r="D73" s="14"/>
      <c r="E73" s="15">
        <f t="shared" si="9"/>
        <v>0</v>
      </c>
    </row>
    <row r="74" ht="14.25" hidden="1" customHeight="1">
      <c r="A74" s="13" t="s">
        <v>82</v>
      </c>
      <c r="B74" s="13"/>
      <c r="C74" s="13"/>
      <c r="D74" s="14"/>
      <c r="E74" s="15">
        <f t="shared" si="9"/>
        <v>0</v>
      </c>
    </row>
    <row r="75" ht="14.25" customHeight="1">
      <c r="A75" s="28" t="s">
        <v>83</v>
      </c>
      <c r="B75" s="29"/>
      <c r="C75" s="29"/>
      <c r="D75" s="30"/>
      <c r="E75" s="30">
        <f>SUM(E77+E84+E93+E101+E112+E122)</f>
        <v>19466800</v>
      </c>
    </row>
    <row r="76" ht="14.25" hidden="1" customHeight="1">
      <c r="A76" s="31" t="s">
        <v>84</v>
      </c>
      <c r="B76" s="32"/>
      <c r="C76" s="32"/>
      <c r="D76" s="33"/>
      <c r="E76" s="33"/>
    </row>
    <row r="77" ht="14.25" customHeight="1">
      <c r="A77" s="34" t="s">
        <v>85</v>
      </c>
      <c r="B77" s="32"/>
      <c r="C77" s="32"/>
      <c r="D77" s="33"/>
      <c r="E77" s="33">
        <f>SUM(E78:E83)</f>
        <v>0</v>
      </c>
    </row>
    <row r="78" ht="14.25" hidden="1" customHeight="1">
      <c r="A78" s="13"/>
      <c r="B78" s="13"/>
      <c r="C78" s="13"/>
      <c r="D78" s="14"/>
      <c r="E78" s="15">
        <f t="shared" ref="E78:E83" si="10">C78*D78</f>
        <v>0</v>
      </c>
    </row>
    <row r="79" ht="14.25" hidden="1" customHeight="1">
      <c r="A79" s="13"/>
      <c r="B79" s="24"/>
      <c r="C79" s="24"/>
      <c r="D79" s="23"/>
      <c r="E79" s="15">
        <f t="shared" si="10"/>
        <v>0</v>
      </c>
    </row>
    <row r="80" ht="14.25" hidden="1" customHeight="1">
      <c r="A80" s="13"/>
      <c r="B80" s="24"/>
      <c r="C80" s="24"/>
      <c r="D80" s="23"/>
      <c r="E80" s="15">
        <f t="shared" si="10"/>
        <v>0</v>
      </c>
    </row>
    <row r="81" ht="14.25" hidden="1" customHeight="1">
      <c r="A81" s="13"/>
      <c r="B81" s="13"/>
      <c r="C81" s="13"/>
      <c r="D81" s="14"/>
      <c r="E81" s="15">
        <f t="shared" si="10"/>
        <v>0</v>
      </c>
    </row>
    <row r="82" ht="14.25" hidden="1" customHeight="1">
      <c r="A82" s="13"/>
      <c r="B82" s="13"/>
      <c r="C82" s="13"/>
      <c r="D82" s="14"/>
      <c r="E82" s="15">
        <f t="shared" si="10"/>
        <v>0</v>
      </c>
    </row>
    <row r="83" ht="14.25" hidden="1" customHeight="1">
      <c r="A83" s="13"/>
      <c r="B83" s="13"/>
      <c r="C83" s="13"/>
      <c r="D83" s="14"/>
      <c r="E83" s="15">
        <f t="shared" si="10"/>
        <v>0</v>
      </c>
    </row>
    <row r="84" ht="14.25" customHeight="1">
      <c r="A84" s="34" t="s">
        <v>86</v>
      </c>
      <c r="B84" s="32"/>
      <c r="C84" s="32"/>
      <c r="D84" s="33"/>
      <c r="E84" s="33">
        <f>SUM(E87:E91)</f>
        <v>1576800</v>
      </c>
    </row>
    <row r="85" ht="14.25" customHeight="1">
      <c r="A85" s="24" t="s">
        <v>87</v>
      </c>
      <c r="B85" s="24" t="s">
        <v>16</v>
      </c>
      <c r="C85" s="24">
        <v>1.0</v>
      </c>
      <c r="D85" s="23">
        <v>100000.0</v>
      </c>
      <c r="E85" s="23">
        <f t="shared" ref="E85:E91" si="11">C85*D85</f>
        <v>100000</v>
      </c>
    </row>
    <row r="86" ht="14.25" customHeight="1">
      <c r="A86" s="13" t="s">
        <v>88</v>
      </c>
      <c r="B86" s="13"/>
      <c r="C86" s="13"/>
      <c r="D86" s="14"/>
      <c r="E86" s="15">
        <f t="shared" si="11"/>
        <v>0</v>
      </c>
    </row>
    <row r="87" ht="14.25" customHeight="1">
      <c r="A87" s="13" t="s">
        <v>89</v>
      </c>
      <c r="B87" s="13"/>
      <c r="C87" s="13"/>
      <c r="D87" s="14"/>
      <c r="E87" s="15">
        <f t="shared" si="11"/>
        <v>0</v>
      </c>
    </row>
    <row r="88" ht="14.25" customHeight="1">
      <c r="A88" s="13" t="s">
        <v>90</v>
      </c>
      <c r="B88" s="13"/>
      <c r="C88" s="13">
        <v>48.0</v>
      </c>
      <c r="D88" s="14">
        <v>25000.0</v>
      </c>
      <c r="E88" s="15">
        <f t="shared" si="11"/>
        <v>1200000</v>
      </c>
    </row>
    <row r="89" ht="14.25" customHeight="1">
      <c r="A89" s="13" t="s">
        <v>91</v>
      </c>
      <c r="B89" s="13"/>
      <c r="C89" s="13">
        <v>1.0</v>
      </c>
      <c r="D89" s="14">
        <v>340000.0</v>
      </c>
      <c r="E89" s="15">
        <f t="shared" si="11"/>
        <v>340000</v>
      </c>
    </row>
    <row r="90" ht="14.25" customHeight="1">
      <c r="A90" s="13" t="s">
        <v>92</v>
      </c>
      <c r="B90" s="13"/>
      <c r="C90" s="13">
        <v>4.0</v>
      </c>
      <c r="D90" s="14">
        <v>9200.0</v>
      </c>
      <c r="E90" s="15">
        <f t="shared" si="11"/>
        <v>36800</v>
      </c>
    </row>
    <row r="91" ht="14.25" hidden="1" customHeight="1">
      <c r="A91" s="13"/>
      <c r="B91" s="13"/>
      <c r="C91" s="13"/>
      <c r="D91" s="14"/>
      <c r="E91" s="15">
        <f t="shared" si="11"/>
        <v>0</v>
      </c>
    </row>
    <row r="92" ht="14.25" customHeight="1">
      <c r="A92" s="31" t="s">
        <v>93</v>
      </c>
      <c r="B92" s="32"/>
      <c r="C92" s="32"/>
      <c r="D92" s="33"/>
      <c r="E92" s="33"/>
    </row>
    <row r="93" ht="14.25" customHeight="1">
      <c r="A93" s="34" t="s">
        <v>94</v>
      </c>
      <c r="B93" s="32"/>
      <c r="C93" s="32"/>
      <c r="D93" s="33"/>
      <c r="E93" s="33">
        <f>SUM(E94:E100)</f>
        <v>1400000</v>
      </c>
    </row>
    <row r="94" ht="14.25" hidden="1" customHeight="1">
      <c r="A94" s="13"/>
      <c r="B94" s="13"/>
      <c r="C94" s="13"/>
      <c r="D94" s="14"/>
      <c r="E94" s="15">
        <f t="shared" ref="E94:E100" si="12">C94*D94</f>
        <v>0</v>
      </c>
    </row>
    <row r="95" ht="14.25" customHeight="1">
      <c r="A95" s="13" t="s">
        <v>95</v>
      </c>
      <c r="B95" s="13" t="s">
        <v>71</v>
      </c>
      <c r="C95" s="13">
        <v>1.0</v>
      </c>
      <c r="D95" s="14">
        <v>1400000.0</v>
      </c>
      <c r="E95" s="15">
        <f t="shared" si="12"/>
        <v>1400000</v>
      </c>
    </row>
    <row r="96" ht="14.25" hidden="1" customHeight="1">
      <c r="A96" s="13"/>
      <c r="B96" s="13"/>
      <c r="C96" s="13"/>
      <c r="D96" s="14"/>
      <c r="E96" s="15">
        <f t="shared" si="12"/>
        <v>0</v>
      </c>
    </row>
    <row r="97" ht="14.25" hidden="1" customHeight="1">
      <c r="A97" s="13"/>
      <c r="B97" s="13"/>
      <c r="C97" s="13"/>
      <c r="D97" s="14"/>
      <c r="E97" s="15">
        <f t="shared" si="12"/>
        <v>0</v>
      </c>
    </row>
    <row r="98" ht="14.25" hidden="1" customHeight="1">
      <c r="A98" s="13"/>
      <c r="B98" s="13"/>
      <c r="C98" s="13"/>
      <c r="D98" s="14"/>
      <c r="E98" s="15">
        <f t="shared" si="12"/>
        <v>0</v>
      </c>
    </row>
    <row r="99" ht="14.25" hidden="1" customHeight="1">
      <c r="A99" s="13"/>
      <c r="B99" s="13"/>
      <c r="C99" s="13"/>
      <c r="D99" s="14"/>
      <c r="E99" s="15">
        <f t="shared" si="12"/>
        <v>0</v>
      </c>
    </row>
    <row r="100" ht="14.25" hidden="1" customHeight="1">
      <c r="A100" s="13"/>
      <c r="B100" s="13"/>
      <c r="C100" s="13"/>
      <c r="D100" s="14"/>
      <c r="E100" s="15">
        <f t="shared" si="12"/>
        <v>0</v>
      </c>
    </row>
    <row r="101" ht="14.25" customHeight="1">
      <c r="A101" s="34" t="s">
        <v>96</v>
      </c>
      <c r="B101" s="32"/>
      <c r="C101" s="32"/>
      <c r="D101" s="33"/>
      <c r="E101" s="33">
        <f>SUM(E102:E110)</f>
        <v>3400000</v>
      </c>
    </row>
    <row r="102" ht="14.25" customHeight="1">
      <c r="A102" s="13" t="s">
        <v>97</v>
      </c>
      <c r="B102" s="13" t="s">
        <v>98</v>
      </c>
      <c r="C102" s="13">
        <v>1.0</v>
      </c>
      <c r="D102" s="14">
        <v>2200000.0</v>
      </c>
      <c r="E102" s="15">
        <f t="shared" ref="E102:E111" si="13">C102*D102</f>
        <v>2200000</v>
      </c>
    </row>
    <row r="103" ht="14.25" hidden="1" customHeight="1">
      <c r="A103" s="13" t="s">
        <v>99</v>
      </c>
      <c r="B103" s="13"/>
      <c r="C103" s="13"/>
      <c r="D103" s="14"/>
      <c r="E103" s="15">
        <f t="shared" si="13"/>
        <v>0</v>
      </c>
    </row>
    <row r="104" ht="14.25" hidden="1" customHeight="1">
      <c r="A104" s="13" t="s">
        <v>100</v>
      </c>
      <c r="B104" s="13"/>
      <c r="C104" s="13"/>
      <c r="D104" s="14"/>
      <c r="E104" s="15">
        <f t="shared" si="13"/>
        <v>0</v>
      </c>
    </row>
    <row r="105" ht="14.25" hidden="1" customHeight="1">
      <c r="A105" s="13" t="s">
        <v>101</v>
      </c>
      <c r="B105" s="13"/>
      <c r="C105" s="13"/>
      <c r="D105" s="14"/>
      <c r="E105" s="15">
        <f t="shared" si="13"/>
        <v>0</v>
      </c>
    </row>
    <row r="106" ht="14.25" hidden="1" customHeight="1">
      <c r="A106" s="13" t="s">
        <v>102</v>
      </c>
      <c r="B106" s="13"/>
      <c r="C106" s="13"/>
      <c r="D106" s="14"/>
      <c r="E106" s="15">
        <f t="shared" si="13"/>
        <v>0</v>
      </c>
    </row>
    <row r="107" ht="14.25" hidden="1" customHeight="1">
      <c r="A107" s="13" t="s">
        <v>103</v>
      </c>
      <c r="B107" s="13"/>
      <c r="C107" s="13"/>
      <c r="D107" s="14"/>
      <c r="E107" s="15">
        <f t="shared" si="13"/>
        <v>0</v>
      </c>
    </row>
    <row r="108" ht="14.25" customHeight="1">
      <c r="A108" s="13" t="s">
        <v>104</v>
      </c>
      <c r="B108" s="13" t="s">
        <v>98</v>
      </c>
      <c r="C108" s="13">
        <v>1.0</v>
      </c>
      <c r="D108" s="14">
        <v>1200000.0</v>
      </c>
      <c r="E108" s="15">
        <f t="shared" si="13"/>
        <v>1200000</v>
      </c>
    </row>
    <row r="109" ht="14.25" hidden="1" customHeight="1">
      <c r="A109" s="13" t="s">
        <v>105</v>
      </c>
      <c r="B109" s="13"/>
      <c r="C109" s="13"/>
      <c r="D109" s="14"/>
      <c r="E109" s="15">
        <f t="shared" si="13"/>
        <v>0</v>
      </c>
    </row>
    <row r="110" ht="14.25" hidden="1" customHeight="1">
      <c r="A110" s="13" t="s">
        <v>106</v>
      </c>
      <c r="B110" s="13"/>
      <c r="C110" s="13"/>
      <c r="D110" s="14"/>
      <c r="E110" s="15">
        <f t="shared" si="13"/>
        <v>0</v>
      </c>
    </row>
    <row r="111" ht="14.25" hidden="1" customHeight="1">
      <c r="A111" s="35" t="s">
        <v>107</v>
      </c>
      <c r="B111" s="13"/>
      <c r="C111" s="13"/>
      <c r="D111" s="14"/>
      <c r="E111" s="15">
        <f t="shared" si="13"/>
        <v>0</v>
      </c>
    </row>
    <row r="112" ht="14.25" customHeight="1">
      <c r="A112" s="34" t="s">
        <v>108</v>
      </c>
      <c r="B112" s="32"/>
      <c r="C112" s="32"/>
      <c r="D112" s="33"/>
      <c r="E112" s="33">
        <f>SUM(E113:E121)</f>
        <v>7480000</v>
      </c>
    </row>
    <row r="113" ht="14.25" customHeight="1">
      <c r="A113" s="13" t="s">
        <v>109</v>
      </c>
      <c r="B113" s="13" t="s">
        <v>110</v>
      </c>
      <c r="C113" s="13">
        <v>1.0</v>
      </c>
      <c r="D113" s="14">
        <v>1100000.0</v>
      </c>
      <c r="E113" s="15">
        <f t="shared" ref="E113:E121" si="14">C113*D113</f>
        <v>1100000</v>
      </c>
    </row>
    <row r="114" ht="14.25" customHeight="1">
      <c r="A114" s="13" t="s">
        <v>111</v>
      </c>
      <c r="B114" s="13" t="s">
        <v>112</v>
      </c>
      <c r="C114" s="13">
        <v>1.0</v>
      </c>
      <c r="D114" s="14">
        <v>1500000.0</v>
      </c>
      <c r="E114" s="15">
        <f t="shared" si="14"/>
        <v>1500000</v>
      </c>
    </row>
    <row r="115" ht="14.25" customHeight="1">
      <c r="A115" s="13" t="s">
        <v>113</v>
      </c>
      <c r="B115" s="13" t="s">
        <v>114</v>
      </c>
      <c r="C115" s="13">
        <v>1.0</v>
      </c>
      <c r="D115" s="14">
        <f>500000*3</f>
        <v>1500000</v>
      </c>
      <c r="E115" s="15">
        <f t="shared" si="14"/>
        <v>1500000</v>
      </c>
    </row>
    <row r="116" ht="14.25" customHeight="1">
      <c r="A116" s="24" t="s">
        <v>115</v>
      </c>
      <c r="B116" s="13"/>
      <c r="C116" s="13">
        <v>1.0</v>
      </c>
      <c r="D116" s="14">
        <f>60000*12</f>
        <v>720000</v>
      </c>
      <c r="E116" s="15">
        <f t="shared" si="14"/>
        <v>720000</v>
      </c>
    </row>
    <row r="117" ht="14.25" customHeight="1">
      <c r="A117" s="13" t="s">
        <v>116</v>
      </c>
      <c r="B117" s="13" t="s">
        <v>117</v>
      </c>
      <c r="C117" s="13">
        <v>1.0</v>
      </c>
      <c r="D117" s="14">
        <f>30000*12</f>
        <v>360000</v>
      </c>
      <c r="E117" s="15">
        <f t="shared" si="14"/>
        <v>360000</v>
      </c>
    </row>
    <row r="118" ht="14.25" customHeight="1">
      <c r="A118" s="13" t="s">
        <v>118</v>
      </c>
      <c r="B118" s="13" t="s">
        <v>119</v>
      </c>
      <c r="C118" s="13">
        <v>1.0</v>
      </c>
      <c r="D118" s="14">
        <f>20000*12</f>
        <v>240000</v>
      </c>
      <c r="E118" s="15">
        <f t="shared" si="14"/>
        <v>240000</v>
      </c>
    </row>
    <row r="119" ht="14.25" customHeight="1">
      <c r="A119" s="13" t="s">
        <v>120</v>
      </c>
      <c r="B119" s="13" t="s">
        <v>121</v>
      </c>
      <c r="C119" s="13">
        <v>1.0</v>
      </c>
      <c r="D119" s="14">
        <f>50000*12</f>
        <v>600000</v>
      </c>
      <c r="E119" s="15">
        <f t="shared" si="14"/>
        <v>600000</v>
      </c>
    </row>
    <row r="120" ht="14.25" customHeight="1">
      <c r="A120" s="13" t="s">
        <v>122</v>
      </c>
      <c r="B120" s="13" t="s">
        <v>123</v>
      </c>
      <c r="C120" s="13">
        <v>365.0</v>
      </c>
      <c r="D120" s="14">
        <v>4000.0</v>
      </c>
      <c r="E120" s="15">
        <f t="shared" si="14"/>
        <v>1460000</v>
      </c>
    </row>
    <row r="121" ht="14.25" hidden="1" customHeight="1">
      <c r="A121" s="13" t="s">
        <v>124</v>
      </c>
      <c r="B121" s="13"/>
      <c r="C121" s="13"/>
      <c r="D121" s="14"/>
      <c r="E121" s="15">
        <f t="shared" si="14"/>
        <v>0</v>
      </c>
    </row>
    <row r="122" ht="14.25" customHeight="1">
      <c r="A122" s="34" t="s">
        <v>125</v>
      </c>
      <c r="B122" s="32"/>
      <c r="C122" s="32"/>
      <c r="D122" s="33"/>
      <c r="E122" s="33">
        <f>SUM(E130+E128)</f>
        <v>5610000</v>
      </c>
    </row>
    <row r="123" ht="14.25" customHeight="1">
      <c r="A123" s="36" t="s">
        <v>126</v>
      </c>
      <c r="B123" s="37"/>
      <c r="C123" s="37"/>
      <c r="D123" s="38"/>
      <c r="E123" s="38">
        <f>SUM(E128)</f>
        <v>90000</v>
      </c>
    </row>
    <row r="124" ht="14.25" hidden="1" customHeight="1">
      <c r="A124" s="13" t="s">
        <v>127</v>
      </c>
      <c r="B124" s="13"/>
      <c r="C124" s="13"/>
      <c r="D124" s="14"/>
      <c r="E124" s="15">
        <f t="shared" ref="E124:E129" si="15">C124*D124</f>
        <v>0</v>
      </c>
    </row>
    <row r="125" ht="14.25" hidden="1" customHeight="1">
      <c r="A125" s="13" t="s">
        <v>128</v>
      </c>
      <c r="B125" s="13"/>
      <c r="C125" s="13"/>
      <c r="D125" s="14"/>
      <c r="E125" s="15">
        <f t="shared" si="15"/>
        <v>0</v>
      </c>
    </row>
    <row r="126" ht="14.25" hidden="1" customHeight="1">
      <c r="A126" s="13" t="s">
        <v>129</v>
      </c>
      <c r="B126" s="13"/>
      <c r="C126" s="13"/>
      <c r="D126" s="14"/>
      <c r="E126" s="15">
        <f t="shared" si="15"/>
        <v>0</v>
      </c>
    </row>
    <row r="127" ht="14.25" hidden="1" customHeight="1">
      <c r="A127" s="13" t="s">
        <v>130</v>
      </c>
      <c r="B127" s="13"/>
      <c r="C127" s="13"/>
      <c r="D127" s="14"/>
      <c r="E127" s="15">
        <f t="shared" si="15"/>
        <v>0</v>
      </c>
    </row>
    <row r="128" ht="14.25" customHeight="1">
      <c r="A128" s="13" t="s">
        <v>131</v>
      </c>
      <c r="B128" s="13" t="s">
        <v>132</v>
      </c>
      <c r="C128" s="13">
        <v>1.0</v>
      </c>
      <c r="D128" s="14">
        <v>90000.0</v>
      </c>
      <c r="E128" s="15">
        <f t="shared" si="15"/>
        <v>90000</v>
      </c>
    </row>
    <row r="129" ht="14.25" hidden="1" customHeight="1">
      <c r="A129" s="13" t="s">
        <v>133</v>
      </c>
      <c r="B129" s="13"/>
      <c r="C129" s="13"/>
      <c r="D129" s="14"/>
      <c r="E129" s="15">
        <f t="shared" si="15"/>
        <v>0</v>
      </c>
    </row>
    <row r="130" ht="14.25" customHeight="1">
      <c r="A130" s="36" t="s">
        <v>134</v>
      </c>
      <c r="B130" s="37"/>
      <c r="C130" s="37"/>
      <c r="D130" s="38"/>
      <c r="E130" s="38">
        <f>SUM(E131:E135)</f>
        <v>5520000</v>
      </c>
    </row>
    <row r="131" ht="14.25" customHeight="1">
      <c r="A131" s="13" t="s">
        <v>135</v>
      </c>
      <c r="B131" s="13" t="s">
        <v>136</v>
      </c>
      <c r="C131" s="13">
        <v>12.0</v>
      </c>
      <c r="D131" s="14">
        <v>60000.0</v>
      </c>
      <c r="E131" s="15">
        <f t="shared" ref="E131:E133" si="16">C131*D131</f>
        <v>720000</v>
      </c>
    </row>
    <row r="132" ht="14.25" hidden="1" customHeight="1">
      <c r="A132" s="13" t="s">
        <v>137</v>
      </c>
      <c r="B132" s="13"/>
      <c r="C132" s="13"/>
      <c r="D132" s="14"/>
      <c r="E132" s="15">
        <f t="shared" si="16"/>
        <v>0</v>
      </c>
    </row>
    <row r="133" ht="14.25" customHeight="1">
      <c r="A133" s="13" t="s">
        <v>138</v>
      </c>
      <c r="B133" s="13" t="s">
        <v>136</v>
      </c>
      <c r="C133" s="13">
        <v>10.0</v>
      </c>
      <c r="D133" s="14">
        <v>120000.0</v>
      </c>
      <c r="E133" s="15">
        <f t="shared" si="16"/>
        <v>1200000</v>
      </c>
    </row>
    <row r="134" ht="14.25" hidden="1" customHeight="1">
      <c r="A134" s="36" t="s">
        <v>139</v>
      </c>
      <c r="B134" s="37"/>
      <c r="C134" s="37"/>
      <c r="D134" s="38"/>
      <c r="E134" s="38">
        <f>SUM(E135:E139)</f>
        <v>1800000</v>
      </c>
    </row>
    <row r="135" ht="14.25" customHeight="1">
      <c r="A135" s="13" t="s">
        <v>140</v>
      </c>
      <c r="B135" s="13" t="s">
        <v>136</v>
      </c>
      <c r="C135" s="13">
        <v>4.0</v>
      </c>
      <c r="D135" s="14">
        <v>450000.0</v>
      </c>
      <c r="E135" s="15">
        <f t="shared" ref="E135:E139" si="17">C135*D135</f>
        <v>1800000</v>
      </c>
    </row>
    <row r="136" ht="14.25" hidden="1" customHeight="1">
      <c r="A136" s="13" t="s">
        <v>141</v>
      </c>
      <c r="B136" s="13"/>
      <c r="C136" s="13"/>
      <c r="D136" s="14"/>
      <c r="E136" s="15">
        <f t="shared" si="17"/>
        <v>0</v>
      </c>
    </row>
    <row r="137" ht="14.25" hidden="1" customHeight="1">
      <c r="A137" s="13" t="s">
        <v>142</v>
      </c>
      <c r="B137" s="13"/>
      <c r="C137" s="13"/>
      <c r="D137" s="14"/>
      <c r="E137" s="15">
        <f t="shared" si="17"/>
        <v>0</v>
      </c>
    </row>
    <row r="138" ht="14.25" hidden="1" customHeight="1">
      <c r="A138" s="13" t="s">
        <v>143</v>
      </c>
      <c r="B138" s="13"/>
      <c r="C138" s="13"/>
      <c r="D138" s="14"/>
      <c r="E138" s="15">
        <f t="shared" si="17"/>
        <v>0</v>
      </c>
    </row>
    <row r="139" ht="14.25" hidden="1" customHeight="1">
      <c r="A139" s="13" t="s">
        <v>144</v>
      </c>
      <c r="B139" s="13"/>
      <c r="C139" s="13"/>
      <c r="D139" s="14"/>
      <c r="E139" s="15">
        <f t="shared" si="17"/>
        <v>0</v>
      </c>
    </row>
    <row r="140" ht="14.25" customHeight="1">
      <c r="A140" s="34" t="s">
        <v>145</v>
      </c>
      <c r="B140" s="32"/>
      <c r="C140" s="32"/>
      <c r="D140" s="33"/>
      <c r="E140" s="33">
        <f>SUM(E148+E155+E159)</f>
        <v>0</v>
      </c>
    </row>
    <row r="141" ht="14.25" hidden="1" customHeight="1">
      <c r="A141" s="39" t="s">
        <v>146</v>
      </c>
      <c r="B141" s="40"/>
      <c r="C141" s="40"/>
      <c r="D141" s="41"/>
      <c r="E141" s="33"/>
    </row>
    <row r="142" ht="14.25" hidden="1" customHeight="1">
      <c r="A142" s="40" t="s">
        <v>147</v>
      </c>
      <c r="B142" s="40"/>
      <c r="C142" s="40"/>
      <c r="D142" s="41"/>
      <c r="E142" s="33"/>
    </row>
    <row r="143" ht="14.25" hidden="1" customHeight="1">
      <c r="A143" s="42"/>
      <c r="B143" s="40"/>
      <c r="C143" s="40"/>
      <c r="D143" s="41"/>
      <c r="E143" s="33"/>
    </row>
    <row r="144" ht="14.25" hidden="1" customHeight="1">
      <c r="A144" s="40" t="s">
        <v>148</v>
      </c>
      <c r="B144" s="40"/>
      <c r="C144" s="40"/>
      <c r="D144" s="41"/>
      <c r="E144" s="33"/>
    </row>
    <row r="145" ht="14.25" hidden="1" customHeight="1">
      <c r="A145" s="40" t="s">
        <v>149</v>
      </c>
      <c r="B145" s="40"/>
      <c r="C145" s="40"/>
      <c r="D145" s="41"/>
      <c r="E145" s="33"/>
    </row>
    <row r="146" ht="14.25" hidden="1" customHeight="1">
      <c r="A146" s="40" t="s">
        <v>150</v>
      </c>
      <c r="B146" s="40"/>
      <c r="C146" s="40"/>
      <c r="D146" s="41"/>
      <c r="E146" s="33"/>
    </row>
    <row r="147" ht="14.25" hidden="1" customHeight="1">
      <c r="A147" s="42"/>
      <c r="B147" s="40"/>
      <c r="C147" s="40"/>
      <c r="D147" s="41"/>
      <c r="E147" s="33"/>
    </row>
    <row r="148" ht="14.25" customHeight="1">
      <c r="A148" s="43" t="s">
        <v>151</v>
      </c>
      <c r="B148" s="44"/>
      <c r="C148" s="44"/>
      <c r="D148" s="45"/>
      <c r="E148" s="45">
        <f>SUM(E149:E151)</f>
        <v>0</v>
      </c>
    </row>
    <row r="149" ht="14.25" customHeight="1">
      <c r="A149" s="13" t="s">
        <v>152</v>
      </c>
      <c r="B149" s="13"/>
      <c r="C149" s="13"/>
      <c r="D149" s="14"/>
      <c r="E149" s="15">
        <f t="shared" ref="E149:E151" si="18">C149*D149</f>
        <v>0</v>
      </c>
    </row>
    <row r="150" ht="14.25" customHeight="1">
      <c r="A150" s="13" t="s">
        <v>153</v>
      </c>
      <c r="B150" s="13"/>
      <c r="C150" s="13"/>
      <c r="D150" s="14"/>
      <c r="E150" s="15">
        <f t="shared" si="18"/>
        <v>0</v>
      </c>
    </row>
    <row r="151" ht="14.25" customHeight="1">
      <c r="A151" s="13" t="s">
        <v>154</v>
      </c>
      <c r="B151" s="13"/>
      <c r="C151" s="13"/>
      <c r="D151" s="14"/>
      <c r="E151" s="15">
        <f t="shared" si="18"/>
        <v>0</v>
      </c>
    </row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22.43"/>
    <col customWidth="1" min="3" max="3" width="16.0"/>
    <col customWidth="1" min="4" max="4" width="23.43"/>
    <col customWidth="1" min="5" max="5" width="17.14"/>
    <col customWidth="1" min="6" max="6" width="17.29"/>
    <col customWidth="1" min="7" max="7" width="25.57"/>
    <col customWidth="1" min="8" max="8" width="22.86"/>
    <col customWidth="1" min="9" max="9" width="17.14"/>
    <col customWidth="1" min="10" max="10" width="16.29"/>
    <col customWidth="1" min="11" max="26" width="11.43"/>
  </cols>
  <sheetData>
    <row r="1" ht="14.25" customHeight="1"/>
    <row r="2" ht="15.75" customHeight="1">
      <c r="B2" s="46" t="s">
        <v>155</v>
      </c>
      <c r="C2" s="46" t="s">
        <v>156</v>
      </c>
      <c r="D2" s="46" t="s">
        <v>157</v>
      </c>
      <c r="E2" s="46" t="s">
        <v>158</v>
      </c>
      <c r="F2" s="46" t="s">
        <v>159</v>
      </c>
      <c r="G2" s="46" t="s">
        <v>160</v>
      </c>
      <c r="H2" s="46" t="s">
        <v>161</v>
      </c>
    </row>
    <row r="3" ht="48.0" customHeight="1">
      <c r="B3" s="47" t="s">
        <v>162</v>
      </c>
      <c r="C3" s="48" t="s">
        <v>163</v>
      </c>
      <c r="D3" s="49">
        <v>1100000.0</v>
      </c>
      <c r="E3" s="49">
        <v>2650000.0</v>
      </c>
      <c r="F3" s="50">
        <f t="shared" ref="F3:F5" si="1">E3-D3</f>
        <v>1550000</v>
      </c>
      <c r="G3" s="51">
        <f t="shared" ref="G3:G5" si="2">D3/E3</f>
        <v>0.4150943396</v>
      </c>
      <c r="H3" s="52">
        <v>72.0</v>
      </c>
    </row>
    <row r="4" ht="76.5" customHeight="1">
      <c r="B4" s="53" t="s">
        <v>164</v>
      </c>
      <c r="C4" s="48" t="s">
        <v>165</v>
      </c>
      <c r="D4" s="49">
        <v>2000000.0</v>
      </c>
      <c r="E4" s="49">
        <v>4700000.0</v>
      </c>
      <c r="F4" s="50">
        <f t="shared" si="1"/>
        <v>2700000</v>
      </c>
      <c r="G4" s="51">
        <f t="shared" si="2"/>
        <v>0.4255319149</v>
      </c>
      <c r="H4" s="52">
        <v>72.0</v>
      </c>
    </row>
    <row r="5" ht="59.25" customHeight="1">
      <c r="B5" s="48" t="s">
        <v>106</v>
      </c>
      <c r="C5" s="48" t="s">
        <v>166</v>
      </c>
      <c r="D5" s="50">
        <v>300000.0</v>
      </c>
      <c r="E5" s="54">
        <v>500000.0</v>
      </c>
      <c r="F5" s="50">
        <f t="shared" si="1"/>
        <v>200000</v>
      </c>
      <c r="G5" s="51">
        <f t="shared" si="2"/>
        <v>0.6</v>
      </c>
      <c r="H5" s="52">
        <v>72.0</v>
      </c>
    </row>
    <row r="6" ht="14.25" customHeight="1">
      <c r="E6" s="55">
        <f>SUM(E4:E5)</f>
        <v>5200000</v>
      </c>
      <c r="G6" s="56">
        <f>E3*G3</f>
        <v>1100000</v>
      </c>
      <c r="H6" s="57">
        <f>H3/12</f>
        <v>6</v>
      </c>
    </row>
    <row r="7" ht="14.25" customHeight="1"/>
    <row r="8" ht="14.25" customHeight="1">
      <c r="B8" s="52" t="s">
        <v>167</v>
      </c>
    </row>
    <row r="9" ht="14.25" customHeight="1">
      <c r="B9" s="52" t="s">
        <v>168</v>
      </c>
    </row>
    <row r="10" ht="14.25" customHeight="1">
      <c r="E10" s="58"/>
      <c r="F10" s="58"/>
      <c r="G10" s="58"/>
    </row>
    <row r="11" ht="14.25" customHeight="1"/>
    <row r="12" ht="14.25" customHeight="1">
      <c r="B12" s="59" t="s">
        <v>169</v>
      </c>
      <c r="C12" s="60"/>
    </row>
    <row r="13" ht="12.0" customHeight="1">
      <c r="C13" s="61" t="s">
        <v>170</v>
      </c>
      <c r="D13" s="62" t="s">
        <v>171</v>
      </c>
    </row>
    <row r="14" ht="14.25" customHeight="1">
      <c r="C14" s="60"/>
      <c r="D14" s="61" t="s">
        <v>172</v>
      </c>
    </row>
    <row r="15" ht="14.25" customHeight="1"/>
    <row r="16" ht="14.25" customHeight="1"/>
    <row r="17" ht="14.25" customHeight="1">
      <c r="B17" s="52" t="s">
        <v>171</v>
      </c>
      <c r="C17" s="50">
        <f>D3</f>
        <v>1100000</v>
      </c>
      <c r="E17" s="52" t="s">
        <v>171</v>
      </c>
      <c r="F17" s="50">
        <f>G25</f>
        <v>270320000</v>
      </c>
    </row>
    <row r="18" ht="14.25" customHeight="1">
      <c r="B18" s="52" t="s">
        <v>173</v>
      </c>
      <c r="C18" s="50">
        <f>C31</f>
        <v>5200000</v>
      </c>
      <c r="E18" s="52" t="s">
        <v>173</v>
      </c>
      <c r="F18" s="50">
        <f>F36</f>
        <v>272370000</v>
      </c>
    </row>
    <row r="19" ht="14.25" customHeight="1">
      <c r="B19" s="52" t="s">
        <v>174</v>
      </c>
      <c r="C19" s="50">
        <f>E3</f>
        <v>2650000</v>
      </c>
      <c r="E19" s="52" t="s">
        <v>174</v>
      </c>
      <c r="F19" s="50">
        <v>3000000.0</v>
      </c>
    </row>
    <row r="20" ht="14.25" customHeight="1">
      <c r="B20" s="57" t="s">
        <v>175</v>
      </c>
      <c r="C20" s="56">
        <f>C17/(C19-C18)</f>
        <v>-0.431372549</v>
      </c>
      <c r="E20" s="57" t="s">
        <v>175</v>
      </c>
      <c r="F20" s="63">
        <f>F17/(F19-F18)</f>
        <v>-1.003526748</v>
      </c>
    </row>
    <row r="21" ht="14.25" customHeight="1"/>
    <row r="22" ht="14.25" customHeight="1">
      <c r="I22" s="64" t="s">
        <v>176</v>
      </c>
      <c r="J22" s="64" t="s">
        <v>177</v>
      </c>
    </row>
    <row r="23" ht="14.25" customHeight="1">
      <c r="B23" s="60" t="s">
        <v>178</v>
      </c>
      <c r="E23" s="60" t="s">
        <v>179</v>
      </c>
      <c r="I23" s="14">
        <v>3.5E8</v>
      </c>
      <c r="J23" s="13">
        <v>10.0</v>
      </c>
    </row>
    <row r="24" ht="14.25" customHeight="1">
      <c r="B24" s="65" t="s">
        <v>109</v>
      </c>
      <c r="C24" s="49">
        <v>2650000.0</v>
      </c>
      <c r="E24" s="65" t="s">
        <v>42</v>
      </c>
      <c r="F24" s="50">
        <v>2.3E8</v>
      </c>
      <c r="G24" s="66" t="s">
        <v>180</v>
      </c>
      <c r="I24" s="67" t="s">
        <v>181</v>
      </c>
      <c r="J24" s="67" t="s">
        <v>182</v>
      </c>
    </row>
    <row r="25" ht="14.25" customHeight="1">
      <c r="B25" s="65" t="s">
        <v>183</v>
      </c>
      <c r="C25" s="54">
        <v>350000.0</v>
      </c>
      <c r="E25" s="65" t="s">
        <v>184</v>
      </c>
      <c r="F25" s="50">
        <v>4.0E7</v>
      </c>
      <c r="G25" s="68">
        <f>SUM(F24,F25,F27,F28,F29,F30)</f>
        <v>270320000</v>
      </c>
      <c r="I25" s="69">
        <f>J30</f>
        <v>385000000</v>
      </c>
      <c r="J25" s="70">
        <v>0.01</v>
      </c>
    </row>
    <row r="26" ht="14.25" customHeight="1">
      <c r="B26" s="65" t="s">
        <v>88</v>
      </c>
      <c r="C26" s="50">
        <v>200000.0</v>
      </c>
      <c r="E26" s="65" t="s">
        <v>185</v>
      </c>
      <c r="F26" s="50">
        <v>200000.0</v>
      </c>
      <c r="I26" s="13" t="s">
        <v>186</v>
      </c>
      <c r="J26" s="52"/>
    </row>
    <row r="27" ht="14.25" customHeight="1">
      <c r="B27" s="65" t="s">
        <v>187</v>
      </c>
      <c r="C27" s="50">
        <f>E5</f>
        <v>500000</v>
      </c>
      <c r="E27" s="65" t="s">
        <v>188</v>
      </c>
      <c r="F27" s="50">
        <v>100000.0</v>
      </c>
      <c r="G27" s="58" t="s">
        <v>189</v>
      </c>
      <c r="I27" s="13" t="s">
        <v>190</v>
      </c>
      <c r="J27" s="14">
        <f>I23</f>
        <v>350000000</v>
      </c>
    </row>
    <row r="28" ht="14.25" customHeight="1">
      <c r="B28" s="65" t="s">
        <v>191</v>
      </c>
      <c r="C28" s="50">
        <v>1000000.0</v>
      </c>
      <c r="E28" s="65" t="s">
        <v>192</v>
      </c>
      <c r="F28" s="50">
        <v>80000.0</v>
      </c>
      <c r="G28" s="58">
        <v>1.0E7</v>
      </c>
      <c r="I28" s="13" t="s">
        <v>193</v>
      </c>
      <c r="J28" s="70">
        <f>J25</f>
        <v>0.01</v>
      </c>
    </row>
    <row r="29" ht="14.25" customHeight="1">
      <c r="B29" s="65" t="s">
        <v>194</v>
      </c>
      <c r="C29" s="50">
        <v>500000.0</v>
      </c>
      <c r="E29" s="65" t="s">
        <v>195</v>
      </c>
      <c r="F29" s="50">
        <v>100000.0</v>
      </c>
      <c r="I29" s="13" t="s">
        <v>196</v>
      </c>
      <c r="J29" s="13">
        <f>J23</f>
        <v>10</v>
      </c>
    </row>
    <row r="30" ht="14.25" customHeight="1">
      <c r="B30" s="65"/>
      <c r="C30" s="52"/>
      <c r="E30" s="65" t="s">
        <v>197</v>
      </c>
      <c r="F30" s="50">
        <v>40000.0</v>
      </c>
      <c r="I30" s="67" t="s">
        <v>198</v>
      </c>
      <c r="J30" s="14">
        <f>J27*(1+J25*J23)</f>
        <v>385000000</v>
      </c>
    </row>
    <row r="31" ht="14.25" customHeight="1">
      <c r="B31" s="71" t="s">
        <v>199</v>
      </c>
      <c r="C31" s="56">
        <f>SUM(C24,C25,C26,C27,C28,C29,)</f>
        <v>5200000</v>
      </c>
      <c r="E31" s="72" t="s">
        <v>200</v>
      </c>
      <c r="F31" s="73">
        <v>150000.0</v>
      </c>
      <c r="I31" s="67" t="s">
        <v>201</v>
      </c>
      <c r="J31" s="14">
        <f>J30-J27</f>
        <v>35000000</v>
      </c>
    </row>
    <row r="32" ht="14.25" customHeight="1">
      <c r="E32" s="65" t="s">
        <v>88</v>
      </c>
      <c r="F32" s="50">
        <v>200000.0</v>
      </c>
    </row>
    <row r="33" ht="14.25" customHeight="1">
      <c r="B33" s="74" t="s">
        <v>202</v>
      </c>
      <c r="C33" s="75">
        <v>1.191456E8</v>
      </c>
      <c r="E33" s="65" t="s">
        <v>97</v>
      </c>
      <c r="F33" s="50">
        <v>1000000.0</v>
      </c>
    </row>
    <row r="34" ht="14.25" customHeight="1">
      <c r="B34" s="76" t="s">
        <v>203</v>
      </c>
      <c r="C34" s="77">
        <f>C33/C31</f>
        <v>22.91261538</v>
      </c>
      <c r="E34" s="65" t="s">
        <v>194</v>
      </c>
      <c r="F34" s="50">
        <v>500000.0</v>
      </c>
    </row>
    <row r="35" ht="14.25" customHeight="1">
      <c r="B35" s="74" t="s">
        <v>204</v>
      </c>
      <c r="C35" s="78">
        <v>2.184336E8</v>
      </c>
      <c r="E35" s="79"/>
      <c r="F35" s="79"/>
    </row>
    <row r="36" ht="14.25" customHeight="1">
      <c r="B36" s="76" t="s">
        <v>205</v>
      </c>
      <c r="C36" s="80">
        <f>C35/C31</f>
        <v>42.00646154</v>
      </c>
      <c r="E36" s="71" t="s">
        <v>199</v>
      </c>
      <c r="F36" s="81">
        <f>SUM(F24,F25,F26,F27,F28,F29,F30,F31,F32,F33,F34)</f>
        <v>272370000</v>
      </c>
    </row>
    <row r="37" ht="14.25" customHeight="1">
      <c r="B37" s="74" t="s">
        <v>206</v>
      </c>
      <c r="C37" s="82">
        <v>3.97152E8</v>
      </c>
    </row>
    <row r="38" ht="14.25" customHeight="1">
      <c r="B38" s="76" t="s">
        <v>207</v>
      </c>
      <c r="C38" s="80">
        <f>C37/C31</f>
        <v>76.37538462</v>
      </c>
    </row>
    <row r="39" ht="14.25" customHeight="1">
      <c r="B39" s="74" t="s">
        <v>208</v>
      </c>
      <c r="C39" s="78">
        <v>4.9644E8</v>
      </c>
    </row>
    <row r="40" ht="14.25" customHeight="1">
      <c r="B40" s="76" t="s">
        <v>209</v>
      </c>
      <c r="C40" s="80">
        <f>C39/C31</f>
        <v>95.46923077</v>
      </c>
    </row>
    <row r="41" ht="14.25" customHeight="1">
      <c r="B41" s="74" t="s">
        <v>210</v>
      </c>
      <c r="C41" s="78">
        <v>5.95728E8</v>
      </c>
    </row>
    <row r="42" ht="14.25" customHeight="1">
      <c r="B42" s="76" t="s">
        <v>211</v>
      </c>
      <c r="C42" s="80">
        <f>C41/C31</f>
        <v>114.5630769</v>
      </c>
    </row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2" max="2" width="57.86"/>
    <col customWidth="1" min="3" max="32" width="2.71"/>
  </cols>
  <sheetData>
    <row r="2" ht="30.75" customHeight="1">
      <c r="B2" s="83" t="s">
        <v>212</v>
      </c>
      <c r="C2" s="84" t="s">
        <v>213</v>
      </c>
      <c r="D2" s="85"/>
      <c r="E2" s="85"/>
      <c r="F2" s="85"/>
      <c r="G2" s="86"/>
      <c r="H2" s="87" t="s">
        <v>214</v>
      </c>
      <c r="I2" s="85"/>
      <c r="J2" s="85"/>
      <c r="K2" s="85"/>
      <c r="L2" s="86"/>
      <c r="M2" s="87" t="s">
        <v>215</v>
      </c>
      <c r="N2" s="85"/>
      <c r="O2" s="85"/>
      <c r="P2" s="85"/>
      <c r="Q2" s="86"/>
      <c r="R2" s="87" t="s">
        <v>216</v>
      </c>
      <c r="S2" s="85"/>
      <c r="T2" s="85"/>
      <c r="U2" s="85"/>
      <c r="V2" s="86"/>
      <c r="W2" s="87" t="s">
        <v>217</v>
      </c>
      <c r="X2" s="85"/>
      <c r="Y2" s="85"/>
      <c r="Z2" s="85"/>
      <c r="AA2" s="86"/>
      <c r="AB2" s="87" t="s">
        <v>218</v>
      </c>
      <c r="AC2" s="85"/>
      <c r="AD2" s="85"/>
      <c r="AE2" s="85"/>
      <c r="AF2" s="86"/>
    </row>
    <row r="3">
      <c r="B3" s="88" t="s">
        <v>219</v>
      </c>
      <c r="C3" s="89"/>
      <c r="D3" s="90"/>
      <c r="E3" s="77"/>
      <c r="F3" s="91"/>
      <c r="G3" s="92"/>
      <c r="H3" s="89"/>
      <c r="I3" s="77"/>
      <c r="J3" s="77"/>
      <c r="K3" s="77"/>
      <c r="L3" s="92"/>
      <c r="M3" s="89"/>
      <c r="N3" s="77"/>
      <c r="O3" s="77"/>
      <c r="P3" s="77"/>
      <c r="Q3" s="92"/>
      <c r="R3" s="89"/>
      <c r="S3" s="77"/>
      <c r="T3" s="77"/>
      <c r="U3" s="91"/>
      <c r="V3" s="92"/>
      <c r="W3" s="89"/>
      <c r="X3" s="77"/>
      <c r="Y3" s="77"/>
      <c r="Z3" s="91"/>
      <c r="AA3" s="92"/>
      <c r="AB3" s="89"/>
      <c r="AC3" s="77"/>
      <c r="AD3" s="77"/>
      <c r="AE3" s="77"/>
      <c r="AF3" s="92"/>
    </row>
    <row r="4">
      <c r="B4" s="93" t="s">
        <v>220</v>
      </c>
      <c r="C4" s="94"/>
      <c r="D4" s="95"/>
      <c r="E4" s="96"/>
      <c r="F4" s="97"/>
      <c r="G4" s="98"/>
      <c r="H4" s="94"/>
      <c r="I4" s="95"/>
      <c r="J4" s="95"/>
      <c r="K4" s="95"/>
      <c r="L4" s="99"/>
      <c r="M4" s="94"/>
      <c r="N4" s="95"/>
      <c r="O4" s="95"/>
      <c r="P4" s="95"/>
      <c r="Q4" s="99"/>
      <c r="R4" s="94"/>
      <c r="S4" s="95"/>
      <c r="T4" s="95"/>
      <c r="U4" s="100"/>
      <c r="V4" s="99"/>
      <c r="W4" s="94"/>
      <c r="X4" s="95"/>
      <c r="Y4" s="95"/>
      <c r="Z4" s="100"/>
      <c r="AA4" s="92"/>
      <c r="AB4" s="89"/>
      <c r="AC4" s="77"/>
      <c r="AD4" s="77"/>
      <c r="AE4" s="77"/>
      <c r="AF4" s="92"/>
    </row>
    <row r="5">
      <c r="B5" s="93" t="s">
        <v>221</v>
      </c>
      <c r="C5" s="94"/>
      <c r="D5" s="95"/>
      <c r="E5" s="95"/>
      <c r="F5" s="100"/>
      <c r="G5" s="99"/>
      <c r="H5" s="101"/>
      <c r="I5" s="102"/>
      <c r="J5" s="95"/>
      <c r="K5" s="95"/>
      <c r="L5" s="99"/>
      <c r="M5" s="94"/>
      <c r="N5" s="95"/>
      <c r="O5" s="95"/>
      <c r="P5" s="95"/>
      <c r="Q5" s="99"/>
      <c r="R5" s="94"/>
      <c r="S5" s="95"/>
      <c r="T5" s="95"/>
      <c r="U5" s="100"/>
      <c r="V5" s="99"/>
      <c r="W5" s="94"/>
      <c r="X5" s="95"/>
      <c r="Y5" s="95"/>
      <c r="Z5" s="100"/>
      <c r="AA5" s="92"/>
      <c r="AB5" s="89"/>
      <c r="AC5" s="77"/>
      <c r="AD5" s="77"/>
      <c r="AE5" s="77"/>
      <c r="AF5" s="92"/>
    </row>
    <row r="6">
      <c r="B6" s="93" t="s">
        <v>222</v>
      </c>
      <c r="C6" s="94"/>
      <c r="D6" s="95"/>
      <c r="E6" s="95"/>
      <c r="F6" s="100"/>
      <c r="G6" s="99"/>
      <c r="H6" s="94"/>
      <c r="I6" s="95"/>
      <c r="J6" s="95"/>
      <c r="K6" s="103"/>
      <c r="L6" s="99"/>
      <c r="M6" s="94"/>
      <c r="N6" s="95"/>
      <c r="O6" s="95"/>
      <c r="P6" s="95"/>
      <c r="Q6" s="99"/>
      <c r="R6" s="94"/>
      <c r="S6" s="95"/>
      <c r="T6" s="95"/>
      <c r="U6" s="100"/>
      <c r="V6" s="99"/>
      <c r="W6" s="94"/>
      <c r="X6" s="95"/>
      <c r="Y6" s="95"/>
      <c r="Z6" s="100"/>
      <c r="AA6" s="92"/>
      <c r="AB6" s="89"/>
      <c r="AC6" s="77"/>
      <c r="AD6" s="77"/>
      <c r="AE6" s="77"/>
      <c r="AF6" s="92"/>
    </row>
    <row r="7">
      <c r="B7" s="93" t="s">
        <v>223</v>
      </c>
      <c r="C7" s="94"/>
      <c r="D7" s="95"/>
      <c r="E7" s="95"/>
      <c r="F7" s="100"/>
      <c r="G7" s="99"/>
      <c r="H7" s="94"/>
      <c r="I7" s="95"/>
      <c r="J7" s="95"/>
      <c r="K7" s="95"/>
      <c r="L7" s="104"/>
      <c r="M7" s="105"/>
      <c r="N7" s="106"/>
      <c r="O7" s="106"/>
      <c r="P7" s="95"/>
      <c r="Q7" s="99"/>
      <c r="R7" s="94"/>
      <c r="S7" s="95"/>
      <c r="T7" s="95"/>
      <c r="U7" s="100"/>
      <c r="V7" s="99"/>
      <c r="W7" s="94"/>
      <c r="X7" s="95"/>
      <c r="Y7" s="95"/>
      <c r="Z7" s="100"/>
      <c r="AA7" s="92"/>
      <c r="AB7" s="89"/>
      <c r="AC7" s="77"/>
      <c r="AD7" s="77"/>
      <c r="AE7" s="77"/>
      <c r="AF7" s="92"/>
    </row>
    <row r="8">
      <c r="B8" s="93" t="s">
        <v>224</v>
      </c>
      <c r="C8" s="94"/>
      <c r="D8" s="95"/>
      <c r="E8" s="95"/>
      <c r="F8" s="100"/>
      <c r="G8" s="99"/>
      <c r="H8" s="94"/>
      <c r="I8" s="95"/>
      <c r="J8" s="95"/>
      <c r="K8" s="95"/>
      <c r="L8" s="99"/>
      <c r="M8" s="94"/>
      <c r="N8" s="107"/>
      <c r="O8" s="107"/>
      <c r="P8" s="95"/>
      <c r="Q8" s="99"/>
      <c r="R8" s="94"/>
      <c r="S8" s="95"/>
      <c r="T8" s="95"/>
      <c r="U8" s="100"/>
      <c r="V8" s="99"/>
      <c r="W8" s="94"/>
      <c r="X8" s="95"/>
      <c r="Y8" s="95"/>
      <c r="Z8" s="100"/>
      <c r="AA8" s="92"/>
      <c r="AB8" s="89"/>
      <c r="AC8" s="77"/>
      <c r="AD8" s="77"/>
      <c r="AE8" s="77"/>
      <c r="AF8" s="92"/>
    </row>
    <row r="9">
      <c r="B9" s="93" t="s">
        <v>225</v>
      </c>
      <c r="C9" s="94"/>
      <c r="D9" s="95"/>
      <c r="E9" s="95"/>
      <c r="F9" s="100"/>
      <c r="G9" s="99"/>
      <c r="H9" s="94"/>
      <c r="I9" s="95"/>
      <c r="J9" s="95"/>
      <c r="K9" s="95"/>
      <c r="L9" s="99"/>
      <c r="M9" s="94"/>
      <c r="N9" s="95"/>
      <c r="O9" s="108"/>
      <c r="P9" s="95"/>
      <c r="Q9" s="99"/>
      <c r="R9" s="94"/>
      <c r="S9" s="95"/>
      <c r="T9" s="95"/>
      <c r="U9" s="100"/>
      <c r="V9" s="99"/>
      <c r="W9" s="94"/>
      <c r="X9" s="95"/>
      <c r="Y9" s="95"/>
      <c r="Z9" s="100"/>
      <c r="AA9" s="92"/>
      <c r="AB9" s="89"/>
      <c r="AC9" s="77"/>
      <c r="AD9" s="77"/>
      <c r="AE9" s="77"/>
      <c r="AF9" s="92"/>
    </row>
    <row r="10">
      <c r="B10" s="93" t="s">
        <v>226</v>
      </c>
      <c r="C10" s="94"/>
      <c r="D10" s="95"/>
      <c r="E10" s="95"/>
      <c r="F10" s="100"/>
      <c r="G10" s="99"/>
      <c r="H10" s="94"/>
      <c r="I10" s="95"/>
      <c r="J10" s="95"/>
      <c r="K10" s="95"/>
      <c r="L10" s="99"/>
      <c r="M10" s="94"/>
      <c r="N10" s="95"/>
      <c r="O10" s="95"/>
      <c r="P10" s="109"/>
      <c r="Q10" s="99"/>
      <c r="R10" s="94"/>
      <c r="S10" s="95"/>
      <c r="T10" s="95"/>
      <c r="U10" s="100"/>
      <c r="V10" s="99"/>
      <c r="W10" s="94"/>
      <c r="X10" s="95"/>
      <c r="Y10" s="95"/>
      <c r="Z10" s="100"/>
      <c r="AA10" s="92"/>
      <c r="AB10" s="89"/>
      <c r="AC10" s="77"/>
      <c r="AD10" s="77"/>
      <c r="AE10" s="77"/>
      <c r="AF10" s="92"/>
    </row>
    <row r="11">
      <c r="B11" s="93" t="s">
        <v>227</v>
      </c>
      <c r="C11" s="94"/>
      <c r="D11" s="95"/>
      <c r="E11" s="95"/>
      <c r="F11" s="100"/>
      <c r="G11" s="99"/>
      <c r="H11" s="94"/>
      <c r="I11" s="95"/>
      <c r="J11" s="95"/>
      <c r="K11" s="95"/>
      <c r="L11" s="99"/>
      <c r="M11" s="94"/>
      <c r="N11" s="95"/>
      <c r="O11" s="95"/>
      <c r="P11" s="110"/>
      <c r="Q11" s="99"/>
      <c r="R11" s="94"/>
      <c r="S11" s="95"/>
      <c r="T11" s="95"/>
      <c r="U11" s="100"/>
      <c r="V11" s="99"/>
      <c r="W11" s="94"/>
      <c r="X11" s="95"/>
      <c r="Y11" s="95"/>
      <c r="Z11" s="100"/>
      <c r="AA11" s="92"/>
      <c r="AB11" s="89"/>
      <c r="AC11" s="77"/>
      <c r="AD11" s="77"/>
      <c r="AE11" s="77"/>
      <c r="AF11" s="92"/>
    </row>
    <row r="12">
      <c r="B12" s="93" t="s">
        <v>228</v>
      </c>
      <c r="C12" s="94"/>
      <c r="D12" s="95"/>
      <c r="E12" s="95"/>
      <c r="F12" s="100"/>
      <c r="G12" s="99"/>
      <c r="H12" s="94"/>
      <c r="I12" s="95"/>
      <c r="J12" s="95"/>
      <c r="K12" s="95"/>
      <c r="L12" s="99"/>
      <c r="M12" s="94"/>
      <c r="N12" s="95"/>
      <c r="O12" s="95"/>
      <c r="P12" s="111"/>
      <c r="Q12" s="99"/>
      <c r="R12" s="94"/>
      <c r="S12" s="95"/>
      <c r="T12" s="95"/>
      <c r="U12" s="100"/>
      <c r="V12" s="99"/>
      <c r="W12" s="94"/>
      <c r="X12" s="95"/>
      <c r="Y12" s="95"/>
      <c r="Z12" s="100"/>
      <c r="AA12" s="92"/>
      <c r="AB12" s="89"/>
      <c r="AC12" s="77"/>
      <c r="AD12" s="77"/>
      <c r="AE12" s="77"/>
      <c r="AF12" s="92"/>
    </row>
    <row r="13">
      <c r="B13" s="88" t="s">
        <v>229</v>
      </c>
      <c r="C13" s="89"/>
      <c r="D13" s="77"/>
      <c r="E13" s="77"/>
      <c r="F13" s="91"/>
      <c r="G13" s="92"/>
      <c r="H13" s="89"/>
      <c r="I13" s="77"/>
      <c r="J13" s="77"/>
      <c r="K13" s="77"/>
      <c r="L13" s="92"/>
      <c r="M13" s="89"/>
      <c r="N13" s="77"/>
      <c r="O13" s="77"/>
      <c r="P13" s="77"/>
      <c r="Q13" s="112"/>
      <c r="R13" s="113"/>
      <c r="S13" s="114"/>
      <c r="T13" s="114"/>
      <c r="U13" s="91"/>
      <c r="V13" s="92"/>
      <c r="W13" s="89"/>
      <c r="X13" s="77"/>
      <c r="Y13" s="77"/>
      <c r="Z13" s="91"/>
      <c r="AA13" s="92"/>
      <c r="AB13" s="89"/>
      <c r="AC13" s="77"/>
      <c r="AD13" s="77"/>
      <c r="AE13" s="77"/>
      <c r="AF13" s="92"/>
    </row>
    <row r="14">
      <c r="B14" s="88" t="s">
        <v>230</v>
      </c>
      <c r="C14" s="89"/>
      <c r="D14" s="77"/>
      <c r="E14" s="77"/>
      <c r="F14" s="91"/>
      <c r="G14" s="92"/>
      <c r="H14" s="89"/>
      <c r="I14" s="77"/>
      <c r="J14" s="77"/>
      <c r="K14" s="77"/>
      <c r="L14" s="92"/>
      <c r="M14" s="89"/>
      <c r="N14" s="77"/>
      <c r="O14" s="77"/>
      <c r="P14" s="77"/>
      <c r="Q14" s="92"/>
      <c r="R14" s="89"/>
      <c r="S14" s="77"/>
      <c r="T14" s="115"/>
      <c r="U14" s="91"/>
      <c r="V14" s="92"/>
      <c r="W14" s="89"/>
      <c r="X14" s="77"/>
      <c r="Y14" s="77"/>
      <c r="Z14" s="91"/>
      <c r="AA14" s="92"/>
      <c r="AB14" s="89"/>
      <c r="AC14" s="77"/>
      <c r="AD14" s="77"/>
      <c r="AE14" s="77"/>
      <c r="AF14" s="92"/>
    </row>
    <row r="15">
      <c r="B15" s="116" t="s">
        <v>231</v>
      </c>
      <c r="C15" s="117"/>
      <c r="D15" s="118"/>
      <c r="E15" s="118"/>
      <c r="F15" s="119"/>
      <c r="G15" s="120"/>
      <c r="H15" s="117"/>
      <c r="I15" s="118"/>
      <c r="J15" s="118"/>
      <c r="K15" s="118"/>
      <c r="L15" s="120"/>
      <c r="M15" s="117"/>
      <c r="N15" s="118"/>
      <c r="O15" s="118"/>
      <c r="P15" s="118"/>
      <c r="Q15" s="120"/>
      <c r="R15" s="117"/>
      <c r="S15" s="118"/>
      <c r="T15" s="118"/>
      <c r="U15" s="121"/>
      <c r="V15" s="120"/>
      <c r="W15" s="117"/>
      <c r="X15" s="118"/>
      <c r="Y15" s="118"/>
      <c r="Z15" s="119"/>
      <c r="AA15" s="120"/>
      <c r="AB15" s="117"/>
      <c r="AC15" s="118"/>
      <c r="AD15" s="118"/>
      <c r="AE15" s="118"/>
      <c r="AF15" s="120"/>
    </row>
  </sheetData>
  <mergeCells count="6">
    <mergeCell ref="C2:G2"/>
    <mergeCell ref="H2:L2"/>
    <mergeCell ref="M2:Q2"/>
    <mergeCell ref="R2:V2"/>
    <mergeCell ref="W2:AA2"/>
    <mergeCell ref="AB2:AF2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1.43"/>
    <col customWidth="1" min="2" max="2" width="16.71"/>
    <col customWidth="1" min="3" max="6" width="11.43"/>
    <col customWidth="1" min="7" max="7" width="12.86"/>
    <col customWidth="1" min="8" max="8" width="17.57"/>
    <col customWidth="1" min="9" max="26" width="11.43"/>
  </cols>
  <sheetData>
    <row r="1" ht="14.25" customHeight="1"/>
    <row r="2" ht="14.25" customHeight="1">
      <c r="B2" s="52" t="s">
        <v>167</v>
      </c>
      <c r="C2" s="122">
        <f t="shared" ref="C2:C3" si="1">C20</f>
        <v>0.1224615385</v>
      </c>
      <c r="D2" s="123">
        <v>12.25</v>
      </c>
    </row>
    <row r="3" ht="14.25" customHeight="1">
      <c r="B3" s="52" t="s">
        <v>168</v>
      </c>
      <c r="C3" s="124">
        <f t="shared" si="1"/>
        <v>0.199</v>
      </c>
      <c r="G3" s="52" t="s">
        <v>171</v>
      </c>
      <c r="H3" s="50">
        <f>'Cuadro de inversión inicial'!E93+'Cuadro de inversión inicial'!E101+'Cuadro de inversión inicial'!E112</f>
        <v>12280000</v>
      </c>
    </row>
    <row r="4" ht="16.5" customHeight="1">
      <c r="B4" s="52" t="s">
        <v>232</v>
      </c>
      <c r="C4" s="125"/>
      <c r="D4" s="126">
        <v>0.038</v>
      </c>
      <c r="G4" s="52" t="s">
        <v>173</v>
      </c>
      <c r="H4" s="50">
        <f>('Cuadro de inversión inicial'!E77+'Cuadro de inversión inicial'!E84+'Cuadro de inversión inicial'!E122)/'Paquete de servicios'!H3</f>
        <v>99816.66667</v>
      </c>
    </row>
    <row r="5" ht="14.25" customHeight="1">
      <c r="G5" s="52" t="s">
        <v>174</v>
      </c>
      <c r="H5" s="50">
        <f>'Paquete de servicios'!E3</f>
        <v>2650000</v>
      </c>
    </row>
    <row r="6" ht="14.25" customHeight="1">
      <c r="B6" s="123" t="s">
        <v>233</v>
      </c>
      <c r="G6" s="57" t="s">
        <v>175</v>
      </c>
      <c r="H6" s="127">
        <f>H3/(H5-H4)</f>
        <v>4.815340074</v>
      </c>
    </row>
    <row r="7" ht="14.25" customHeight="1">
      <c r="B7" s="128">
        <v>45108.0</v>
      </c>
      <c r="C7" s="129">
        <v>0.118</v>
      </c>
    </row>
    <row r="8" ht="14.25" customHeight="1">
      <c r="B8" s="130">
        <v>45078.0</v>
      </c>
      <c r="C8" s="131">
        <v>0.121</v>
      </c>
    </row>
    <row r="9" ht="14.25" customHeight="1">
      <c r="B9" s="128">
        <v>45047.0</v>
      </c>
      <c r="C9" s="129">
        <v>0.124</v>
      </c>
    </row>
    <row r="10" ht="14.25" customHeight="1">
      <c r="B10" s="130">
        <v>45017.0</v>
      </c>
      <c r="C10" s="131">
        <v>0.128</v>
      </c>
    </row>
    <row r="11" ht="14.25" customHeight="1">
      <c r="B11" s="128">
        <v>44986.0</v>
      </c>
      <c r="C11" s="129">
        <v>0.133</v>
      </c>
    </row>
    <row r="12" ht="14.25" customHeight="1">
      <c r="B12" s="130">
        <v>44958.0</v>
      </c>
      <c r="C12" s="131">
        <v>0.133</v>
      </c>
    </row>
    <row r="13" ht="14.25" customHeight="1">
      <c r="B13" s="128">
        <v>44927.0</v>
      </c>
      <c r="C13" s="129">
        <v>0.133</v>
      </c>
    </row>
    <row r="14" ht="14.25" customHeight="1">
      <c r="B14" s="130">
        <v>44896.0</v>
      </c>
      <c r="C14" s="131">
        <v>0.131</v>
      </c>
    </row>
    <row r="15" ht="14.25" customHeight="1">
      <c r="B15" s="128">
        <v>44866.0</v>
      </c>
      <c r="C15" s="129">
        <v>0.125</v>
      </c>
    </row>
    <row r="16" ht="14.25" customHeight="1">
      <c r="B16" s="130">
        <v>44835.0</v>
      </c>
      <c r="C16" s="131">
        <v>0.122</v>
      </c>
    </row>
    <row r="17" ht="14.25" customHeight="1">
      <c r="B17" s="128">
        <v>44805.0</v>
      </c>
      <c r="C17" s="129">
        <v>0.114</v>
      </c>
    </row>
    <row r="18" ht="14.25" customHeight="1">
      <c r="B18" s="130">
        <v>44774.0</v>
      </c>
      <c r="C18" s="131">
        <v>0.108</v>
      </c>
    </row>
    <row r="19" ht="14.25" customHeight="1">
      <c r="B19" s="128">
        <v>44743.0</v>
      </c>
      <c r="C19" s="129">
        <v>0.102</v>
      </c>
    </row>
    <row r="20" ht="14.25" customHeight="1">
      <c r="C20" s="126">
        <f>AVERAGE(C7:C19)</f>
        <v>0.1224615385</v>
      </c>
    </row>
    <row r="21" ht="14.25" customHeight="1">
      <c r="C21" s="123">
        <f>SUM(C7:C19)/8</f>
        <v>0.199</v>
      </c>
    </row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11.43"/>
    <col customWidth="1" min="2" max="2" width="14.43"/>
    <col customWidth="1" min="3" max="3" width="11.43"/>
    <col customWidth="1" min="4" max="4" width="21.43"/>
    <col customWidth="1" min="5" max="5" width="19.14"/>
    <col customWidth="1" min="6" max="6" width="20.43"/>
    <col customWidth="1" min="7" max="25" width="11.43"/>
  </cols>
  <sheetData>
    <row r="1" ht="14.25" customHeight="1"/>
    <row r="2" ht="14.25" customHeight="1">
      <c r="B2" s="132" t="s">
        <v>234</v>
      </c>
      <c r="C2" s="132" t="s">
        <v>2</v>
      </c>
      <c r="D2" s="132" t="s">
        <v>235</v>
      </c>
      <c r="E2" s="132" t="s">
        <v>236</v>
      </c>
      <c r="F2" s="132" t="s">
        <v>237</v>
      </c>
    </row>
    <row r="3" ht="14.25" customHeight="1">
      <c r="B3" s="71" t="s">
        <v>238</v>
      </c>
      <c r="C3" s="71">
        <f>'Paquete de servicios'!H6</f>
        <v>6</v>
      </c>
      <c r="D3" s="50">
        <f>C3*'IPC mensual'!$H$5</f>
        <v>15900000</v>
      </c>
      <c r="E3" s="50">
        <f>'IPC mensual'!$H$3+'IPC mensual'!$H$4</f>
        <v>12379816.67</v>
      </c>
      <c r="F3" s="50">
        <f t="shared" ref="F3:F14" si="1">D3-E3</f>
        <v>3520183.333</v>
      </c>
    </row>
    <row r="4" ht="14.25" customHeight="1">
      <c r="B4" s="71" t="s">
        <v>239</v>
      </c>
      <c r="C4" s="71">
        <f>(C3*'IPC mensual'!$D$4)+'Ingresos y Costos proyectados'!C3</f>
        <v>6.228</v>
      </c>
      <c r="D4" s="50">
        <f>C4*'IPC mensual'!$H$5</f>
        <v>16504200</v>
      </c>
      <c r="E4" s="50">
        <f>'IPC mensual'!$H$3+'IPC mensual'!$H$4</f>
        <v>12379816.67</v>
      </c>
      <c r="F4" s="50">
        <f t="shared" si="1"/>
        <v>4124383.333</v>
      </c>
    </row>
    <row r="5" ht="14.25" customHeight="1">
      <c r="B5" s="65" t="s">
        <v>240</v>
      </c>
      <c r="C5" s="65">
        <f>(C4*'IPC mensual'!$D$4)+'Ingresos y Costos proyectados'!C4</f>
        <v>6.464664</v>
      </c>
      <c r="D5" s="50">
        <f>C5*'IPC mensual'!$H$5</f>
        <v>17131359.6</v>
      </c>
      <c r="E5" s="50">
        <f>'IPC mensual'!$H$3+'IPC mensual'!$H$4</f>
        <v>12379816.67</v>
      </c>
      <c r="F5" s="50">
        <f t="shared" si="1"/>
        <v>4751542.933</v>
      </c>
    </row>
    <row r="6" ht="14.25" customHeight="1">
      <c r="B6" s="65" t="s">
        <v>241</v>
      </c>
      <c r="C6" s="65">
        <f>(C5*'IPC mensual'!$D$4)+'Ingresos y Costos proyectados'!C5</f>
        <v>6.710321232</v>
      </c>
      <c r="D6" s="50">
        <f>C6*'IPC mensual'!$H$5</f>
        <v>17782351.26</v>
      </c>
      <c r="E6" s="50">
        <f>'IPC mensual'!$H$3+'IPC mensual'!$H$4</f>
        <v>12379816.67</v>
      </c>
      <c r="F6" s="50">
        <f t="shared" si="1"/>
        <v>5402534.598</v>
      </c>
    </row>
    <row r="7" ht="14.25" customHeight="1">
      <c r="B7" s="65" t="s">
        <v>242</v>
      </c>
      <c r="C7" s="65">
        <f>(C6*'IPC mensual'!$D$4)+'Ingresos y Costos proyectados'!C6</f>
        <v>6.965313439</v>
      </c>
      <c r="D7" s="50">
        <f>C7*'IPC mensual'!$H$5</f>
        <v>18458080.61</v>
      </c>
      <c r="E7" s="50">
        <f>'IPC mensual'!$H$3+'IPC mensual'!$H$4</f>
        <v>12379816.67</v>
      </c>
      <c r="F7" s="50">
        <f t="shared" si="1"/>
        <v>6078263.946</v>
      </c>
    </row>
    <row r="8" ht="14.25" customHeight="1">
      <c r="B8" s="65" t="s">
        <v>243</v>
      </c>
      <c r="C8" s="65">
        <f>(C7*'IPC mensual'!$D$4)+'Ingresos y Costos proyectados'!C7</f>
        <v>7.229995349</v>
      </c>
      <c r="D8" s="50">
        <f>C8*'IPC mensual'!$H$5</f>
        <v>19159487.68</v>
      </c>
      <c r="E8" s="50">
        <f>'IPC mensual'!$H$3+'IPC mensual'!$H$4</f>
        <v>12379816.67</v>
      </c>
      <c r="F8" s="50">
        <f t="shared" si="1"/>
        <v>6779671.009</v>
      </c>
    </row>
    <row r="9" ht="14.25" customHeight="1">
      <c r="B9" s="65" t="s">
        <v>244</v>
      </c>
      <c r="C9" s="65">
        <f>(C8*'IPC mensual'!$D$4)+'Ingresos y Costos proyectados'!C8</f>
        <v>7.504735173</v>
      </c>
      <c r="D9" s="50">
        <f>C9*'IPC mensual'!$H$5</f>
        <v>19887548.21</v>
      </c>
      <c r="E9" s="50">
        <f>'IPC mensual'!$H$3+'IPC mensual'!$H$4</f>
        <v>12379816.67</v>
      </c>
      <c r="F9" s="50">
        <f t="shared" si="1"/>
        <v>7507731.541</v>
      </c>
    </row>
    <row r="10" ht="14.25" customHeight="1">
      <c r="B10" s="65" t="s">
        <v>233</v>
      </c>
      <c r="C10" s="65">
        <f>(C9*'IPC mensual'!$D$4)+'Ingresos y Costos proyectados'!C9</f>
        <v>7.789915109</v>
      </c>
      <c r="D10" s="50">
        <f>C10*'IPC mensual'!$H$5</f>
        <v>20643275.04</v>
      </c>
      <c r="E10" s="50">
        <f>'IPC mensual'!$H$3+'IPC mensual'!$H$4</f>
        <v>12379816.67</v>
      </c>
      <c r="F10" s="50">
        <f t="shared" si="1"/>
        <v>8263458.373</v>
      </c>
    </row>
    <row r="11" ht="14.25" customHeight="1">
      <c r="B11" s="65" t="s">
        <v>245</v>
      </c>
      <c r="C11" s="65">
        <f>(C10*'IPC mensual'!$D$4)+'Ingresos y Costos proyectados'!C10</f>
        <v>8.085931883</v>
      </c>
      <c r="D11" s="50">
        <f>C11*'IPC mensual'!$H$5</f>
        <v>21427719.49</v>
      </c>
      <c r="E11" s="50">
        <f>'IPC mensual'!$H$3+'IPC mensual'!$H$4</f>
        <v>12379816.67</v>
      </c>
      <c r="F11" s="50">
        <f t="shared" si="1"/>
        <v>9047902.825</v>
      </c>
    </row>
    <row r="12" ht="14.25" customHeight="1">
      <c r="B12" s="65" t="s">
        <v>246</v>
      </c>
      <c r="C12" s="65">
        <f>(C11*'IPC mensual'!$D$4)+'Ingresos y Costos proyectados'!C11</f>
        <v>8.393197295</v>
      </c>
      <c r="D12" s="50">
        <f>C12*'IPC mensual'!$H$5</f>
        <v>22241972.83</v>
      </c>
      <c r="E12" s="50">
        <f>'IPC mensual'!$H$3+'IPC mensual'!$H$4</f>
        <v>12379816.67</v>
      </c>
      <c r="F12" s="50">
        <f t="shared" si="1"/>
        <v>9862156.165</v>
      </c>
    </row>
    <row r="13" ht="14.25" customHeight="1">
      <c r="B13" s="65" t="s">
        <v>247</v>
      </c>
      <c r="C13" s="65">
        <f>(C12*'IPC mensual'!$D$4)+'Ingresos y Costos proyectados'!C12</f>
        <v>8.712138792</v>
      </c>
      <c r="D13" s="50">
        <f>C13*'IPC mensual'!$H$5</f>
        <v>23087167.8</v>
      </c>
      <c r="E13" s="50">
        <f>'IPC mensual'!$H$3+'IPC mensual'!$H$4</f>
        <v>12379816.67</v>
      </c>
      <c r="F13" s="50">
        <f t="shared" si="1"/>
        <v>10707351.13</v>
      </c>
    </row>
    <row r="14" ht="14.25" customHeight="1">
      <c r="B14" s="65" t="s">
        <v>248</v>
      </c>
      <c r="C14" s="65">
        <f>(C13*'IPC mensual'!$D$4)+'Ingresos y Costos proyectados'!C13</f>
        <v>9.043200066</v>
      </c>
      <c r="D14" s="50">
        <f>C14*'IPC mensual'!$H$5</f>
        <v>23964480.18</v>
      </c>
      <c r="E14" s="50">
        <f>'IPC mensual'!$H$3+'IPC mensual'!$H$4</f>
        <v>12379816.67</v>
      </c>
      <c r="F14" s="50">
        <f t="shared" si="1"/>
        <v>11584663.51</v>
      </c>
    </row>
    <row r="15" ht="14.25" customHeight="1">
      <c r="B15" s="133" t="s">
        <v>199</v>
      </c>
      <c r="C15" s="133"/>
      <c r="D15" s="134">
        <f t="shared" ref="D15:F15" si="2">SUM(D3:D14)</f>
        <v>236187642.7</v>
      </c>
      <c r="E15" s="134">
        <f t="shared" si="2"/>
        <v>148557800</v>
      </c>
      <c r="F15" s="134">
        <f t="shared" si="2"/>
        <v>87629842.7</v>
      </c>
    </row>
    <row r="16" ht="14.25" customHeight="1"/>
    <row r="17" ht="14.25" customHeight="1"/>
    <row r="18" ht="14.25" customHeight="1"/>
    <row r="19" ht="14.25" customHeight="1">
      <c r="B19" s="60"/>
    </row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6.14"/>
    <col customWidth="1" min="2" max="2" width="17.0"/>
    <col customWidth="1" min="3" max="3" width="16.0"/>
    <col customWidth="1" min="4" max="4" width="17.29"/>
    <col customWidth="1" min="5" max="5" width="19.0"/>
    <col customWidth="1" min="6" max="6" width="16.43"/>
    <col customWidth="1" min="7" max="7" width="19.0"/>
    <col customWidth="1" min="8" max="8" width="17.29"/>
    <col customWidth="1" min="9" max="9" width="19.86"/>
    <col customWidth="1" min="10" max="10" width="20.71"/>
    <col customWidth="1" min="11" max="11" width="15.71"/>
    <col customWidth="1" min="12" max="12" width="22.0"/>
    <col customWidth="1" min="13" max="13" width="17.14"/>
    <col customWidth="1" min="14" max="14" width="16.86"/>
    <col customWidth="1" min="15" max="15" width="19.29"/>
    <col customWidth="1" min="16" max="16" width="18.14"/>
    <col customWidth="1" min="17" max="26" width="11.43"/>
  </cols>
  <sheetData>
    <row r="1" ht="14.25" customHeight="1">
      <c r="A1" s="135" t="s">
        <v>249</v>
      </c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/>
      <c r="N1" s="138"/>
      <c r="O1" s="139"/>
      <c r="P1" s="139"/>
    </row>
    <row r="2" ht="14.25" customHeight="1">
      <c r="A2" s="140" t="s">
        <v>250</v>
      </c>
      <c r="B2" s="141" t="s">
        <v>251</v>
      </c>
      <c r="C2" s="141" t="s">
        <v>252</v>
      </c>
      <c r="D2" s="141" t="s">
        <v>253</v>
      </c>
      <c r="E2" s="141" t="s">
        <v>254</v>
      </c>
      <c r="F2" s="141" t="s">
        <v>255</v>
      </c>
      <c r="G2" s="141" t="s">
        <v>256</v>
      </c>
      <c r="H2" s="141" t="s">
        <v>257</v>
      </c>
      <c r="I2" s="141" t="s">
        <v>258</v>
      </c>
      <c r="J2" s="141" t="s">
        <v>259</v>
      </c>
      <c r="K2" s="141" t="s">
        <v>260</v>
      </c>
      <c r="L2" s="141" t="s">
        <v>261</v>
      </c>
      <c r="M2" s="142" t="s">
        <v>262</v>
      </c>
      <c r="N2" s="143" t="s">
        <v>263</v>
      </c>
      <c r="O2" s="143" t="s">
        <v>264</v>
      </c>
      <c r="P2" s="143" t="s">
        <v>265</v>
      </c>
    </row>
    <row r="3" ht="14.25" customHeight="1">
      <c r="A3" s="144"/>
      <c r="B3" s="144"/>
      <c r="C3" s="144"/>
      <c r="D3" s="144"/>
      <c r="E3" s="144"/>
      <c r="F3" s="144"/>
      <c r="G3" s="144"/>
      <c r="H3" s="144"/>
      <c r="I3" s="144"/>
      <c r="J3" s="144"/>
      <c r="K3" s="144"/>
      <c r="L3" s="144"/>
      <c r="M3" s="144"/>
      <c r="N3" s="144"/>
    </row>
    <row r="4" ht="14.25" customHeight="1">
      <c r="A4" s="145" t="s">
        <v>266</v>
      </c>
      <c r="B4" s="146">
        <f>'Ingresos y Costos proyectados'!D3</f>
        <v>15900000</v>
      </c>
      <c r="C4" s="147">
        <f>(B4*$O$6)+B4</f>
        <v>15900000</v>
      </c>
      <c r="D4" s="147">
        <f t="shared" ref="D4:M4" si="1">(C4*$B$25)+C4</f>
        <v>15900000</v>
      </c>
      <c r="E4" s="147">
        <f t="shared" si="1"/>
        <v>15900000</v>
      </c>
      <c r="F4" s="147">
        <f t="shared" si="1"/>
        <v>15900000</v>
      </c>
      <c r="G4" s="147">
        <f t="shared" si="1"/>
        <v>15900000</v>
      </c>
      <c r="H4" s="147">
        <f t="shared" si="1"/>
        <v>15900000</v>
      </c>
      <c r="I4" s="147">
        <f t="shared" si="1"/>
        <v>15900000</v>
      </c>
      <c r="J4" s="147">
        <f t="shared" si="1"/>
        <v>15900000</v>
      </c>
      <c r="K4" s="147">
        <f t="shared" si="1"/>
        <v>15900000</v>
      </c>
      <c r="L4" s="147">
        <f t="shared" si="1"/>
        <v>15900000</v>
      </c>
      <c r="M4" s="147">
        <f t="shared" si="1"/>
        <v>15900000</v>
      </c>
      <c r="N4" s="148">
        <f t="shared" ref="N4:N7" si="3">SUM(B4:M4)</f>
        <v>190800000</v>
      </c>
      <c r="O4" s="149">
        <f t="shared" ref="O4:P4" si="2">(N4*$B$26)+N4</f>
        <v>214165661.5</v>
      </c>
      <c r="P4" s="149">
        <f t="shared" si="2"/>
        <v>240392717.9</v>
      </c>
    </row>
    <row r="5" ht="14.25" customHeight="1">
      <c r="A5" s="145" t="s">
        <v>267</v>
      </c>
      <c r="B5" s="150">
        <v>0.0</v>
      </c>
      <c r="C5" s="150">
        <v>0.0</v>
      </c>
      <c r="D5" s="150">
        <v>0.0</v>
      </c>
      <c r="E5" s="150">
        <v>0.0</v>
      </c>
      <c r="F5" s="150">
        <v>0.0</v>
      </c>
      <c r="G5" s="150">
        <v>0.0</v>
      </c>
      <c r="H5" s="150">
        <v>0.0</v>
      </c>
      <c r="I5" s="150">
        <v>0.0</v>
      </c>
      <c r="J5" s="150">
        <v>0.0</v>
      </c>
      <c r="K5" s="150">
        <v>0.0</v>
      </c>
      <c r="L5" s="150">
        <v>0.0</v>
      </c>
      <c r="M5" s="150">
        <v>0.0</v>
      </c>
      <c r="N5" s="148">
        <f t="shared" si="3"/>
        <v>0</v>
      </c>
      <c r="O5" s="149">
        <f t="shared" ref="O5:P5" si="4">(N5*$B$26)+N5</f>
        <v>0</v>
      </c>
      <c r="P5" s="149">
        <f t="shared" si="4"/>
        <v>0</v>
      </c>
    </row>
    <row r="6" ht="14.25" customHeight="1">
      <c r="A6" s="151" t="s">
        <v>268</v>
      </c>
      <c r="B6" s="152"/>
      <c r="C6" s="153">
        <v>0.0</v>
      </c>
      <c r="D6" s="153">
        <v>0.0</v>
      </c>
      <c r="E6" s="153">
        <v>0.0</v>
      </c>
      <c r="F6" s="153">
        <v>0.0</v>
      </c>
      <c r="G6" s="153">
        <v>0.0</v>
      </c>
      <c r="H6" s="153">
        <v>0.0</v>
      </c>
      <c r="I6" s="153">
        <v>0.0</v>
      </c>
      <c r="J6" s="153">
        <v>0.0</v>
      </c>
      <c r="K6" s="153">
        <v>0.0</v>
      </c>
      <c r="L6" s="153">
        <v>0.0</v>
      </c>
      <c r="M6" s="153">
        <v>0.0</v>
      </c>
      <c r="N6" s="148">
        <f t="shared" si="3"/>
        <v>0</v>
      </c>
      <c r="O6" s="149">
        <f t="shared" ref="O6:P6" si="5">(N6*$B$26)+N6</f>
        <v>0</v>
      </c>
      <c r="P6" s="149">
        <f t="shared" si="5"/>
        <v>0</v>
      </c>
    </row>
    <row r="7" ht="14.25" customHeight="1">
      <c r="A7" s="154" t="s">
        <v>199</v>
      </c>
      <c r="B7" s="155">
        <f t="shared" ref="B7:M7" si="6">SUM(B4:B6)</f>
        <v>15900000</v>
      </c>
      <c r="C7" s="155">
        <f t="shared" si="6"/>
        <v>15900000</v>
      </c>
      <c r="D7" s="155">
        <f t="shared" si="6"/>
        <v>15900000</v>
      </c>
      <c r="E7" s="155">
        <f t="shared" si="6"/>
        <v>15900000</v>
      </c>
      <c r="F7" s="155">
        <f t="shared" si="6"/>
        <v>15900000</v>
      </c>
      <c r="G7" s="155">
        <f t="shared" si="6"/>
        <v>15900000</v>
      </c>
      <c r="H7" s="155">
        <f t="shared" si="6"/>
        <v>15900000</v>
      </c>
      <c r="I7" s="155">
        <f t="shared" si="6"/>
        <v>15900000</v>
      </c>
      <c r="J7" s="155">
        <f t="shared" si="6"/>
        <v>15900000</v>
      </c>
      <c r="K7" s="155">
        <f t="shared" si="6"/>
        <v>15900000</v>
      </c>
      <c r="L7" s="155">
        <f t="shared" si="6"/>
        <v>15900000</v>
      </c>
      <c r="M7" s="155">
        <f t="shared" si="6"/>
        <v>15900000</v>
      </c>
      <c r="N7" s="148">
        <f t="shared" si="3"/>
        <v>190800000</v>
      </c>
      <c r="O7" s="149">
        <f t="shared" ref="O7:P7" si="7">(N7*$B$26)+N7</f>
        <v>214165661.5</v>
      </c>
      <c r="P7" s="149">
        <f t="shared" si="7"/>
        <v>240392717.9</v>
      </c>
    </row>
    <row r="8" ht="14.25" customHeight="1">
      <c r="A8" s="144"/>
      <c r="B8" s="144"/>
      <c r="C8" s="144"/>
      <c r="D8" s="144"/>
      <c r="E8" s="144"/>
      <c r="F8" s="144"/>
      <c r="G8" s="144"/>
      <c r="H8" s="144"/>
      <c r="I8" s="144"/>
      <c r="J8" s="144"/>
      <c r="K8" s="144"/>
      <c r="L8" s="144"/>
      <c r="M8" s="144"/>
      <c r="N8" s="52"/>
      <c r="O8" s="149">
        <f t="shared" ref="O8:P8" si="8">(N8*$B$26)+N8</f>
        <v>0</v>
      </c>
      <c r="P8" s="149">
        <f t="shared" si="8"/>
        <v>0</v>
      </c>
    </row>
    <row r="9" ht="14.25" customHeight="1">
      <c r="A9" s="156"/>
      <c r="B9" s="157">
        <v>0.0</v>
      </c>
      <c r="C9" s="158"/>
      <c r="D9" s="158"/>
      <c r="E9" s="158"/>
      <c r="F9" s="158"/>
      <c r="G9" s="158"/>
      <c r="H9" s="158"/>
      <c r="I9" s="158"/>
      <c r="J9" s="158"/>
      <c r="K9" s="158"/>
      <c r="L9" s="158"/>
      <c r="M9" s="158"/>
      <c r="N9" s="159"/>
      <c r="O9" s="149">
        <f t="shared" ref="O9:P9" si="9">(N9*$B$26)+N9</f>
        <v>0</v>
      </c>
      <c r="P9" s="149">
        <f t="shared" si="9"/>
        <v>0</v>
      </c>
    </row>
    <row r="10" ht="14.25" customHeight="1">
      <c r="A10" s="160" t="s">
        <v>269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0"/>
      <c r="O10" s="149">
        <f t="shared" ref="O10:P10" si="10">(N10*$B$26)+N10</f>
        <v>0</v>
      </c>
      <c r="P10" s="149">
        <f t="shared" si="10"/>
        <v>0</v>
      </c>
    </row>
    <row r="11" ht="14.25" customHeight="1">
      <c r="A11" s="145" t="s">
        <v>270</v>
      </c>
      <c r="B11" s="150">
        <f>('Cuadro de inversión inicial'!E93+'Cuadro de inversión inicial'!E101)/12</f>
        <v>400000</v>
      </c>
      <c r="C11" s="150">
        <f t="shared" ref="C11:M11" si="11">$B$11</f>
        <v>400000</v>
      </c>
      <c r="D11" s="150">
        <f t="shared" si="11"/>
        <v>400000</v>
      </c>
      <c r="E11" s="150">
        <f t="shared" si="11"/>
        <v>400000</v>
      </c>
      <c r="F11" s="150">
        <f t="shared" si="11"/>
        <v>400000</v>
      </c>
      <c r="G11" s="150">
        <f t="shared" si="11"/>
        <v>400000</v>
      </c>
      <c r="H11" s="150">
        <f t="shared" si="11"/>
        <v>400000</v>
      </c>
      <c r="I11" s="150">
        <f t="shared" si="11"/>
        <v>400000</v>
      </c>
      <c r="J11" s="150">
        <f t="shared" si="11"/>
        <v>400000</v>
      </c>
      <c r="K11" s="150">
        <f t="shared" si="11"/>
        <v>400000</v>
      </c>
      <c r="L11" s="150">
        <f t="shared" si="11"/>
        <v>400000</v>
      </c>
      <c r="M11" s="150">
        <f t="shared" si="11"/>
        <v>400000</v>
      </c>
      <c r="N11" s="148">
        <f t="shared" ref="N11:N17" si="14">SUM(B11:M11)</f>
        <v>4800000</v>
      </c>
      <c r="O11" s="149">
        <f t="shared" ref="O11:P11" si="12">(N11*$B$26)+N11</f>
        <v>5387815.385</v>
      </c>
      <c r="P11" s="149">
        <f t="shared" si="12"/>
        <v>6047615.546</v>
      </c>
    </row>
    <row r="12" ht="14.25" customHeight="1">
      <c r="A12" s="145" t="s">
        <v>271</v>
      </c>
      <c r="B12" s="150">
        <f>'Cuadro de inversión inicial'!E77/12</f>
        <v>0</v>
      </c>
      <c r="C12" s="150">
        <f t="shared" ref="C12:M12" si="13">(B12*$AB$44)+B12</f>
        <v>0</v>
      </c>
      <c r="D12" s="150">
        <f t="shared" si="13"/>
        <v>0</v>
      </c>
      <c r="E12" s="150">
        <f t="shared" si="13"/>
        <v>0</v>
      </c>
      <c r="F12" s="150">
        <f t="shared" si="13"/>
        <v>0</v>
      </c>
      <c r="G12" s="150">
        <f t="shared" si="13"/>
        <v>0</v>
      </c>
      <c r="H12" s="150">
        <f t="shared" si="13"/>
        <v>0</v>
      </c>
      <c r="I12" s="150">
        <f t="shared" si="13"/>
        <v>0</v>
      </c>
      <c r="J12" s="150">
        <f t="shared" si="13"/>
        <v>0</v>
      </c>
      <c r="K12" s="150">
        <f t="shared" si="13"/>
        <v>0</v>
      </c>
      <c r="L12" s="150">
        <f t="shared" si="13"/>
        <v>0</v>
      </c>
      <c r="M12" s="150">
        <f t="shared" si="13"/>
        <v>0</v>
      </c>
      <c r="N12" s="148">
        <f t="shared" si="14"/>
        <v>0</v>
      </c>
      <c r="O12" s="149">
        <f t="shared" ref="O12:P12" si="15">(N12*$B$26)+N12</f>
        <v>0</v>
      </c>
      <c r="P12" s="149">
        <f t="shared" si="15"/>
        <v>0</v>
      </c>
    </row>
    <row r="13" ht="14.25" customHeight="1">
      <c r="A13" s="145" t="s">
        <v>272</v>
      </c>
      <c r="B13" s="150">
        <f>'Cuadro de inversión inicial'!E84</f>
        <v>1576800</v>
      </c>
      <c r="C13" s="150">
        <f t="shared" ref="C13:M13" si="16">(B13*$AB$44)+B13</f>
        <v>1576800</v>
      </c>
      <c r="D13" s="150">
        <f t="shared" si="16"/>
        <v>1576800</v>
      </c>
      <c r="E13" s="150">
        <f t="shared" si="16"/>
        <v>1576800</v>
      </c>
      <c r="F13" s="150">
        <f t="shared" si="16"/>
        <v>1576800</v>
      </c>
      <c r="G13" s="150">
        <f t="shared" si="16"/>
        <v>1576800</v>
      </c>
      <c r="H13" s="150">
        <f t="shared" si="16"/>
        <v>1576800</v>
      </c>
      <c r="I13" s="150">
        <f t="shared" si="16"/>
        <v>1576800</v>
      </c>
      <c r="J13" s="150">
        <f t="shared" si="16"/>
        <v>1576800</v>
      </c>
      <c r="K13" s="150">
        <f t="shared" si="16"/>
        <v>1576800</v>
      </c>
      <c r="L13" s="150">
        <f t="shared" si="16"/>
        <v>1576800</v>
      </c>
      <c r="M13" s="150">
        <f t="shared" si="16"/>
        <v>1576800</v>
      </c>
      <c r="N13" s="148">
        <f t="shared" si="14"/>
        <v>18921600</v>
      </c>
      <c r="O13" s="149">
        <f t="shared" ref="O13:P13" si="17">(N13*$B$26)+N13</f>
        <v>21238768.25</v>
      </c>
      <c r="P13" s="149">
        <f t="shared" si="17"/>
        <v>23839700.48</v>
      </c>
    </row>
    <row r="14" ht="14.25" customHeight="1">
      <c r="A14" s="145" t="s">
        <v>273</v>
      </c>
      <c r="B14" s="150">
        <f>'Cuadro de inversión inicial'!E112/12</f>
        <v>623333.3333</v>
      </c>
      <c r="C14" s="150">
        <f t="shared" ref="C14:M14" si="18">$B$14</f>
        <v>623333.3333</v>
      </c>
      <c r="D14" s="150">
        <f t="shared" si="18"/>
        <v>623333.3333</v>
      </c>
      <c r="E14" s="150">
        <f t="shared" si="18"/>
        <v>623333.3333</v>
      </c>
      <c r="F14" s="150">
        <f t="shared" si="18"/>
        <v>623333.3333</v>
      </c>
      <c r="G14" s="150">
        <f t="shared" si="18"/>
        <v>623333.3333</v>
      </c>
      <c r="H14" s="150">
        <f t="shared" si="18"/>
        <v>623333.3333</v>
      </c>
      <c r="I14" s="150">
        <f t="shared" si="18"/>
        <v>623333.3333</v>
      </c>
      <c r="J14" s="150">
        <f t="shared" si="18"/>
        <v>623333.3333</v>
      </c>
      <c r="K14" s="150">
        <f t="shared" si="18"/>
        <v>623333.3333</v>
      </c>
      <c r="L14" s="150">
        <f t="shared" si="18"/>
        <v>623333.3333</v>
      </c>
      <c r="M14" s="150">
        <f t="shared" si="18"/>
        <v>623333.3333</v>
      </c>
      <c r="N14" s="148">
        <f t="shared" si="14"/>
        <v>7480000</v>
      </c>
      <c r="O14" s="149">
        <f t="shared" ref="O14:P14" si="19">(N14*$B$26)+N14</f>
        <v>8396012.308</v>
      </c>
      <c r="P14" s="149">
        <f t="shared" si="19"/>
        <v>9424200.892</v>
      </c>
    </row>
    <row r="15" ht="14.25" customHeight="1">
      <c r="A15" s="145" t="s">
        <v>274</v>
      </c>
      <c r="B15" s="150">
        <f>'Cuadro de inversión inicial'!$E$122/12</f>
        <v>467500</v>
      </c>
      <c r="C15" s="150">
        <f t="shared" ref="C15:M15" si="20">(B15*$AB$44)+B15</f>
        <v>467500</v>
      </c>
      <c r="D15" s="150">
        <f t="shared" si="20"/>
        <v>467500</v>
      </c>
      <c r="E15" s="150">
        <f t="shared" si="20"/>
        <v>467500</v>
      </c>
      <c r="F15" s="150">
        <f t="shared" si="20"/>
        <v>467500</v>
      </c>
      <c r="G15" s="150">
        <f t="shared" si="20"/>
        <v>467500</v>
      </c>
      <c r="H15" s="150">
        <f t="shared" si="20"/>
        <v>467500</v>
      </c>
      <c r="I15" s="150">
        <f t="shared" si="20"/>
        <v>467500</v>
      </c>
      <c r="J15" s="150">
        <f t="shared" si="20"/>
        <v>467500</v>
      </c>
      <c r="K15" s="150">
        <f t="shared" si="20"/>
        <v>467500</v>
      </c>
      <c r="L15" s="150">
        <f t="shared" si="20"/>
        <v>467500</v>
      </c>
      <c r="M15" s="150">
        <f t="shared" si="20"/>
        <v>467500</v>
      </c>
      <c r="N15" s="148">
        <f t="shared" si="14"/>
        <v>5610000</v>
      </c>
      <c r="O15" s="149">
        <f t="shared" ref="O15:P15" si="21">(N15*$B$26)+N15</f>
        <v>6297009.231</v>
      </c>
      <c r="P15" s="149">
        <f t="shared" si="21"/>
        <v>7068150.669</v>
      </c>
    </row>
    <row r="16" ht="14.25" customHeight="1">
      <c r="A16" s="151" t="s">
        <v>275</v>
      </c>
      <c r="B16" s="150">
        <v>0.0</v>
      </c>
      <c r="C16" s="150">
        <v>0.0</v>
      </c>
      <c r="D16" s="150">
        <v>0.0</v>
      </c>
      <c r="E16" s="150">
        <v>0.0</v>
      </c>
      <c r="F16" s="150">
        <v>0.0</v>
      </c>
      <c r="G16" s="150">
        <v>0.0</v>
      </c>
      <c r="H16" s="150">
        <v>0.0</v>
      </c>
      <c r="I16" s="150">
        <v>0.0</v>
      </c>
      <c r="J16" s="150">
        <v>0.0</v>
      </c>
      <c r="K16" s="150">
        <v>0.0</v>
      </c>
      <c r="L16" s="150">
        <v>0.0</v>
      </c>
      <c r="M16" s="150">
        <v>0.0</v>
      </c>
      <c r="N16" s="148">
        <f t="shared" si="14"/>
        <v>0</v>
      </c>
      <c r="O16" s="149">
        <f t="shared" ref="O16:P16" si="22">(N16*$B$26)+N16</f>
        <v>0</v>
      </c>
      <c r="P16" s="149">
        <f t="shared" si="22"/>
        <v>0</v>
      </c>
    </row>
    <row r="17" ht="14.25" customHeight="1">
      <c r="A17" s="161" t="s">
        <v>276</v>
      </c>
      <c r="B17" s="162">
        <f t="shared" ref="B17:M17" si="23">SUM(B11:B16)</f>
        <v>3067633.333</v>
      </c>
      <c r="C17" s="162">
        <f t="shared" si="23"/>
        <v>3067633.333</v>
      </c>
      <c r="D17" s="162">
        <f t="shared" si="23"/>
        <v>3067633.333</v>
      </c>
      <c r="E17" s="162">
        <f t="shared" si="23"/>
        <v>3067633.333</v>
      </c>
      <c r="F17" s="162">
        <f t="shared" si="23"/>
        <v>3067633.333</v>
      </c>
      <c r="G17" s="162">
        <f t="shared" si="23"/>
        <v>3067633.333</v>
      </c>
      <c r="H17" s="162">
        <f t="shared" si="23"/>
        <v>3067633.333</v>
      </c>
      <c r="I17" s="162">
        <f t="shared" si="23"/>
        <v>3067633.333</v>
      </c>
      <c r="J17" s="162">
        <f t="shared" si="23"/>
        <v>3067633.333</v>
      </c>
      <c r="K17" s="162">
        <f t="shared" si="23"/>
        <v>3067633.333</v>
      </c>
      <c r="L17" s="162">
        <f t="shared" si="23"/>
        <v>3067633.333</v>
      </c>
      <c r="M17" s="162">
        <f t="shared" si="23"/>
        <v>3067633.333</v>
      </c>
      <c r="N17" s="148">
        <f t="shared" si="14"/>
        <v>36811600</v>
      </c>
      <c r="O17" s="149">
        <f t="shared" ref="O17:P17" si="24">(N17*$B$26)+N17</f>
        <v>41319605.17</v>
      </c>
      <c r="P17" s="149">
        <f t="shared" si="24"/>
        <v>46379667.59</v>
      </c>
    </row>
    <row r="18" ht="14.25" customHeight="1">
      <c r="A18" s="156"/>
      <c r="B18" s="156"/>
      <c r="C18" s="156"/>
      <c r="D18" s="156"/>
      <c r="E18" s="156"/>
      <c r="F18" s="156"/>
      <c r="G18" s="156"/>
      <c r="H18" s="156"/>
      <c r="I18" s="156"/>
      <c r="J18" s="156"/>
      <c r="K18" s="156"/>
      <c r="L18" s="156"/>
      <c r="M18" s="156"/>
      <c r="N18" s="52"/>
      <c r="O18" s="163">
        <f t="shared" ref="O18:P18" si="25">(N18*$B$26)+N18</f>
        <v>0</v>
      </c>
      <c r="P18" s="163">
        <f t="shared" si="25"/>
        <v>0</v>
      </c>
    </row>
    <row r="19" ht="14.25" customHeight="1">
      <c r="A19" s="164" t="s">
        <v>277</v>
      </c>
      <c r="B19" s="165">
        <f t="shared" ref="B19:M19" si="26">B17</f>
        <v>3067633.333</v>
      </c>
      <c r="C19" s="165">
        <f t="shared" si="26"/>
        <v>3067633.333</v>
      </c>
      <c r="D19" s="165">
        <f t="shared" si="26"/>
        <v>3067633.333</v>
      </c>
      <c r="E19" s="165">
        <f t="shared" si="26"/>
        <v>3067633.333</v>
      </c>
      <c r="F19" s="165">
        <f t="shared" si="26"/>
        <v>3067633.333</v>
      </c>
      <c r="G19" s="165">
        <f t="shared" si="26"/>
        <v>3067633.333</v>
      </c>
      <c r="H19" s="165">
        <f t="shared" si="26"/>
        <v>3067633.333</v>
      </c>
      <c r="I19" s="165">
        <f t="shared" si="26"/>
        <v>3067633.333</v>
      </c>
      <c r="J19" s="165">
        <f t="shared" si="26"/>
        <v>3067633.333</v>
      </c>
      <c r="K19" s="165">
        <f t="shared" si="26"/>
        <v>3067633.333</v>
      </c>
      <c r="L19" s="165">
        <f t="shared" si="26"/>
        <v>3067633.333</v>
      </c>
      <c r="M19" s="166">
        <f t="shared" si="26"/>
        <v>3067633.333</v>
      </c>
      <c r="N19" s="167">
        <f t="shared" ref="N19:N21" si="29">N5-N15</f>
        <v>-5610000</v>
      </c>
      <c r="O19" s="168">
        <f t="shared" ref="O19:P19" si="27">(N19*$B$26)+N19</f>
        <v>-6297009.231</v>
      </c>
      <c r="P19" s="168">
        <f t="shared" si="27"/>
        <v>-7068150.669</v>
      </c>
    </row>
    <row r="20" ht="14.25" customHeight="1">
      <c r="A20" s="164" t="s">
        <v>278</v>
      </c>
      <c r="B20" s="165">
        <f t="shared" ref="B20:M20" si="28">B7-B19</f>
        <v>12832366.67</v>
      </c>
      <c r="C20" s="165">
        <f t="shared" si="28"/>
        <v>12832366.67</v>
      </c>
      <c r="D20" s="165">
        <f t="shared" si="28"/>
        <v>12832366.67</v>
      </c>
      <c r="E20" s="165">
        <f t="shared" si="28"/>
        <v>12832366.67</v>
      </c>
      <c r="F20" s="165">
        <f t="shared" si="28"/>
        <v>12832366.67</v>
      </c>
      <c r="G20" s="165">
        <f t="shared" si="28"/>
        <v>12832366.67</v>
      </c>
      <c r="H20" s="165">
        <f t="shared" si="28"/>
        <v>12832366.67</v>
      </c>
      <c r="I20" s="165">
        <f t="shared" si="28"/>
        <v>12832366.67</v>
      </c>
      <c r="J20" s="165">
        <f t="shared" si="28"/>
        <v>12832366.67</v>
      </c>
      <c r="K20" s="165">
        <f t="shared" si="28"/>
        <v>12832366.67</v>
      </c>
      <c r="L20" s="165">
        <f t="shared" si="28"/>
        <v>12832366.67</v>
      </c>
      <c r="M20" s="166">
        <f t="shared" si="28"/>
        <v>12832366.67</v>
      </c>
      <c r="N20" s="167">
        <f t="shared" si="29"/>
        <v>0</v>
      </c>
      <c r="O20" s="169">
        <f t="shared" ref="O20:P20" si="30">(N20*$B$26)+N20</f>
        <v>0</v>
      </c>
      <c r="P20" s="169">
        <f t="shared" si="30"/>
        <v>0</v>
      </c>
    </row>
    <row r="21" ht="14.25" customHeight="1">
      <c r="A21" s="164" t="s">
        <v>279</v>
      </c>
      <c r="B21" s="165">
        <f>B20</f>
        <v>12832366.67</v>
      </c>
      <c r="C21" s="165">
        <f t="shared" ref="C21:M21" si="31">C20+B21</f>
        <v>25664733.33</v>
      </c>
      <c r="D21" s="165">
        <f t="shared" si="31"/>
        <v>38497100</v>
      </c>
      <c r="E21" s="165">
        <f t="shared" si="31"/>
        <v>51329466.67</v>
      </c>
      <c r="F21" s="165">
        <f t="shared" si="31"/>
        <v>64161833.33</v>
      </c>
      <c r="G21" s="165">
        <f t="shared" si="31"/>
        <v>76994200</v>
      </c>
      <c r="H21" s="165">
        <f t="shared" si="31"/>
        <v>89826566.67</v>
      </c>
      <c r="I21" s="165">
        <f t="shared" si="31"/>
        <v>102658933.3</v>
      </c>
      <c r="J21" s="165">
        <f t="shared" si="31"/>
        <v>115491300</v>
      </c>
      <c r="K21" s="165">
        <f t="shared" si="31"/>
        <v>128323666.7</v>
      </c>
      <c r="L21" s="165">
        <f t="shared" si="31"/>
        <v>141156033.3</v>
      </c>
      <c r="M21" s="166">
        <f t="shared" si="31"/>
        <v>153988400</v>
      </c>
      <c r="N21" s="167">
        <f t="shared" si="29"/>
        <v>153988400</v>
      </c>
      <c r="O21" s="168">
        <f t="shared" ref="O21:P21" si="32">(N21*$B$26)+N21</f>
        <v>172846056.4</v>
      </c>
      <c r="P21" s="168">
        <f t="shared" si="32"/>
        <v>194013050.3</v>
      </c>
    </row>
    <row r="22" ht="14.25" customHeight="1"/>
    <row r="23" ht="14.25" customHeight="1"/>
    <row r="24" ht="14.25" customHeight="1"/>
    <row r="25" ht="14.25" customHeight="1"/>
    <row r="26" ht="14.25" customHeight="1">
      <c r="A26" s="170" t="s">
        <v>280</v>
      </c>
      <c r="B26" s="171">
        <f>'IPC mensual'!C2</f>
        <v>0.1224615385</v>
      </c>
      <c r="C26" s="144"/>
      <c r="D26" s="172" t="s">
        <v>281</v>
      </c>
      <c r="E26" s="173" t="s">
        <v>282</v>
      </c>
      <c r="F26" s="144"/>
      <c r="G26" s="144"/>
      <c r="H26" s="144"/>
      <c r="I26" s="144"/>
    </row>
    <row r="27" ht="14.25" customHeight="1">
      <c r="A27" s="170" t="s">
        <v>283</v>
      </c>
      <c r="B27" s="174">
        <f>'IPC mensual'!C3</f>
        <v>0.199</v>
      </c>
      <c r="C27" s="144"/>
      <c r="D27" s="175">
        <f>C39</f>
        <v>0.34</v>
      </c>
      <c r="E27" s="156"/>
      <c r="F27" s="156"/>
      <c r="G27" s="156"/>
      <c r="H27" s="156"/>
      <c r="I27" s="156"/>
    </row>
    <row r="28" ht="14.25" customHeight="1">
      <c r="A28" s="170" t="s">
        <v>284</v>
      </c>
      <c r="B28" s="176">
        <v>0.038</v>
      </c>
      <c r="C28" s="177"/>
      <c r="D28" s="178" t="s">
        <v>285</v>
      </c>
      <c r="E28" s="178" t="s">
        <v>286</v>
      </c>
      <c r="F28" s="178" t="s">
        <v>287</v>
      </c>
      <c r="G28" s="178" t="s">
        <v>288</v>
      </c>
      <c r="H28" s="178" t="s">
        <v>289</v>
      </c>
      <c r="I28" s="178" t="s">
        <v>290</v>
      </c>
    </row>
    <row r="29" ht="14.25" customHeight="1">
      <c r="A29" s="170"/>
      <c r="B29" s="179"/>
      <c r="C29" s="177"/>
      <c r="D29" s="180">
        <f>-'Cuadro de inversión inicial'!E2</f>
        <v>-281490688</v>
      </c>
      <c r="E29" s="181">
        <f>N21</f>
        <v>153988400</v>
      </c>
      <c r="F29" s="181">
        <f t="shared" ref="F29:I29" si="33">(E29*$B$26)+E29</f>
        <v>172846056.4</v>
      </c>
      <c r="G29" s="181">
        <f t="shared" si="33"/>
        <v>194013050.3</v>
      </c>
      <c r="H29" s="181">
        <f t="shared" si="33"/>
        <v>217772187</v>
      </c>
      <c r="I29" s="181">
        <f t="shared" si="33"/>
        <v>244440904</v>
      </c>
    </row>
    <row r="30" ht="14.25" customHeight="1">
      <c r="A30" s="170"/>
      <c r="B30" s="179"/>
      <c r="C30" s="144"/>
      <c r="D30" s="182" t="s">
        <v>291</v>
      </c>
      <c r="E30" s="144"/>
      <c r="F30" s="144"/>
      <c r="G30" s="144"/>
      <c r="H30" s="144"/>
      <c r="I30" s="144"/>
    </row>
    <row r="31" ht="14.25" customHeight="1">
      <c r="A31" s="170"/>
      <c r="B31" s="179"/>
      <c r="C31" s="144"/>
      <c r="D31" s="183">
        <f>IRR(D29:I29)</f>
        <v>0.5660178409</v>
      </c>
      <c r="E31" s="144"/>
      <c r="F31" s="144"/>
      <c r="G31" s="144"/>
      <c r="H31" s="144"/>
      <c r="I31" s="184"/>
    </row>
    <row r="32" ht="14.25" customHeight="1">
      <c r="A32" s="170"/>
      <c r="B32" s="179"/>
      <c r="C32" s="144"/>
      <c r="D32" s="144"/>
      <c r="E32" s="144"/>
      <c r="F32" s="144"/>
      <c r="G32" s="144"/>
      <c r="H32" s="144"/>
      <c r="I32" s="184"/>
    </row>
    <row r="33" ht="14.25" customHeight="1">
      <c r="A33" s="170"/>
      <c r="B33" s="179"/>
      <c r="C33" s="144"/>
      <c r="D33" s="144" t="s">
        <v>292</v>
      </c>
      <c r="E33" s="176">
        <v>0.032</v>
      </c>
      <c r="F33" s="144"/>
      <c r="G33" s="144"/>
      <c r="H33" s="144"/>
      <c r="I33" s="144"/>
    </row>
    <row r="34" ht="14.25" customHeight="1">
      <c r="A34" s="170"/>
      <c r="B34" s="179"/>
      <c r="C34" s="184"/>
      <c r="D34" s="185" t="s">
        <v>293</v>
      </c>
      <c r="E34" s="144"/>
      <c r="F34" s="144"/>
      <c r="G34" s="144"/>
      <c r="H34" s="144"/>
      <c r="I34" s="144"/>
    </row>
    <row r="35" ht="14.25" customHeight="1">
      <c r="A35" s="170"/>
      <c r="B35" s="179"/>
      <c r="C35" s="144"/>
      <c r="D35" s="186">
        <f t="array" ref="D35">NPV(E33,E29:I29)+D29</f>
        <v>607348952.3</v>
      </c>
      <c r="E35" s="144"/>
      <c r="F35" s="144"/>
      <c r="G35" s="144"/>
      <c r="H35" s="144"/>
      <c r="I35" s="144"/>
    </row>
    <row r="36" ht="14.25" customHeight="1"/>
    <row r="37" ht="14.25" customHeight="1"/>
    <row r="38" ht="41.25" customHeight="1">
      <c r="B38" s="187" t="s">
        <v>294</v>
      </c>
      <c r="C38" s="188" t="s">
        <v>295</v>
      </c>
    </row>
    <row r="39" ht="14.25" customHeight="1">
      <c r="B39" s="79"/>
      <c r="C39" s="189">
        <v>0.34</v>
      </c>
    </row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M1"/>
  </mergeCells>
  <printOptions/>
  <pageMargins bottom="0.75" footer="0.0" header="0.0" left="0.7" right="0.7" top="0.75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1.57"/>
    <col customWidth="1" min="2" max="2" width="19.29"/>
    <col customWidth="1" min="3" max="3" width="19.43"/>
    <col customWidth="1" min="4" max="4" width="16.86"/>
    <col customWidth="1" min="5" max="26" width="8.71"/>
  </cols>
  <sheetData>
    <row r="1">
      <c r="A1" s="190" t="s">
        <v>296</v>
      </c>
      <c r="B1" s="191" t="s">
        <v>286</v>
      </c>
      <c r="C1" s="191" t="s">
        <v>287</v>
      </c>
      <c r="D1" s="191" t="s">
        <v>288</v>
      </c>
    </row>
    <row r="2">
      <c r="A2" s="123" t="s">
        <v>297</v>
      </c>
      <c r="B2" s="55">
        <f>'Ingresos y Costos proyectados'!D15</f>
        <v>236187642.7</v>
      </c>
      <c r="C2" s="55">
        <f t="shared" ref="C2:D2" si="1">(B2*$B$18)+B2</f>
        <v>265120628.9</v>
      </c>
      <c r="D2" s="55">
        <f t="shared" si="1"/>
        <v>297597906</v>
      </c>
    </row>
    <row r="3">
      <c r="A3" s="123" t="s">
        <v>298</v>
      </c>
      <c r="B3" s="123">
        <v>0.0</v>
      </c>
      <c r="C3" s="123">
        <f t="shared" ref="C3:D3" si="2">(B3*$B$18)+B3</f>
        <v>0</v>
      </c>
      <c r="D3" s="123">
        <f t="shared" si="2"/>
        <v>0</v>
      </c>
    </row>
    <row r="4">
      <c r="A4" s="192" t="s">
        <v>299</v>
      </c>
      <c r="B4" s="193">
        <f>B2-B3</f>
        <v>236187642.7</v>
      </c>
      <c r="C4" s="193">
        <f t="shared" ref="C4:D4" si="3">(B4*$B$18)+B4</f>
        <v>265120628.9</v>
      </c>
      <c r="D4" s="193">
        <f t="shared" si="3"/>
        <v>297597906</v>
      </c>
    </row>
    <row r="5">
      <c r="A5" s="123" t="s">
        <v>300</v>
      </c>
      <c r="B5" s="55">
        <f>'Ingresos y Costos proyectados'!E15</f>
        <v>148557800</v>
      </c>
      <c r="C5" s="55">
        <f t="shared" ref="C5:D5" si="4">(B5*$B$18)+B5</f>
        <v>166756130.5</v>
      </c>
      <c r="D5" s="55">
        <f t="shared" si="4"/>
        <v>187183756.5</v>
      </c>
    </row>
    <row r="6">
      <c r="A6" s="192" t="s">
        <v>301</v>
      </c>
      <c r="B6" s="194">
        <f>B4-B5</f>
        <v>87629842.7</v>
      </c>
      <c r="C6" s="195">
        <f t="shared" ref="C6:D6" si="5">(B6*$B$18)+B6</f>
        <v>98364498.43</v>
      </c>
      <c r="D6" s="195">
        <f t="shared" si="5"/>
        <v>110414149.5</v>
      </c>
    </row>
    <row r="7">
      <c r="A7" s="123" t="s">
        <v>302</v>
      </c>
      <c r="B7" s="123">
        <v>0.0</v>
      </c>
      <c r="C7" s="123">
        <f t="shared" ref="C7:D7" si="6">(B7*$B$18)+B7</f>
        <v>0</v>
      </c>
      <c r="D7" s="123">
        <f t="shared" si="6"/>
        <v>0</v>
      </c>
    </row>
    <row r="8">
      <c r="A8" s="123" t="s">
        <v>303</v>
      </c>
      <c r="B8" s="123">
        <v>0.0</v>
      </c>
      <c r="C8" s="123">
        <f t="shared" ref="C8:D8" si="7">(B8*$B$18)+B8</f>
        <v>0</v>
      </c>
      <c r="D8" s="123">
        <f t="shared" si="7"/>
        <v>0</v>
      </c>
    </row>
    <row r="9">
      <c r="A9" s="192" t="s">
        <v>304</v>
      </c>
      <c r="B9" s="193">
        <f>B6-B7-B8</f>
        <v>87629842.7</v>
      </c>
      <c r="C9" s="193">
        <f t="shared" ref="C9:D9" si="8">(B9*$B$18)+B9</f>
        <v>98364498.43</v>
      </c>
      <c r="D9" s="193">
        <f t="shared" si="8"/>
        <v>110414149.5</v>
      </c>
    </row>
    <row r="10">
      <c r="A10" s="123" t="s">
        <v>305</v>
      </c>
      <c r="B10" s="123">
        <v>0.0</v>
      </c>
      <c r="C10" s="123">
        <f t="shared" ref="C10:D10" si="9">(B10*$B$18)+B10</f>
        <v>0</v>
      </c>
      <c r="D10" s="123">
        <f t="shared" si="9"/>
        <v>0</v>
      </c>
    </row>
    <row r="11">
      <c r="A11" s="192" t="s">
        <v>306</v>
      </c>
      <c r="B11" s="193">
        <f>B9+B10</f>
        <v>87629842.7</v>
      </c>
      <c r="C11" s="193">
        <f t="shared" ref="C11:D11" si="10">(B11*$B$18)+B11</f>
        <v>98364498.43</v>
      </c>
      <c r="D11" s="193">
        <f t="shared" si="10"/>
        <v>110414149.5</v>
      </c>
    </row>
    <row r="12">
      <c r="A12" s="123" t="s">
        <v>307</v>
      </c>
      <c r="B12" s="123">
        <v>0.0</v>
      </c>
      <c r="C12" s="123">
        <f t="shared" ref="C12:D12" si="11">(B12*$B$18)+B12</f>
        <v>0</v>
      </c>
      <c r="D12" s="123">
        <f t="shared" si="11"/>
        <v>0</v>
      </c>
    </row>
    <row r="13">
      <c r="A13" s="192" t="s">
        <v>308</v>
      </c>
      <c r="B13" s="193">
        <f>B11-B12</f>
        <v>87629842.7</v>
      </c>
      <c r="C13" s="193">
        <f t="shared" ref="C13:D13" si="12">(B13*$B$18)+B13</f>
        <v>98364498.43</v>
      </c>
      <c r="D13" s="193">
        <f t="shared" si="12"/>
        <v>110414149.5</v>
      </c>
    </row>
    <row r="14">
      <c r="A14" s="196" t="s">
        <v>309</v>
      </c>
      <c r="B14" s="123">
        <v>0.0</v>
      </c>
      <c r="C14" s="123">
        <f t="shared" ref="C14:D14" si="13">(B14*$B$18)+B14</f>
        <v>0</v>
      </c>
      <c r="D14" s="123">
        <f t="shared" si="13"/>
        <v>0</v>
      </c>
    </row>
    <row r="15">
      <c r="A15" s="197" t="s">
        <v>310</v>
      </c>
      <c r="B15" s="198">
        <f>B13-B14</f>
        <v>87629842.7</v>
      </c>
      <c r="C15" s="193">
        <f t="shared" ref="C15:D15" si="14">(B15*$B$18)+B15</f>
        <v>98364498.43</v>
      </c>
      <c r="D15" s="193">
        <f t="shared" si="14"/>
        <v>110414149.5</v>
      </c>
    </row>
    <row r="17">
      <c r="A17" s="199" t="s">
        <v>311</v>
      </c>
      <c r="B17" s="200">
        <v>12.25</v>
      </c>
    </row>
    <row r="18">
      <c r="A18" s="52"/>
      <c r="B18" s="201">
        <f>B17/100</f>
        <v>0.1225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45.14"/>
    <col customWidth="1" min="2" max="2" width="17.43"/>
    <col customWidth="1" min="3" max="3" width="18.71"/>
    <col customWidth="1" min="4" max="4" width="19.57"/>
    <col customWidth="1" min="5" max="26" width="8.71"/>
  </cols>
  <sheetData>
    <row r="1">
      <c r="A1" s="202" t="s">
        <v>312</v>
      </c>
      <c r="B1" s="59"/>
      <c r="C1" s="123" t="s">
        <v>313</v>
      </c>
      <c r="D1" s="203">
        <v>0.1225</v>
      </c>
    </row>
    <row r="2">
      <c r="A2" s="204" t="s">
        <v>314</v>
      </c>
      <c r="B2" s="205" t="s">
        <v>286</v>
      </c>
      <c r="C2" s="205" t="s">
        <v>287</v>
      </c>
      <c r="D2" s="205" t="s">
        <v>288</v>
      </c>
    </row>
    <row r="3">
      <c r="A3" s="204" t="s">
        <v>315</v>
      </c>
      <c r="B3" s="206">
        <f>SUM(B4+B5)</f>
        <v>19466800</v>
      </c>
      <c r="C3" s="207">
        <f t="shared" ref="C3:D3" si="1">(B3*$D$1)+B3</f>
        <v>21851483</v>
      </c>
      <c r="D3" s="207">
        <f t="shared" si="1"/>
        <v>24528289.67</v>
      </c>
    </row>
    <row r="4">
      <c r="A4" s="123" t="s">
        <v>316</v>
      </c>
      <c r="B4" s="208">
        <v>0.0</v>
      </c>
      <c r="C4" s="209">
        <f t="shared" ref="C4:D4" si="2">(B4*$D$1)+B4</f>
        <v>0</v>
      </c>
      <c r="D4" s="209">
        <f t="shared" si="2"/>
        <v>0</v>
      </c>
    </row>
    <row r="5">
      <c r="A5" s="123" t="s">
        <v>317</v>
      </c>
      <c r="B5" s="208">
        <f>'Cuadro de inversión inicial'!E75</f>
        <v>19466800</v>
      </c>
      <c r="C5" s="209">
        <f t="shared" ref="C5:D5" si="3">(B5*$D$1)+B5</f>
        <v>21851483</v>
      </c>
      <c r="D5" s="209">
        <f t="shared" si="3"/>
        <v>24528289.67</v>
      </c>
    </row>
    <row r="6">
      <c r="A6" s="204" t="s">
        <v>318</v>
      </c>
      <c r="B6" s="206">
        <f>SUM(B7:B12)</f>
        <v>262023888</v>
      </c>
      <c r="C6" s="207">
        <f t="shared" ref="C6:D6" si="4">(B6*$D$1)+B6</f>
        <v>294121814.3</v>
      </c>
      <c r="D6" s="207">
        <f t="shared" si="4"/>
        <v>330151736.5</v>
      </c>
    </row>
    <row r="7">
      <c r="A7" s="210" t="s">
        <v>319</v>
      </c>
      <c r="B7" s="208">
        <f>'Cuadro de inversión inicial'!E16</f>
        <v>3820000</v>
      </c>
      <c r="C7" s="209">
        <f t="shared" ref="C7:D7" si="5">(B7*$D$1)+B7</f>
        <v>4287950</v>
      </c>
      <c r="D7" s="209">
        <f t="shared" si="5"/>
        <v>4813223.875</v>
      </c>
    </row>
    <row r="8">
      <c r="A8" s="123" t="s">
        <v>320</v>
      </c>
      <c r="B8" s="208">
        <f>'Cuadro de inversión inicial'!E10</f>
        <v>600000</v>
      </c>
      <c r="C8" s="209">
        <f t="shared" ref="C8:D8" si="6">(B8*$D$1)+B8</f>
        <v>673500</v>
      </c>
      <c r="D8" s="209">
        <f t="shared" si="6"/>
        <v>756003.75</v>
      </c>
    </row>
    <row r="9">
      <c r="A9" s="123" t="s">
        <v>321</v>
      </c>
      <c r="B9" s="208">
        <v>830000.0</v>
      </c>
      <c r="C9" s="209">
        <f t="shared" ref="C9:D9" si="7">(B9*$D$1)+B9</f>
        <v>931675</v>
      </c>
      <c r="D9" s="209">
        <f t="shared" si="7"/>
        <v>1045805.188</v>
      </c>
    </row>
    <row r="10">
      <c r="A10" s="123" t="s">
        <v>322</v>
      </c>
      <c r="B10" s="208">
        <f>'Cuadro de inversión inicial'!E40</f>
        <v>250000000</v>
      </c>
      <c r="C10" s="209">
        <f t="shared" ref="C10:D10" si="8">(B10*$D$1)+B10</f>
        <v>280625000</v>
      </c>
      <c r="D10" s="209">
        <f t="shared" si="8"/>
        <v>315001562.5</v>
      </c>
    </row>
    <row r="11">
      <c r="A11" s="211" t="s">
        <v>323</v>
      </c>
      <c r="B11" s="206">
        <f>'Cuadro de inversión inicial'!E46</f>
        <v>6628000</v>
      </c>
      <c r="C11" s="207">
        <f t="shared" ref="C11:D11" si="9">(B11*$D$1)+B11</f>
        <v>7439930</v>
      </c>
      <c r="D11" s="207">
        <f t="shared" si="9"/>
        <v>8351321.425</v>
      </c>
    </row>
    <row r="12">
      <c r="A12" s="212"/>
      <c r="B12" s="208">
        <f>'Cuadro de inversión inicial'!E35</f>
        <v>145888</v>
      </c>
      <c r="C12" s="209">
        <f t="shared" ref="C12:D12" si="10">(B12*$D$1)+B12</f>
        <v>163759.28</v>
      </c>
      <c r="D12" s="209">
        <f t="shared" si="10"/>
        <v>183819.7918</v>
      </c>
    </row>
    <row r="13">
      <c r="A13" s="204" t="s">
        <v>324</v>
      </c>
      <c r="B13" s="206">
        <f>B6+B3</f>
        <v>281490688</v>
      </c>
      <c r="C13" s="207">
        <f t="shared" ref="C13:D13" si="11">(B13*$D$1)+B13</f>
        <v>315973297.3</v>
      </c>
      <c r="D13" s="207">
        <f t="shared" si="11"/>
        <v>354680026.2</v>
      </c>
    </row>
    <row r="14">
      <c r="B14" s="208">
        <v>0.0</v>
      </c>
      <c r="C14" s="209">
        <f t="shared" ref="C14:D14" si="12">(B14*$D$1)+B14</f>
        <v>0</v>
      </c>
      <c r="D14" s="209">
        <f t="shared" si="12"/>
        <v>0</v>
      </c>
    </row>
    <row r="15">
      <c r="A15" s="160" t="s">
        <v>325</v>
      </c>
      <c r="B15" s="208">
        <v>0.0</v>
      </c>
      <c r="C15" s="209">
        <f t="shared" ref="C15:D15" si="13">(B15*$D$1)+B15</f>
        <v>0</v>
      </c>
      <c r="D15" s="209">
        <f t="shared" si="13"/>
        <v>0</v>
      </c>
    </row>
    <row r="16">
      <c r="A16" s="213" t="s">
        <v>326</v>
      </c>
      <c r="B16" s="214">
        <v>0.0</v>
      </c>
      <c r="C16" s="215">
        <f t="shared" ref="C16:D16" si="14">(B16*$D$1)+B16</f>
        <v>0</v>
      </c>
      <c r="D16" s="215">
        <f t="shared" si="14"/>
        <v>0</v>
      </c>
    </row>
    <row r="17">
      <c r="A17" s="123" t="s">
        <v>327</v>
      </c>
      <c r="B17" s="208">
        <f>'Cuadro de inversión inicial'!E75</f>
        <v>19466800</v>
      </c>
      <c r="C17" s="209">
        <f t="shared" ref="C17:D17" si="15">(B17*$D$1)+B17</f>
        <v>21851483</v>
      </c>
      <c r="D17" s="209">
        <f t="shared" si="15"/>
        <v>24528289.67</v>
      </c>
    </row>
    <row r="18">
      <c r="A18" s="123" t="s">
        <v>328</v>
      </c>
      <c r="B18" s="208"/>
      <c r="C18" s="209">
        <f t="shared" ref="C18:D18" si="16">(B18*$D$1)+B18</f>
        <v>0</v>
      </c>
      <c r="D18" s="209">
        <f t="shared" si="16"/>
        <v>0</v>
      </c>
    </row>
    <row r="19">
      <c r="A19" s="216" t="s">
        <v>329</v>
      </c>
      <c r="B19" s="217">
        <v>0.0</v>
      </c>
      <c r="C19" s="215">
        <f t="shared" ref="C19:D19" si="17">(B19*$D$1)+B19</f>
        <v>0</v>
      </c>
      <c r="D19" s="215">
        <f t="shared" si="17"/>
        <v>0</v>
      </c>
    </row>
    <row r="20">
      <c r="A20" s="123" t="s">
        <v>330</v>
      </c>
      <c r="B20" s="208">
        <v>0.0</v>
      </c>
      <c r="C20" s="209">
        <f t="shared" ref="C20:D20" si="18">(B20*$D$1)+B20</f>
        <v>0</v>
      </c>
      <c r="D20" s="209">
        <f t="shared" si="18"/>
        <v>0</v>
      </c>
    </row>
    <row r="21">
      <c r="A21" s="123" t="s">
        <v>331</v>
      </c>
      <c r="B21" s="208">
        <v>0.0</v>
      </c>
      <c r="C21" s="209">
        <f t="shared" ref="C21:D21" si="19">(B21*$D$1)+B21</f>
        <v>0</v>
      </c>
      <c r="D21" s="209">
        <f t="shared" si="19"/>
        <v>0</v>
      </c>
    </row>
    <row r="22" ht="15.75" customHeight="1">
      <c r="A22" s="204" t="s">
        <v>332</v>
      </c>
      <c r="B22" s="218">
        <v>0.0</v>
      </c>
      <c r="C22" s="207">
        <f t="shared" ref="C22:D22" si="20">(B22*$D$1)+B22</f>
        <v>0</v>
      </c>
      <c r="D22" s="207">
        <f t="shared" si="20"/>
        <v>0</v>
      </c>
    </row>
    <row r="23" ht="15.75" customHeight="1">
      <c r="A23" s="204" t="s">
        <v>333</v>
      </c>
      <c r="B23" s="206">
        <f>SUM(B14:B22)</f>
        <v>19466800</v>
      </c>
      <c r="C23" s="207">
        <f t="shared" ref="C23:D23" si="21">(B23*$D$1)+B23</f>
        <v>21851483</v>
      </c>
      <c r="D23" s="207">
        <f t="shared" si="21"/>
        <v>24528289.67</v>
      </c>
    </row>
    <row r="24" ht="15.75" customHeight="1">
      <c r="B24" s="209"/>
      <c r="C24" s="209">
        <f t="shared" ref="C24:D24" si="22">(B24*$D$1)+B24</f>
        <v>0</v>
      </c>
      <c r="D24" s="209">
        <f t="shared" si="22"/>
        <v>0</v>
      </c>
    </row>
    <row r="25" ht="15.75" customHeight="1">
      <c r="A25" s="219" t="s">
        <v>334</v>
      </c>
      <c r="B25" s="220">
        <f t="shared" ref="B25:D25" si="23">B13-B23</f>
        <v>262023888</v>
      </c>
      <c r="C25" s="207">
        <f t="shared" si="23"/>
        <v>294121814.3</v>
      </c>
      <c r="D25" s="207">
        <f t="shared" si="23"/>
        <v>330151736.5</v>
      </c>
    </row>
    <row r="26" ht="15.75" customHeight="1">
      <c r="A26" s="123" t="s">
        <v>335</v>
      </c>
      <c r="B26" s="220">
        <f>B25</f>
        <v>262023888</v>
      </c>
      <c r="C26" s="209">
        <f t="shared" ref="C26:D26" si="24">(B26*$D$1)+B26</f>
        <v>294121814.3</v>
      </c>
      <c r="D26" s="209">
        <f t="shared" si="24"/>
        <v>330151736.5</v>
      </c>
    </row>
    <row r="27" ht="15.75" customHeight="1">
      <c r="A27" s="123" t="s">
        <v>336</v>
      </c>
      <c r="B27" s="208">
        <v>0.0</v>
      </c>
      <c r="C27" s="209">
        <f t="shared" ref="C27:D27" si="25">(B27*$D$1)+B27</f>
        <v>0</v>
      </c>
      <c r="D27" s="209">
        <f t="shared" si="25"/>
        <v>0</v>
      </c>
    </row>
    <row r="28" ht="15.75" customHeight="1">
      <c r="A28" s="123" t="s">
        <v>337</v>
      </c>
      <c r="B28" s="208">
        <v>0.0</v>
      </c>
      <c r="C28" s="209">
        <f t="shared" ref="C28:D28" si="26">(B28*$D$1)+B28</f>
        <v>0</v>
      </c>
      <c r="D28" s="209">
        <f t="shared" si="26"/>
        <v>0</v>
      </c>
    </row>
    <row r="29" ht="15.75" customHeight="1">
      <c r="B29" s="208">
        <v>0.0</v>
      </c>
      <c r="C29" s="209">
        <f t="shared" ref="C29:D29" si="27">(B29*$D$1)+B29</f>
        <v>0</v>
      </c>
      <c r="D29" s="209">
        <f t="shared" si="27"/>
        <v>0</v>
      </c>
    </row>
    <row r="30" ht="15.75" customHeight="1">
      <c r="A30" s="204" t="s">
        <v>338</v>
      </c>
      <c r="B30" s="218">
        <f>B23+B25</f>
        <v>281490688</v>
      </c>
      <c r="C30" s="207">
        <f t="shared" ref="C30:D30" si="28">C25+C23</f>
        <v>315973297.3</v>
      </c>
      <c r="D30" s="207">
        <f t="shared" si="28"/>
        <v>354680026.2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2" width="24.29"/>
    <col customWidth="1" min="3" max="3" width="21.86"/>
    <col customWidth="1" min="4" max="4" width="16.14"/>
  </cols>
  <sheetData>
    <row r="1">
      <c r="A1" s="210"/>
      <c r="B1" s="210"/>
      <c r="C1" s="210"/>
      <c r="D1" s="210"/>
      <c r="E1" s="210"/>
    </row>
    <row r="2">
      <c r="A2" s="210"/>
      <c r="B2" s="74" t="s">
        <v>339</v>
      </c>
      <c r="C2" s="74" t="s">
        <v>340</v>
      </c>
      <c r="D2" s="74" t="s">
        <v>264</v>
      </c>
      <c r="E2" s="74" t="s">
        <v>265</v>
      </c>
    </row>
    <row r="3">
      <c r="A3" s="210"/>
      <c r="B3" s="221" t="s">
        <v>341</v>
      </c>
      <c r="C3" s="222">
        <f>('Ingresos y Costos proyectados'!D15-'Ingresos y Costos proyectados'!E15)/'Ingresos y Costos proyectados'!D15</f>
        <v>0.3710178979</v>
      </c>
      <c r="D3" s="222">
        <f>'Estado de resultados proyectado'!B6/'Estado de resultados proyectado'!B2</f>
        <v>0.3710178979</v>
      </c>
      <c r="E3" s="222">
        <f>'Estado de resultados proyectado'!D6/'Estado de resultados proyectado'!D2</f>
        <v>0.3710178979</v>
      </c>
    </row>
    <row r="4">
      <c r="A4" s="210"/>
      <c r="B4" s="221" t="s">
        <v>342</v>
      </c>
      <c r="C4" s="222">
        <f>('Estado de resultados proyectado'!B6-0)/'Estado de resultados proyectado'!B2</f>
        <v>0.3710178979</v>
      </c>
      <c r="D4" s="222">
        <f>'Estado de resultados proyectado'!B13/'Estado de resultados proyectado'!B4</f>
        <v>0.3710178979</v>
      </c>
      <c r="E4" s="222">
        <f>'Estado de resultados proyectado'!D13/'Estado de resultados proyectado'!D4</f>
        <v>0.3710178979</v>
      </c>
    </row>
    <row r="5">
      <c r="A5" s="210"/>
      <c r="B5" s="221" t="s">
        <v>343</v>
      </c>
      <c r="C5" s="222">
        <f>'Estado de resultados proyectado'!B13/'Balance general proyectado'!B13</f>
        <v>0.3113063644</v>
      </c>
      <c r="D5" s="222">
        <f>'Estado de resultados proyectado'!C13/'Balance general proyectado'!C13</f>
        <v>0.3113063644</v>
      </c>
      <c r="E5" s="222">
        <f>'Estado de resultados proyectado'!D13/'Balance general proyectado'!D13</f>
        <v>0.3113063644</v>
      </c>
    </row>
    <row r="6">
      <c r="A6" s="210"/>
      <c r="B6" s="221" t="s">
        <v>344</v>
      </c>
      <c r="C6" s="222">
        <f>'Estado de resultados proyectado'!B13/'Balance general proyectado'!B25</f>
        <v>0.3344345562</v>
      </c>
      <c r="D6" s="222">
        <f>'Estado de resultados proyectado'!C13/'Balance general proyectado'!C25</f>
        <v>0.3344345562</v>
      </c>
      <c r="E6" s="222">
        <f>'Estado de resultados proyectado'!D13/'Balance general proyectado'!D25</f>
        <v>0.3344345562</v>
      </c>
    </row>
    <row r="7">
      <c r="A7" s="210"/>
      <c r="B7" s="221" t="s">
        <v>345</v>
      </c>
      <c r="C7" s="223">
        <f>('Estado de resultados proyectado'!B2-'Balance general proyectado'!B26)/'Balance general proyectado'!B26</f>
        <v>-0.09860263313</v>
      </c>
      <c r="D7" s="222">
        <f>('Estado de resultados proyectado'!C2-'Balance general proyectado'!C26)/'Balance general proyectado'!C26</f>
        <v>-0.09860263313</v>
      </c>
      <c r="E7" s="222">
        <f>('Estado de resultados proyectado'!D2-'Balance general proyectado'!D26)/'Balance general proyectado'!D26</f>
        <v>-0.09860263313</v>
      </c>
    </row>
    <row r="8">
      <c r="A8" s="210"/>
      <c r="B8" s="221" t="s">
        <v>346</v>
      </c>
      <c r="C8" s="80">
        <f>'Balance general proyectado'!B23/'Balance general proyectado'!B25</f>
        <v>0.07429398956</v>
      </c>
      <c r="D8" s="80">
        <f>'Balance general proyectado'!C23/'Balance general proyectado'!C25</f>
        <v>0.07429398956</v>
      </c>
      <c r="E8" s="80">
        <f>'Balance general proyectado'!D23/'Balance general proyectado'!D25</f>
        <v>0.07429398956</v>
      </c>
    </row>
  </sheetData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2023-06-05T02:03:57Z</dcterms:created>
  <dc:creator>Valentina</dc:creator>
</cp:coreProperties>
</file>